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934" activeTab="0"/>
  </bookViews>
  <sheets>
    <sheet name="1.Onbe" sheetId="1" r:id="rId1"/>
    <sheet name="1A.Norm" sheetId="2" r:id="rId2"/>
    <sheet name="2.Onki" sheetId="3" r:id="rId3"/>
    <sheet name="3.Inbe " sheetId="4" r:id="rId4"/>
    <sheet name="4.Inki" sheetId="5" r:id="rId5"/>
    <sheet name="5.Infelhki" sheetId="6" r:id="rId6"/>
    <sheet name="6.Önk.műk." sheetId="7" r:id="rId7"/>
    <sheet name="6.A Alapítv" sheetId="8" r:id="rId8"/>
    <sheet name="7.Beruh." sheetId="9" r:id="rId9"/>
    <sheet name="8.Felúj." sheetId="10" r:id="rId10"/>
    <sheet name="9.Projekt" sheetId="11" r:id="rId11"/>
    <sheet name="10.MVP és hazai" sheetId="12" r:id="rId12"/>
    <sheet name="11.EKF" sheetId="13" r:id="rId13"/>
    <sheet name="12.Mérleg" sheetId="14" r:id="rId14"/>
    <sheet name="13.EU" sheetId="15" r:id="rId15"/>
    <sheet name="14.Mérl.össz." sheetId="16" r:id="rId16"/>
    <sheet name="15.pm " sheetId="17" r:id="rId17"/>
    <sheet name="16.pe.vált." sheetId="18" r:id="rId18"/>
    <sheet name="17.Hitel" sheetId="19" r:id="rId19"/>
    <sheet name="18.Üzletrész" sheetId="20" r:id="rId20"/>
    <sheet name="19.Közvetett tám." sheetId="21" r:id="rId21"/>
    <sheet name="20.A" sheetId="22" r:id="rId22"/>
    <sheet name="20.vagyonmérleg" sheetId="23" r:id="rId23"/>
  </sheets>
  <externalReferences>
    <externalReference r:id="rId26"/>
  </externalReferences>
  <definedNames>
    <definedName name="_4._sz._sor_részletezése" localSheetId="0">#REF!</definedName>
    <definedName name="_4._sz._sor_részletezése" localSheetId="11">#REF!</definedName>
    <definedName name="_4._sz._sor_részletezése" localSheetId="12">#REF!</definedName>
    <definedName name="_4._sz._sor_részletezése" localSheetId="15">#REF!</definedName>
    <definedName name="_4._sz._sor_részletezése" localSheetId="16">#REF!</definedName>
    <definedName name="_4._sz._sor_részletezése" localSheetId="17">#REF!</definedName>
    <definedName name="_4._sz._sor_részletezése" localSheetId="20">#REF!</definedName>
    <definedName name="_4._sz._sor_részletezése" localSheetId="1">#REF!</definedName>
    <definedName name="_4._sz._sor_részletezése" localSheetId="21">#REF!</definedName>
    <definedName name="_4._sz._sor_részletezése" localSheetId="22">#REF!</definedName>
    <definedName name="_4._sz._sor_részletezése" localSheetId="5">#REF!</definedName>
    <definedName name="_4._sz._sor_részletezése" localSheetId="7">#REF!</definedName>
    <definedName name="_4._sz._sor_részletezése" localSheetId="8">#REF!</definedName>
    <definedName name="_4._sz._sor_részletezése" localSheetId="9">#REF!</definedName>
    <definedName name="_4._sz._sor_részletezése" localSheetId="10">#REF!</definedName>
    <definedName name="_4._sz._sor_részletezése">#REF!</definedName>
    <definedName name="_xlnm.Print_Titles" localSheetId="0">'1.Onbe'!$5:$7</definedName>
    <definedName name="_xlnm.Print_Titles" localSheetId="11">'10.MVP és hazai'!$4:$8</definedName>
    <definedName name="_xlnm.Print_Titles" localSheetId="12">'11.EKF'!$4:$8</definedName>
    <definedName name="_xlnm.Print_Titles" localSheetId="14">'13.EU'!$5:$9</definedName>
    <definedName name="_xlnm.Print_Titles" localSheetId="15">'14.Mérl.össz.'!$4:$6</definedName>
    <definedName name="_xlnm.Print_Titles" localSheetId="2">'2.Onki'!$5:$7</definedName>
    <definedName name="_xlnm.Print_Titles" localSheetId="22">'20.vagyonmérleg'!$6:$7</definedName>
    <definedName name="_xlnm.Print_Titles" localSheetId="3">'3.Inbe '!$5:$8</definedName>
    <definedName name="_xlnm.Print_Titles" localSheetId="4">'4.Inki'!$5:$8</definedName>
    <definedName name="_xlnm.Print_Titles" localSheetId="5">'5.Infelhki'!$5:$8</definedName>
    <definedName name="_xlnm.Print_Titles" localSheetId="7">'6.A Alapítv'!$6:$9</definedName>
    <definedName name="_xlnm.Print_Titles" localSheetId="6">'6.Önk.műk.'!$5:$8</definedName>
    <definedName name="_xlnm.Print_Titles" localSheetId="8">'7.Beruh.'!$5:$9</definedName>
    <definedName name="_xlnm.Print_Titles" localSheetId="9">'8.Felúj.'!$4:$8</definedName>
    <definedName name="_xlnm.Print_Titles" localSheetId="10">'9.Projekt'!$5:$9</definedName>
    <definedName name="_xlnm.Print_Area" localSheetId="0">'1.Onbe'!$A$1:$L$64</definedName>
    <definedName name="_xlnm.Print_Area" localSheetId="11">'10.MVP és hazai'!$A$1:$P$103</definedName>
    <definedName name="_xlnm.Print_Area" localSheetId="12">'11.EKF'!$A$1:$Q$167</definedName>
    <definedName name="_xlnm.Print_Area" localSheetId="13">'12.Mérleg'!$A$1:$K$38</definedName>
    <definedName name="_xlnm.Print_Area" localSheetId="14">'13.EU'!$A$1:$X$50</definedName>
    <definedName name="_xlnm.Print_Area" localSheetId="15">'14.Mérl.össz.'!$A$1:$E$135</definedName>
    <definedName name="_xlnm.Print_Area" localSheetId="16">'15.pm '!$A$1:$H$26</definedName>
    <definedName name="_xlnm.Print_Area" localSheetId="17">'16.pe.vált.'!$A$1:$C$19</definedName>
    <definedName name="_xlnm.Print_Area" localSheetId="20">'19.Közvetett tám.'!$A$1:$F$25</definedName>
    <definedName name="_xlnm.Print_Area" localSheetId="1">'1A.Norm'!$A$1:$H$48</definedName>
    <definedName name="_xlnm.Print_Area" localSheetId="2">'2.Onki'!$A$1:$L$41</definedName>
    <definedName name="_xlnm.Print_Area" localSheetId="21">'20.A'!$A$1:$C$101</definedName>
    <definedName name="_xlnm.Print_Area" localSheetId="22">'20.vagyonmérleg'!$A$1:$E$73</definedName>
    <definedName name="_xlnm.Print_Area" localSheetId="3">'3.Inbe '!$A$1:$O$131</definedName>
    <definedName name="_xlnm.Print_Area" localSheetId="4">'4.Inki'!$A$1:$R$268</definedName>
    <definedName name="_xlnm.Print_Area" localSheetId="5">'5.Infelhki'!$A$1:$K$148</definedName>
    <definedName name="_xlnm.Print_Area" localSheetId="7">'6.A Alapítv'!$A$1:$C$71</definedName>
    <definedName name="_xlnm.Print_Area" localSheetId="6">'6.Önk.műk.'!$A$1:$N$830</definedName>
    <definedName name="_xlnm.Print_Area" localSheetId="8">'7.Beruh.'!$A$1:$M$274</definedName>
    <definedName name="_xlnm.Print_Area" localSheetId="9">'8.Felúj.'!$A$1:$L$118</definedName>
    <definedName name="_xlnm.Print_Area" localSheetId="10">'9.Projekt'!$A$1:$P$173</definedName>
  </definedNames>
  <calcPr fullCalcOnLoad="1"/>
</workbook>
</file>

<file path=xl/comments11.xml><?xml version="1.0" encoding="utf-8"?>
<comments xmlns="http://schemas.openxmlformats.org/spreadsheetml/2006/main">
  <authors>
    <author>Eckert Szilvia</author>
  </authors>
  <commentList>
    <comment ref="E7" authorId="0">
      <text>
        <r>
          <rPr>
            <b/>
            <sz val="9"/>
            <rFont val="Tahoma"/>
            <family val="2"/>
          </rPr>
          <t>Eckert Szilvia:</t>
        </r>
        <r>
          <rPr>
            <sz val="9"/>
            <rFont val="Tahoma"/>
            <family val="2"/>
          </rPr>
          <t xml:space="preserve">
Hivatalt és intézményeket is beletegyük?</t>
        </r>
      </text>
    </comment>
  </commentList>
</comments>
</file>

<file path=xl/sharedStrings.xml><?xml version="1.0" encoding="utf-8"?>
<sst xmlns="http://schemas.openxmlformats.org/spreadsheetml/2006/main" count="3985" uniqueCount="1480">
  <si>
    <t>adatok eFt-ban</t>
  </si>
  <si>
    <t>A</t>
  </si>
  <si>
    <t>C</t>
  </si>
  <si>
    <t>B</t>
  </si>
  <si>
    <t>D</t>
  </si>
  <si>
    <t>E</t>
  </si>
  <si>
    <t>Megnevezés</t>
  </si>
  <si>
    <t>Temetők üzemeltetésével kapcsolatos feladatok</t>
  </si>
  <si>
    <t>Parkfenntartás</t>
  </si>
  <si>
    <t>Köztisztasági feladatok</t>
  </si>
  <si>
    <t>Városi kiemelt fesztiválok</t>
  </si>
  <si>
    <t>Városi lap kiadásai</t>
  </si>
  <si>
    <t>Kitüntetések</t>
  </si>
  <si>
    <t>MINDÖSSZESEN:</t>
  </si>
  <si>
    <t>Veszprém Megyei Jogú Város Önkormányzata</t>
  </si>
  <si>
    <t>F</t>
  </si>
  <si>
    <t>G</t>
  </si>
  <si>
    <t>H</t>
  </si>
  <si>
    <t>Cím</t>
  </si>
  <si>
    <t>Alcím</t>
  </si>
  <si>
    <t>Feladatellátás jellege*</t>
  </si>
  <si>
    <t>Teljes költség</t>
  </si>
  <si>
    <t>Önkormányzati felújítási kiadások</t>
  </si>
  <si>
    <t>K</t>
  </si>
  <si>
    <t>NK</t>
  </si>
  <si>
    <t>Eötvös Károly Megyei Könyvtár</t>
  </si>
  <si>
    <t>VMJV Polgármesteri Hivatal</t>
  </si>
  <si>
    <t>* Feladatellátás jellege:</t>
  </si>
  <si>
    <t>K= Magyarország helyi önkormányzatairól szóló 2011. évi CLXXXIX. törvény 13. § (1) bekezdése szerinti kötelező feladatok</t>
  </si>
  <si>
    <t>NK= Önkormányzat által önként vállalt feladatok</t>
  </si>
  <si>
    <t>J</t>
  </si>
  <si>
    <t>Önkormányzati beruházási kiadások</t>
  </si>
  <si>
    <t>Hulladéklerakó rekultiváció</t>
  </si>
  <si>
    <t>Kádártai Közösségi Ház átépítése</t>
  </si>
  <si>
    <t>Laczkó Dezső Múzeum</t>
  </si>
  <si>
    <t>Informatikai kiadások</t>
  </si>
  <si>
    <t>I</t>
  </si>
  <si>
    <t>L</t>
  </si>
  <si>
    <t>M</t>
  </si>
  <si>
    <t>Működési költségvetési kiadások</t>
  </si>
  <si>
    <t>Személyi juttatások</t>
  </si>
  <si>
    <t>Munk.a. terh. jár. és szoc.hj.adó</t>
  </si>
  <si>
    <t>Dologi kiadások</t>
  </si>
  <si>
    <t>Egyéb működési kiadások</t>
  </si>
  <si>
    <t>Nemzeti ünnepek kiadásaira</t>
  </si>
  <si>
    <t>Közművelődési szolgált.</t>
  </si>
  <si>
    <t>Nemzetközi kapcsolatok</t>
  </si>
  <si>
    <t>Marketing tevékenység, marketing stratégia</t>
  </si>
  <si>
    <t>ebből: - Veszprémi Ünnepi Játékok</t>
  </si>
  <si>
    <t xml:space="preserve">          - Gizella Napok</t>
  </si>
  <si>
    <t xml:space="preserve">          - Tánc Fesztivál </t>
  </si>
  <si>
    <t xml:space="preserve">          - Veszprémi Utcazene Fesztivál</t>
  </si>
  <si>
    <t xml:space="preserve">          - Auer Hegedűfesztivál</t>
  </si>
  <si>
    <t>Eseti rendezvények</t>
  </si>
  <si>
    <t>Köztéri szobrok, emléktáblák, lektorátus</t>
  </si>
  <si>
    <t>I. Világháborús Centenáriumi Emlékezés költségei</t>
  </si>
  <si>
    <t>Kiadványok, folyóiratok támogatása</t>
  </si>
  <si>
    <t>Méz Rádió támogatása</t>
  </si>
  <si>
    <t>ebből: - Mendelssohn Kamarazenekar</t>
  </si>
  <si>
    <t xml:space="preserve"> - Veszprém Város Vegyeskara</t>
  </si>
  <si>
    <t xml:space="preserve"> - Veszprémi Táncegyüttesért Alapítvány</t>
  </si>
  <si>
    <t xml:space="preserve"> - Liszt F. Kórus</t>
  </si>
  <si>
    <t>Szaléziánum támogatása</t>
  </si>
  <si>
    <t>Sziveri János Intézet működtetése</t>
  </si>
  <si>
    <t>Filharmónia koncertek támogatás</t>
  </si>
  <si>
    <t>Tanórán kívüli tevékenység támogatása</t>
  </si>
  <si>
    <t>Verseny és élsport</t>
  </si>
  <si>
    <t>Sportpálya fenntartás, ill. fenntartói tám.</t>
  </si>
  <si>
    <t>Sportcélok és feladatok (sportigazgatás)</t>
  </si>
  <si>
    <t>Szabadidő- és diáksport</t>
  </si>
  <si>
    <t>Polgármesteri keret</t>
  </si>
  <si>
    <t>Városi civil keret</t>
  </si>
  <si>
    <t xml:space="preserve"> ebből : - Nyugdíjas szervezetek számára pályázati keret</t>
  </si>
  <si>
    <t xml:space="preserve">            - Pályázati keret</t>
  </si>
  <si>
    <t>Köztemetés</t>
  </si>
  <si>
    <t xml:space="preserve">Közcélú és közhasznú foglalkoztatás </t>
  </si>
  <si>
    <t>Települési szilárdhulladék szállítás ártámogatás</t>
  </si>
  <si>
    <t>Kisgyermekes bérlet</t>
  </si>
  <si>
    <t>Máltai Szeretetszolgálatnak pénzeszköz átadás (ellátási szerződés)</t>
  </si>
  <si>
    <t>Családsegítő és Gyermekjóléti Alapszolgáltatási Intézményfenntartó Társulás</t>
  </si>
  <si>
    <t>Lelkisegély szolgálat</t>
  </si>
  <si>
    <t>Hittudományi Főiskola támogatása</t>
  </si>
  <si>
    <t>Foglalkoztatás eü. szolg.</t>
  </si>
  <si>
    <t>Munkavédelmi feladatok</t>
  </si>
  <si>
    <t>Közbeszerzési eljárások költségei</t>
  </si>
  <si>
    <t xml:space="preserve">Önkormányzat igazgatási tevékenysége </t>
  </si>
  <si>
    <t>Igazgatás - Állam felé befizetési kötelezettség</t>
  </si>
  <si>
    <t>ÁFA befizetés</t>
  </si>
  <si>
    <t>Kamatkiadások</t>
  </si>
  <si>
    <t>Családi ünnepek szervezése</t>
  </si>
  <si>
    <t>Városi Közbiztonság Keret</t>
  </si>
  <si>
    <t>Nem lakáscélú helyiségek üzemeltetési költségei</t>
  </si>
  <si>
    <t>Közüzemi Zrt. jutaléka</t>
  </si>
  <si>
    <t>Városi TV közszolgálati műsorok támogatása</t>
  </si>
  <si>
    <t>Kittenberger K. Növény- és Vadaspark KHT működéséhez hozzájárulás</t>
  </si>
  <si>
    <t>Peres ügyek, Kártérítési díjak kifizetése ingatlantulajdonosok részére</t>
  </si>
  <si>
    <t>Jutasi úti műfüves pálya fenntartása (LUC)</t>
  </si>
  <si>
    <t>Többfunkciós csarnok szolgált. vásárlás</t>
  </si>
  <si>
    <t>TDM Irodától szolgáltatás vásárlása</t>
  </si>
  <si>
    <t>Programiroda szolgáltatás vásárlás</t>
  </si>
  <si>
    <t>Társadalmi tudatformálási kampányok (mobilitási hét, "Te Szedd", kerékpárral munkába)</t>
  </si>
  <si>
    <t>Városépítészeti feladatok</t>
  </si>
  <si>
    <t>Településfejlesztési feladatok</t>
  </si>
  <si>
    <t>Rekultivációt megelőző telephely fenntartási költség</t>
  </si>
  <si>
    <t>Aluljárók csapadékvíz átemelőinek üzemeltetése</t>
  </si>
  <si>
    <t>Szökőkutak, ivókutak szolgáltatási díjai</t>
  </si>
  <si>
    <t>Városgazdálkodási szolg.</t>
  </si>
  <si>
    <t>Közvilágítás</t>
  </si>
  <si>
    <t>Közműalagút működtetése</t>
  </si>
  <si>
    <t>Környezetvédelmi feladat (Városüzemeltetés feladatai)</t>
  </si>
  <si>
    <t>Környezetvédelmi feladat (Közigazgatási Iroda feladatai)</t>
  </si>
  <si>
    <t>Közterület Felügyelet, gyepmesteri telep</t>
  </si>
  <si>
    <t>Veszprém Város Közlekedésfejlesztéséért Közalapítvány támogatása (nyugdíjas bérletek)</t>
  </si>
  <si>
    <t>Nemzetiségi önkormányzatok kiadásai:</t>
  </si>
  <si>
    <t xml:space="preserve"> ebből: - Roma Nemzetiségi Önkormányzat</t>
  </si>
  <si>
    <t>- Német Nemzetiségi Önkormányzat</t>
  </si>
  <si>
    <t>- Örmény Nemzetiségi Önkormányzat</t>
  </si>
  <si>
    <t>- Lengyel Nemzetiségi Önkormányzat</t>
  </si>
  <si>
    <t>- Ukrán Nemzetiségi Önkormányzat</t>
  </si>
  <si>
    <t>Választókerületi keretből civil szervezetek támogatása</t>
  </si>
  <si>
    <t>Ebből: Önkormányzat által ellátott kötelező feladatok összesen:</t>
  </si>
  <si>
    <t>Ebből: Önkormányzat által ellátott önként vállalt feladatok összesen:</t>
  </si>
  <si>
    <t>KIMUTATÁS</t>
  </si>
  <si>
    <t>Göllesz Viktor Fogyatékos Személyek Nappali Intézménye</t>
  </si>
  <si>
    <t>Intézmények összesen:</t>
  </si>
  <si>
    <t>VMJV Önkormányzata</t>
  </si>
  <si>
    <t>ebből:</t>
  </si>
  <si>
    <t>Összesen</t>
  </si>
  <si>
    <t>1.</t>
  </si>
  <si>
    <t>Iparűzési adó</t>
  </si>
  <si>
    <t>Építményadó</t>
  </si>
  <si>
    <t>Telekadó</t>
  </si>
  <si>
    <t>Kommunális adó</t>
  </si>
  <si>
    <t>Idegenforgalmi adó</t>
  </si>
  <si>
    <t>Gépjárműadó</t>
  </si>
  <si>
    <t>2.</t>
  </si>
  <si>
    <t>3.</t>
  </si>
  <si>
    <t>4.</t>
  </si>
  <si>
    <t>5.</t>
  </si>
  <si>
    <t>Összesen:</t>
  </si>
  <si>
    <t>Veszprém Megyei Jogú Város Önkormányzata Intézményei</t>
  </si>
  <si>
    <t>Működési költségvetési bevételek</t>
  </si>
  <si>
    <t>Felhalmozási költségvetési bevételek</t>
  </si>
  <si>
    <t>Irányító szervtől kapott támogatás</t>
  </si>
  <si>
    <t>Működési bevételek</t>
  </si>
  <si>
    <t>Működési célú támogatás Áht-on belülről</t>
  </si>
  <si>
    <t>Működési célú átvett pénzeszköz</t>
  </si>
  <si>
    <t>Felhalmozási bevétel</t>
  </si>
  <si>
    <t>Felhalmozási célú támogatás Áht.-on belülről</t>
  </si>
  <si>
    <t>Felhalmozási célú átvett pénzeszköz</t>
  </si>
  <si>
    <t>Közcélú és közhasznú foglalkoztatás</t>
  </si>
  <si>
    <t>(Ringató Óvoda, Erdei Tagóvoda, Kuckó Tagóvoda)</t>
  </si>
  <si>
    <t>(Egry ltp. Óvoda, Nárcisz Tagóvoda)</t>
  </si>
  <si>
    <t>(Csillag úti Óvoda, Cholnoky ltp. Óvoda)</t>
  </si>
  <si>
    <t>(Kastélykert Óvoda, Ficánka Óvoda)</t>
  </si>
  <si>
    <t>Veszprémi Petőfi Színház</t>
  </si>
  <si>
    <t>INTÉZMÉNYEK ÖSSZESEN:</t>
  </si>
  <si>
    <t>VMJV Polgármesteri Hivatal által ellátott kötelező és önként vállalt feladatok</t>
  </si>
  <si>
    <t>N</t>
  </si>
  <si>
    <t>O</t>
  </si>
  <si>
    <t>P</t>
  </si>
  <si>
    <t>Felhalmozási költségvetési kiadások</t>
  </si>
  <si>
    <t>Egyéb felhalmozási célú kiadások</t>
  </si>
  <si>
    <t>Igazgatási tevékenység</t>
  </si>
  <si>
    <t>Gondnokság</t>
  </si>
  <si>
    <t>ISO 9001 minőségbiztosítás karbantartás</t>
  </si>
  <si>
    <t>Ebből:</t>
  </si>
  <si>
    <t>Önkormányzati kötelező feladatokat ellátó intézmények összesen</t>
  </si>
  <si>
    <t>Önkormányzat által önként vállalt feladatokat ellátó intézmények összesen</t>
  </si>
  <si>
    <t>VMJV Polgármesteri Hivatal által ellátott kötelező és államigazgatási feladatok összesen</t>
  </si>
  <si>
    <t>Veszprém Megyei Jogú Város Önkormányzatának</t>
  </si>
  <si>
    <t>Működési célú támogatások Áht-on belülről</t>
  </si>
  <si>
    <t>Önkormányzatok működési támogatásai</t>
  </si>
  <si>
    <t>Működési célú költségvetési támogatások és kiegészítő támogatások</t>
  </si>
  <si>
    <t>Egyéb működési célú támogatások bevételei</t>
  </si>
  <si>
    <t>ebből: Társadalombizt. Alapból származó támogatás</t>
  </si>
  <si>
    <t>Közhatalmi bevételek</t>
  </si>
  <si>
    <t>Adók</t>
  </si>
  <si>
    <t>Egyéb pótlékok, bírságok</t>
  </si>
  <si>
    <t>Egyéb közhatalmi bevételek (bírságok, igazgatási szolgáltatási díjak)</t>
  </si>
  <si>
    <t>Önkormányzati Intézmények működési bevételek</t>
  </si>
  <si>
    <t>Működési célú átvett pénzeszközök</t>
  </si>
  <si>
    <t>Önkormányzati Intézmények működési célú átvett pénzeszközök</t>
  </si>
  <si>
    <t>Felhalmozási célú támogatások Áht-on belülről</t>
  </si>
  <si>
    <t>Felhalmozási célú önkormányzati támogatások</t>
  </si>
  <si>
    <t>Egyéb felhalmozási célú támogatások bevételei</t>
  </si>
  <si>
    <t>Önkormányzati Intézmények felhalmozási célú támogatások Áht-on belülről</t>
  </si>
  <si>
    <t>Felhalmozási bevételek</t>
  </si>
  <si>
    <t>Ingatlanok értékesítése</t>
  </si>
  <si>
    <t>Önkormányzati Intézmények felhalmozási bevételei</t>
  </si>
  <si>
    <t>Felhalmozási célú átvett pénzeszközök</t>
  </si>
  <si>
    <t>Önkormányzati Intézmények felhalmozási célú átvett pénzeszközök</t>
  </si>
  <si>
    <t>Lakásalap</t>
  </si>
  <si>
    <t>Költségvetési bevételek összesen</t>
  </si>
  <si>
    <t>Költségvetési egyenleg összege</t>
  </si>
  <si>
    <t>Finanszírozási bevételek</t>
  </si>
  <si>
    <t>Intézmények</t>
  </si>
  <si>
    <t>VMJV Polgármesteri Hivatala</t>
  </si>
  <si>
    <t>Beruházási hitelfelvétel</t>
  </si>
  <si>
    <t>Előző évi hitelszerződéseken alapuló felvétel</t>
  </si>
  <si>
    <t>Bevételi főösszeg</t>
  </si>
  <si>
    <t xml:space="preserve">Cím  </t>
  </si>
  <si>
    <t>Intézményi költségvetési kiadások</t>
  </si>
  <si>
    <t>Céltartalékok</t>
  </si>
  <si>
    <t xml:space="preserve"> - Előző évi hitelszerződéshez kapcs. feladat</t>
  </si>
  <si>
    <t>Általános tartalék</t>
  </si>
  <si>
    <t>Lakásalap kiadása</t>
  </si>
  <si>
    <t>Költségvetési kiadások összesen</t>
  </si>
  <si>
    <t>Finanszírozási kiadások</t>
  </si>
  <si>
    <t>Működési finanszírozási kiadások</t>
  </si>
  <si>
    <t>Felhalmozási finanszírozási kiadások</t>
  </si>
  <si>
    <t xml:space="preserve"> - Hiteltörlesztés</t>
  </si>
  <si>
    <t xml:space="preserve"> - Lakásalap hiteltörlesztése</t>
  </si>
  <si>
    <t>Kiadási főösszeg</t>
  </si>
  <si>
    <t>VESZPRÉM MEGYEI JOGÚ VÁROS ÖNKORMÁNYZATÁNAK MŰKÖDÉSI ÉS FELHALMOZÁSI</t>
  </si>
  <si>
    <t>MŰKÖDÉSI KÖLTSÉGVETÉSI BEVÉTELEK</t>
  </si>
  <si>
    <t>MŰKÖDÉSI KÖLTSÉGVETÉSI KIADÁSOK</t>
  </si>
  <si>
    <t>Működési célú támogatások államháztartáson belülről</t>
  </si>
  <si>
    <t>Munkaadókat terhelő járulékok és szociális hozzájárulási adó</t>
  </si>
  <si>
    <t>Ellátottak pénzbeli juttatásai</t>
  </si>
  <si>
    <t>Egyéb működési célú kiadások (tartalékok nélkül)</t>
  </si>
  <si>
    <t>6.</t>
  </si>
  <si>
    <t>Működési költségvetési bevételek összesen</t>
  </si>
  <si>
    <t>Működési költségvetési kiadások összesen</t>
  </si>
  <si>
    <t>FELHALMOZÁSI KÖLTSÉGVETÉSI BEVÉTELEK</t>
  </si>
  <si>
    <t>FELHALMOZÁSI KÖLTSÉGVETÉSI KIADÁSOK</t>
  </si>
  <si>
    <t>Felhalmozási célú támogatások államháztartáson belülről</t>
  </si>
  <si>
    <t>Beruházási kiadások</t>
  </si>
  <si>
    <t>Felújítási kiadások</t>
  </si>
  <si>
    <t>Felhalmozási költségvetési bevételek összesen</t>
  </si>
  <si>
    <t>Felhalmozási költségvetési kiadások összesen</t>
  </si>
  <si>
    <t>MŰKÖDÉSI FINANSZÍROZÁSI BEVÉTELEK</t>
  </si>
  <si>
    <t>MŰKÖDÉSI FINANSZÍROZÁSI KIADÁSOK</t>
  </si>
  <si>
    <t>Rövid lejáratú hitel felvétele</t>
  </si>
  <si>
    <t>Rövid lejáratú hitel tőkeösszegének törlesztése</t>
  </si>
  <si>
    <t>FELHALMOZÁSI FINANSZÍROZÁSI BEVÉTELEK</t>
  </si>
  <si>
    <t>FELHALMOZÁSI FINANSZÍROZÁSI KIADÁSOK</t>
  </si>
  <si>
    <t>Hosszú lejáratú hitel felvétele</t>
  </si>
  <si>
    <t>Hosszú lejáratú hitel tőkeösszegének törlesztése</t>
  </si>
  <si>
    <t>Finanszírozási bevételek összesen</t>
  </si>
  <si>
    <t>Finanszírozási kiadások összesen</t>
  </si>
  <si>
    <t>ÖSSZES BEVÉTEL</t>
  </si>
  <si>
    <t>ÖSSZES KIADÁS</t>
  </si>
  <si>
    <t>ebből működési:</t>
  </si>
  <si>
    <t>ebből felhalmozási:</t>
  </si>
  <si>
    <t>Finanszírozási kiadásokkal korrigált hiány összege</t>
  </si>
  <si>
    <t>Működési bevételek aránya %-ban</t>
  </si>
  <si>
    <t>Működési kiadások aránya %-ban</t>
  </si>
  <si>
    <t>Felhalmozási bevételek aránya %-ban</t>
  </si>
  <si>
    <t>Felhalmozási kiadások aránya %-ban</t>
  </si>
  <si>
    <t xml:space="preserve"> </t>
  </si>
  <si>
    <t>Kiemelt művészeti együttesek támogatása</t>
  </si>
  <si>
    <t>Swing-Swing Kft. Szolgáltatás vásárlás</t>
  </si>
  <si>
    <t>Bérleményekkel, haszonbérletekkel kapcsolatos feladatok</t>
  </si>
  <si>
    <t>Csapadékcsatornák üzemeltetési szolgáltatásai</t>
  </si>
  <si>
    <t>Felhalmozási célú átvett pénzeszközök (kölcsönök visszatérülése)</t>
  </si>
  <si>
    <t>Felhalmozási célú költségvetési maradvány igénybevétele</t>
  </si>
  <si>
    <t>Működési célú  költségvetési maradvány igénybevétele</t>
  </si>
  <si>
    <t>Előző évi  költségvetési maradvány</t>
  </si>
  <si>
    <t>Államháztartáson belüli megelőlegezések</t>
  </si>
  <si>
    <t>Államháztartáson belüli megelőlegezések visszafizetése</t>
  </si>
  <si>
    <t>Veszprémi Ringató Körzeti Óvoda</t>
  </si>
  <si>
    <t>Veszprémi Egry úti Körzeti Óvoda</t>
  </si>
  <si>
    <t>Veszprémi Csillag úti Körzeti Óvoda</t>
  </si>
  <si>
    <t>Veszprémi Kastélykert Körzeti Óvoda</t>
  </si>
  <si>
    <t>Veszprémi Intézményi Szolgáltató Szervezet</t>
  </si>
  <si>
    <t>Nyári diákmunka</t>
  </si>
  <si>
    <t>Pannon Várszínház támogatás</t>
  </si>
  <si>
    <t>Beruházáshoz kapcsolódó működési kiadások:</t>
  </si>
  <si>
    <t>Végleges forgalomba helyezéshez szükséges ingatlanrendezés</t>
  </si>
  <si>
    <t>Út,-járda, parkoló építések tervezési munkái</t>
  </si>
  <si>
    <t>Erdész utca csapadékvízcsatorna tervezés, engedélyezés</t>
  </si>
  <si>
    <t>Észak - déli út II. szakasz - tervezési feladatok, kisajátítás, engedélyezés</t>
  </si>
  <si>
    <t>Felújításhoz kapcsolódó működési kiadások:</t>
  </si>
  <si>
    <t>Városi rendezvények</t>
  </si>
  <si>
    <t>SÉD folyóirat költségei</t>
  </si>
  <si>
    <t>M.J.V.SZ. tám. Kárpátalja megsegítésére</t>
  </si>
  <si>
    <t>ebből:  - Lélektér Alapítvány</t>
  </si>
  <si>
    <t xml:space="preserve">           - Tanulmányi ösztöndíj</t>
  </si>
  <si>
    <t xml:space="preserve">           - Fiatalok napja rendezvény</t>
  </si>
  <si>
    <t>Lakbértámogatás</t>
  </si>
  <si>
    <t>Települési támogatások</t>
  </si>
  <si>
    <t>Parkolók üzemeltetési költsége</t>
  </si>
  <si>
    <t>ebből: - Vár Ucca Műhely támogatása</t>
  </si>
  <si>
    <t xml:space="preserve">          - Veszprémi Szemle Várostörténeti Közhasznú Alapítvány Támogatása</t>
  </si>
  <si>
    <t>EÜ. Alapell. Intézm. - Cserhát ltp. 1. védőnői tanácsadó és gyermekorv.rendelő felújítása, kialakítása</t>
  </si>
  <si>
    <t>ebből:  - Rendkívüli támogatás</t>
  </si>
  <si>
    <t>Egészségügyi feladatok ellátását szolgáló ingatlanrész bérleti díja és rezsiköltségek</t>
  </si>
  <si>
    <t>Szolgáltatások, közvetített szolgáltatások ellenértéke</t>
  </si>
  <si>
    <t>Tulajdonosi bevételek</t>
  </si>
  <si>
    <t>ÁFA bevételek és visszatérülések</t>
  </si>
  <si>
    <t xml:space="preserve">Egyéb működési  bevételek </t>
  </si>
  <si>
    <t>Költségvetési hiány belső finanszírozására szolgáló bevételek</t>
  </si>
  <si>
    <t>Költségvetési hiány külső finanszírozására szolgáló bevételek</t>
  </si>
  <si>
    <t>Feladatellátás jellege</t>
  </si>
  <si>
    <t>Kőbánya u. útrekonstrukció</t>
  </si>
  <si>
    <t>TOP-6.5.1 Laczkó Dezső Múzeum energetikai megújítása, előkészítő, engedélyezési terv</t>
  </si>
  <si>
    <t>Egyéb városüzemeltetési feladatok</t>
  </si>
  <si>
    <t>VKSZ Zrt. által ellátott városüzemeltetési feladatok</t>
  </si>
  <si>
    <t>VKSZ Zrt. által ellátott intézményüzemeltetési feladatok</t>
  </si>
  <si>
    <t>Intézményi működtetők költsége</t>
  </si>
  <si>
    <t>Szenvedélybetegek ellátásának működési kiadásaihoz támogatás</t>
  </si>
  <si>
    <t>Költségvetési maradvány</t>
  </si>
  <si>
    <t>eredeti előirányzat</t>
  </si>
  <si>
    <t>(Hársfa Tagóvoda, Bóbita Óvoda)</t>
  </si>
  <si>
    <t>Veszprémi Bóbita Körzeti Óvoda</t>
  </si>
  <si>
    <t>Veszprémi Vadvirág Körzeti Óvoda</t>
  </si>
  <si>
    <t>Járásszékhely települési önkormányzatok által fenntartott múzeumok szakmai támogatása</t>
  </si>
  <si>
    <t>Önkormányzati bérlakások felújítása</t>
  </si>
  <si>
    <t>Bérlakások üzemeltetési költségei</t>
  </si>
  <si>
    <t>Veszprém Megyei Jogú Város Önkormányzata által</t>
  </si>
  <si>
    <t>Támogatás összege</t>
  </si>
  <si>
    <t>Veszprémi Ifjúsági Közalapítvány</t>
  </si>
  <si>
    <t>Veszprém Város Vegyeskara</t>
  </si>
  <si>
    <t>17</t>
  </si>
  <si>
    <t>Vagyongazdálkodással és ingatlanhasznosítással összefüggő fel. (Földhivatali eljárások, vagyonértékelés)</t>
  </si>
  <si>
    <t>Alapítvány / egyesület / civil szervezet / társadalmi szervezet megnevezése</t>
  </si>
  <si>
    <t>Gizella Múzeum támogatása</t>
  </si>
  <si>
    <t>1. Helyi önkormányzatok működésének általános támogatása</t>
  </si>
  <si>
    <t>2. Települési önkormányzatok egyes köznevelési feladatainak támogatása</t>
  </si>
  <si>
    <t>Óvodapedagógusok és az óvodapedagógusok nevelő munkáját közvetlenül segítők bértámogatása</t>
  </si>
  <si>
    <t>Óvodaműködtetési támogatás</t>
  </si>
  <si>
    <t>Kiegészítő támogatás az óvodapedagógusok minősítéséből adódó többletkiadásokhoz</t>
  </si>
  <si>
    <t>Szociális étkeztetés</t>
  </si>
  <si>
    <t>Házi segítségnyújtás</t>
  </si>
  <si>
    <t>Időskorúak nappali intézményi ellátása</t>
  </si>
  <si>
    <t>Gyermekétkeztetés támogatása</t>
  </si>
  <si>
    <t>Rászoruló gyermekek intézményen kívüli szünidei étkeztetése</t>
  </si>
  <si>
    <t>4. Települési önkormányzatok kulturális feladatainak támogatása</t>
  </si>
  <si>
    <t>Megyei hatáskörű városi múzeumok  feladatainak támogatása</t>
  </si>
  <si>
    <t>Megyei könyvtárak feladatainak támogatása</t>
  </si>
  <si>
    <t>Megyeszékhely megyei jogú városok közművelődési támogatása</t>
  </si>
  <si>
    <t>Megyei könyvtár kistelepülési könyvtári célú kiegészítő támogatása</t>
  </si>
  <si>
    <t>Zenekarok támogatása</t>
  </si>
  <si>
    <t>(Csillagvár Waldorf Tagóvoda, Vadvirág Óvoda)</t>
  </si>
  <si>
    <t>Futsal Club Veszprém</t>
  </si>
  <si>
    <t>hiteltörlesztésének, hitelállományának és egyéb kötelezettségeinek alakulásáról</t>
  </si>
  <si>
    <t>Q</t>
  </si>
  <si>
    <t>Hitel megnevezése</t>
  </si>
  <si>
    <t>Hitelt nyújtó pénzintézet</t>
  </si>
  <si>
    <t>Hitelszerződés dátuma</t>
  </si>
  <si>
    <t>Lejárat idő- pontja</t>
  </si>
  <si>
    <t>Hitelkeret</t>
  </si>
  <si>
    <t>OTP Bank</t>
  </si>
  <si>
    <t>Beruházási hitel - SMO 2011.</t>
  </si>
  <si>
    <t>UniCredit Bank</t>
  </si>
  <si>
    <t xml:space="preserve">Beruházási hitel - Célhitel 2013. </t>
  </si>
  <si>
    <t>Beruházási hitel - MFB 2013.</t>
  </si>
  <si>
    <t>Takarékbank</t>
  </si>
  <si>
    <t>7.</t>
  </si>
  <si>
    <t>Pénzintézetekkel szemben fenálló kötelezettségek összesen</t>
  </si>
  <si>
    <t>Törvények és helyi rendeletek által nyújtott mentességek, kedvezmények</t>
  </si>
  <si>
    <t>Lakosság részére lakásépítéshez, lakásfelújításhoz nyújtott kölcsönök elengedésének összege</t>
  </si>
  <si>
    <t>Helyiségek, eszközök hasznosításából származó bevételből nyújtott kedvezmény, mentesség összege</t>
  </si>
  <si>
    <t>Veszprémi Bölcsődei és Egészségügyi Alapellátási Integrált Intézmény</t>
  </si>
  <si>
    <t xml:space="preserve"> - Gizella Kórus/Dowland Alapítvány</t>
  </si>
  <si>
    <t xml:space="preserve">Központi orvosi ügyelet </t>
  </si>
  <si>
    <t>TOP-6.2.1-15-VP1-2016-00002 Gyulafirátóti óvoda újjáépítése</t>
  </si>
  <si>
    <t>ELENA projekt előkészítési feladatokra konzorciumi hozzájárulás</t>
  </si>
  <si>
    <t>TOP-6.2.1-15-VPI-2016-00003 Egry úti óvoda újjáépítése</t>
  </si>
  <si>
    <t>TOP-6.3.3-15-VPI-2016-00001 Kertváros csapadékelvezető rendszer rekonstrukciója I. ütem</t>
  </si>
  <si>
    <t>TOP-6.2.1-15-VPI-2016-00001 Aprófalvi bölcsőde kapacitásbővítő átalakítása</t>
  </si>
  <si>
    <t xml:space="preserve">           - Veszprémi Ifjúsági Közalapítvány</t>
  </si>
  <si>
    <t>Mendelssohn Kamarazenekar</t>
  </si>
  <si>
    <t xml:space="preserve"> Európai Uniós forrásból finanszírozott támogatással megvalósuló programok, projektek bevételeiről és kiadásairól az Ávr. 24. § (1) bekezdés a.) és bd.) pontjainak megfelelően</t>
  </si>
  <si>
    <t>Program megnevezés</t>
  </si>
  <si>
    <t>Program megvalósításának ideje</t>
  </si>
  <si>
    <t>Saját erő</t>
  </si>
  <si>
    <t>EU támogatás összesen</t>
  </si>
  <si>
    <t>EU támogatás</t>
  </si>
  <si>
    <t>TOP.6.6.1-15-VP2-2016-00001 Egészségház építése</t>
  </si>
  <si>
    <t>TOP-6.6.2-15-VP1-2016-00001 Idős demensek nappali ellátójának kialakítása</t>
  </si>
  <si>
    <t>TOP-6.4-1-15-VP1-2016-00002 Fenntartható Város Mobilitási terv készítése Veszprém Megyei Jogú Város területére (SUMP)</t>
  </si>
  <si>
    <t>Család- és gyermekjóléti központ</t>
  </si>
  <si>
    <t>Fogyatékos személyek nappali intézményi ellátása</t>
  </si>
  <si>
    <t>Demens személyek nappali intézményi ellátása</t>
  </si>
  <si>
    <t>VMJV Önkormányzat</t>
  </si>
  <si>
    <t xml:space="preserve">Veszprémi Bóbita Körzeti Óvoda </t>
  </si>
  <si>
    <r>
      <t>Ebből</t>
    </r>
    <r>
      <rPr>
        <i/>
        <sz val="10"/>
        <rFont val="Palatino Linotype"/>
        <family val="1"/>
      </rPr>
      <t>: költségvetési támogatás</t>
    </r>
  </si>
  <si>
    <t xml:space="preserve">B </t>
  </si>
  <si>
    <t>Projekt forrás összetétel</t>
  </si>
  <si>
    <t>Projekt költség megbontás</t>
  </si>
  <si>
    <t>2016. évi            tény</t>
  </si>
  <si>
    <t>2016. évi                tény</t>
  </si>
  <si>
    <t>1-16</t>
  </si>
  <si>
    <t>Tőke-törlesztés 2020</t>
  </si>
  <si>
    <t>Rövid lejáratú hitel (1500M Ft)</t>
  </si>
  <si>
    <t>Beruházási hitel  - MFB 2014</t>
  </si>
  <si>
    <t>Beruházási hitel - Célhitel 2014</t>
  </si>
  <si>
    <t>a Veszprém Megyei Jogú Város Önkormányzata Támogatási Szerződéssel rendelkező</t>
  </si>
  <si>
    <t>Erdész u.-i parkoló építés</t>
  </si>
  <si>
    <t>Orgona utca átépítésének kivitelezése</t>
  </si>
  <si>
    <t>Petőfi Sándor utca rekonstrukciója</t>
  </si>
  <si>
    <t>Stromfeld Aurél utca akadálymentesítés</t>
  </si>
  <si>
    <t>Eü. Alapellátás</t>
  </si>
  <si>
    <t>Megyei Könyvtár kistelepülési könyvtári és közművelődési célú kiegészítő állami támogatás</t>
  </si>
  <si>
    <t>Gépkocsi gumiabroncs beszerzés</t>
  </si>
  <si>
    <t>Mihály-napi búcsú</t>
  </si>
  <si>
    <t>Stadion üzemeltetése</t>
  </si>
  <si>
    <t>Városi ifjúsági keret</t>
  </si>
  <si>
    <t>Rendszeres gyermekvédelmi kedvezmény/pénzbeli ellátás</t>
  </si>
  <si>
    <t>Szünidei gyermekétkeztetés</t>
  </si>
  <si>
    <t xml:space="preserve">          - Lakásfenntartási támogatás </t>
  </si>
  <si>
    <t xml:space="preserve">          - Albérleti támogatás</t>
  </si>
  <si>
    <t xml:space="preserve">          - Temetési támogatás</t>
  </si>
  <si>
    <t xml:space="preserve">          - Térítési díj</t>
  </si>
  <si>
    <t xml:space="preserve">          - Gyógyszertámogatás</t>
  </si>
  <si>
    <t xml:space="preserve">         - Adósságcsökkentési támogatás</t>
  </si>
  <si>
    <t xml:space="preserve">         - Szünidei gyermekétkeztetés</t>
  </si>
  <si>
    <t>Nevelési szolgáltatás</t>
  </si>
  <si>
    <t>Német Nemzetiségi Önk. helységének bérleti díja</t>
  </si>
  <si>
    <t>Szolidaritási hozzájárulás</t>
  </si>
  <si>
    <t xml:space="preserve">Észak-Nyugati Közlekedési Központ Zrt. Helyi közösségi közlekedés közszolgáltatás és veszteségkiegyenlítés </t>
  </si>
  <si>
    <t>Önkormányzati tulajdonú ingatlanok művelési ág változásával járó költségek (Földhivatal)</t>
  </si>
  <si>
    <t>Közmű alaptérkép változásvezetés</t>
  </si>
  <si>
    <t>Térinformatikai rendszer adatfeltöltés, fakataszter</t>
  </si>
  <si>
    <t>Óvodai csoportok átmeneti elhelyezését szolgáló konténerek bérleti díja</t>
  </si>
  <si>
    <t>TOP-6.8.2-15-VPI-2016-00001 Helyi foglalkoztatási együttműködések a megyei jogú város területén és várostérségben, foglalkoztatási együttműködés a veszprémi járás területén</t>
  </si>
  <si>
    <t>TOP-6.4.1-15-VP1-2016-00001"Közlekedésbiztonsági és kerékpárosbarát fejlesztések megvalósulása Veszprém város területén"</t>
  </si>
  <si>
    <t>Szentkirályszabadja - Veszprém Reptér tulajdonjogának megszerzéséhez kapcsolódó per- és egyéb költség</t>
  </si>
  <si>
    <t>DAT térképfrissítés, földkönyv, közműnyilvántartás, GPS</t>
  </si>
  <si>
    <t>Rendezési terv felülvizsgálat megjelenítése a térinformatikai rendszerben</t>
  </si>
  <si>
    <t>Hiány finanszírozása belső finanszírozásra szolgáló költségvetési bevétel összegével</t>
  </si>
  <si>
    <t>Hiány finanszírozása külső finanszírozásra szolgáló költségvetési bevétel összegével</t>
  </si>
  <si>
    <t>DTP1-1-311-2.2 Interreg Duna Nemzetközi Program Networld*</t>
  </si>
  <si>
    <t>Országgyűlési képviselők választása 2018.</t>
  </si>
  <si>
    <t>KÖFOP-1.2.1-VEKOP-16-2017-01268, Veszprém Megyei Jogú Város Önkormányzata ASP Központhoz való csatlakozása</t>
  </si>
  <si>
    <t>Csillagvár Waldorf Tagóvoda</t>
  </si>
  <si>
    <t>Hársfa Tagóvoda</t>
  </si>
  <si>
    <t>Nárcisz Tagóvoda</t>
  </si>
  <si>
    <t>Cholnoky Jenő Ltp. Tagóvoda</t>
  </si>
  <si>
    <t>Ficánka Tagóvoda</t>
  </si>
  <si>
    <t>Tárgyi eszközök beszerzésére</t>
  </si>
  <si>
    <t>Hóvirág Bölcsőde</t>
  </si>
  <si>
    <t>Vackor Bölcsőde</t>
  </si>
  <si>
    <t>Aprófalvi Bölcsőde</t>
  </si>
  <si>
    <t>Módszertani Bölcsőde</t>
  </si>
  <si>
    <t>Fogorvosi körzeteknek működési hozzájárulás</t>
  </si>
  <si>
    <t>Fogorvosi körzetek részére pályázati alap</t>
  </si>
  <si>
    <t>Paktum Iroda működéséhez hozzájárulás</t>
  </si>
  <si>
    <t>Magyar-Lengyel Barátság napja</t>
  </si>
  <si>
    <t>Állatmenhelyek támogatása</t>
  </si>
  <si>
    <t>Helikoni Ünnepségek Keszthelyen (diákok nevezési díjai)</t>
  </si>
  <si>
    <t>Hatósági engedélyek beszerzése, hatályban tartása</t>
  </si>
  <si>
    <t>Közlekedési Igazgatóság költségei</t>
  </si>
  <si>
    <t>"Városom Veszprém", "Virágos Magyarországért" és "Entente Florale" verseny szervezési, előkészítési, lebonyolítási költségei</t>
  </si>
  <si>
    <t>Repülőtér üzemeltetése</t>
  </si>
  <si>
    <t>Musica Sacra Alapítvány</t>
  </si>
  <si>
    <t>Veszprémi Deák Ferenc Ált. Iskoláért Közhasznú Alapítvány</t>
  </si>
  <si>
    <t>Fúvós Kultúráért Alapítvány támogatása</t>
  </si>
  <si>
    <t>Balaton Vívóklub</t>
  </si>
  <si>
    <t>DTP1-1-311-2.2 Interreg Duna Nemzetközi Program Netwold</t>
  </si>
  <si>
    <t>TOP 6.1.5-16-VPI-2017-00001 Északi Iparterület Közlekedésfejlesztése</t>
  </si>
  <si>
    <t>MVP Veszprémi Petőfi Színház komplex fejlesztése</t>
  </si>
  <si>
    <t>TOP-6.3.3-15 Csapadékvíz-elvezető rendszer rekonstrukciója I. ütem - Dózsaváros előkészítő, engedélyezési, kiviteli és tender terv</t>
  </si>
  <si>
    <t>Táncsics utcai rendelő felújítása</t>
  </si>
  <si>
    <t>Egészségház közműfejlesztési költségek</t>
  </si>
  <si>
    <t>Védőnői és háziorvosi körzetek költöztetési költsége</t>
  </si>
  <si>
    <t>Állatkert építési engedélyezési tervek</t>
  </si>
  <si>
    <t>Gyulafirátót 10089/4 hrsz-ú ingatlan közműfejlesztési költségei</t>
  </si>
  <si>
    <t>Veszprémi Dózsa György Német Nemzetiségi Nyelvoktató Általános Iskola - nyílászáró csere 2 tanteremben</t>
  </si>
  <si>
    <t>TOP-6.3.3-16-VP1-2017-00001 Dózsaváros, Pápai úti csapadékvíz-elvezető rendszer fejlesztése</t>
  </si>
  <si>
    <t>TOP-6.6.1-16-VP1-2017-00001 Gyulafirátóti rendelő felújítása</t>
  </si>
  <si>
    <t>TOP – 6.3.2 Zöldváros kialakítása (Kulturális negyed - Színházkert, Megyeház tér, Erzsébet liget, Erzsébet sétány – fejlesztése)</t>
  </si>
  <si>
    <t>EFOP-1.9.9-17-2017-00004 Még jobb kezekben - Veszprémben</t>
  </si>
  <si>
    <t>Veszprém, Pápai út 37. szám alatti ingatlanon munkásszállás kialakítása</t>
  </si>
  <si>
    <t>MVP Kittenberger Kálmán Növény- és Vadaspark fejlesztése és bővítése</t>
  </si>
  <si>
    <t>MVP Veszprémi Zeneművészeti Szakgimnázium és Alapfokú Művészeti Iskola intézményegysége, a Csermák Antal Zeneiskola felújításának megvalósítása</t>
  </si>
  <si>
    <t>A Várlift építészeti tervpályázat lebonyolítása</t>
  </si>
  <si>
    <t>Veszprémi Torna Club részére könnyűszerkezetes sportlétesítmény építése</t>
  </si>
  <si>
    <t>Gyulafirátót Németh u. útrekonstrukció I. ütem csapadékvíz elvezetés</t>
  </si>
  <si>
    <t>Veszprém Foci Centrum Utánpótlás SE</t>
  </si>
  <si>
    <t>Veszprémi Egyetemi és Diák Atlétikai Club</t>
  </si>
  <si>
    <t>Török I.u. - Aulich összekötés</t>
  </si>
  <si>
    <t>Máltai Szeretetszolgálat</t>
  </si>
  <si>
    <t>Kulturális kínálat bővítés/ amatőr művészeti csoportok támogatása</t>
  </si>
  <si>
    <t>Hiszek Benned Sport Program</t>
  </si>
  <si>
    <t>Veszprémi Kistérségi Társulásnak pénzeszköz átadás (Egyesített Szoc.Int.)</t>
  </si>
  <si>
    <t>Közutak, hidak fenntartása</t>
  </si>
  <si>
    <t xml:space="preserve"> - Viziközmű fejlesztés</t>
  </si>
  <si>
    <t>Művészetek Háza Veszprém Művelődési Ház és Kiállítóhely</t>
  </si>
  <si>
    <t>Kabóca Bábszínház</t>
  </si>
  <si>
    <r>
      <rPr>
        <b/>
        <sz val="10"/>
        <rFont val="Palatino Linotype"/>
        <family val="1"/>
      </rPr>
      <t>EFOP-1.9.9-17-2017-00004</t>
    </r>
    <r>
      <rPr>
        <sz val="10"/>
        <rFont val="Palatino Linotype"/>
        <family val="1"/>
      </rPr>
      <t xml:space="preserve"> Még jobb kezekben - Veszprémben</t>
    </r>
  </si>
  <si>
    <r>
      <rPr>
        <b/>
        <sz val="10"/>
        <rFont val="Palatino Linotype"/>
        <family val="1"/>
      </rPr>
      <t>EFOP-4.1.9-16-2017-00014</t>
    </r>
    <r>
      <rPr>
        <sz val="10"/>
        <rFont val="Palatino Linotype"/>
        <family val="1"/>
      </rPr>
      <t xml:space="preserve"> A múzeumi és levéltári intézményrendszer tanulás segítő infrastrukturális fejlesztései -Laczkó Dezső Múzeumban oktatótermek és kiszolgáló helyiségek kialakítása</t>
    </r>
  </si>
  <si>
    <r>
      <rPr>
        <b/>
        <sz val="10"/>
        <rFont val="Palatino Linotype"/>
        <family val="1"/>
      </rPr>
      <t>EFOP-3.3.2-16-2016-00107</t>
    </r>
    <r>
      <rPr>
        <sz val="10"/>
        <rFont val="Palatino Linotype"/>
        <family val="1"/>
      </rPr>
      <t xml:space="preserve"> Kulturális intézmények a köznevelés eredményességéért</t>
    </r>
  </si>
  <si>
    <t>2017. évi tény</t>
  </si>
  <si>
    <t>TOP-6.4.1-16-VP1-17-00001 Kerékpárút építése Alsóörs - Felsőörs irányába</t>
  </si>
  <si>
    <t>TOP-6.5.1-16-VP1-2017-00001 Veszprém Városra vonatkozó fenntartható energia és klíma akcióterv (SECAP) elkészítése</t>
  </si>
  <si>
    <t>EFOP-2.4.2-17-2018-00012 Szociális bérlakások felújítása Veszprémben</t>
  </si>
  <si>
    <t>Időközi helyi önkormányzati képviselő választás 2018.</t>
  </si>
  <si>
    <t>TOP-6.6.1-16-VP1-2017-00002 Kádártai rendelő felújítása</t>
  </si>
  <si>
    <t>601835-CITIZ-1-2018-1-HU-CITIZ-NT Reveal YouropEaN Cultural Heritage/Tárd fel  európai kulturális örökségedet (ENriCH)</t>
  </si>
  <si>
    <t>Mentorprogram pályakezdők részre, együttműködési megállapodás az Életet Segítő Alapítvánnyal az 57/2018. (III.29.) határozat alapján</t>
  </si>
  <si>
    <t>TOP-6.4.1-15-VP1-2016-00001 Közlekedésbiztonsági és kerékpárosbarát fejlesztések megvalósulása Veszprém város területén</t>
  </si>
  <si>
    <t>** Ezen projektek esetében a 2018. évi EU támogatás negatív előirányzata az EU támogatás visszautalását jelenti.</t>
  </si>
  <si>
    <t>Veszprémi Családsegítő és Gyermekjóléti Integrált Intézmény</t>
  </si>
  <si>
    <t>Agóra Veszprém Kulturális Központ</t>
  </si>
  <si>
    <t xml:space="preserve">Agóra Veszprém Kulturális Központ </t>
  </si>
  <si>
    <t>1-17</t>
  </si>
  <si>
    <t>18</t>
  </si>
  <si>
    <t>Nemzetiségi pótlék</t>
  </si>
  <si>
    <t>Napsugár Bölcsőde</t>
  </si>
  <si>
    <t>TOP-6.4.1-16-VP1-2018-00002 Kerékpárút építése Márkó-Bánd települések irányába</t>
  </si>
  <si>
    <t xml:space="preserve">          - 10 éves kiadvány</t>
  </si>
  <si>
    <t>Veszprém Város Vegyeskar utánpótlás/Dúdoló Kórus</t>
  </si>
  <si>
    <t>Oktatási intézmények támogatása</t>
  </si>
  <si>
    <t>Téli rezsicsökkentésben nem részesültek egyszeri támogatása</t>
  </si>
  <si>
    <t>Környezet terhelés vizsgálat K-Ny-i főtengely I. ütem</t>
  </si>
  <si>
    <t>VESZOL - Veszprém, Pápai u. 37. sz. munkásszálló működetési feladatai</t>
  </si>
  <si>
    <t>MVP Veszprémi Zeneművészeti Szakgimnázium és Alapfokú Művészeti Iskola intézményegysége, a Csermák Antal Zeneiskola felújításához tartozó költöztetési feladatok elvégzése</t>
  </si>
  <si>
    <t>TOP orvosi rendelők felújításához tartozó költöztetési munkák</t>
  </si>
  <si>
    <t>Felújításra kerülő bölcsődék költöztetési, eszközszállítási feladatai</t>
  </si>
  <si>
    <t xml:space="preserve">EFOP-1.9.9-17-2017-00004 Még jobb kezekben - Veszprémben </t>
  </si>
  <si>
    <t>V-Busz Kft. Cégalapítás költségei</t>
  </si>
  <si>
    <t>Digitális Kódfejtő Alapítvány támogatása/Talentum Centrum Tehetséggondozó Alapítvány</t>
  </si>
  <si>
    <t>TOP-71.1. Helyi közösségi kezdeményezések (CLLD kulcsprojekt előkészítése)</t>
  </si>
  <si>
    <t>TOP-6.9.2 A helyi identitás és koházió erősítése</t>
  </si>
  <si>
    <t>Erasmus+K3 SporTown</t>
  </si>
  <si>
    <t>Gyulafirátóti rendelő felújítása költöztetés)</t>
  </si>
  <si>
    <t>Kádártai rendelő felújítása - Posta költöztetés</t>
  </si>
  <si>
    <t>9.sz. választókerületi járdaépítések</t>
  </si>
  <si>
    <t>A "Helyi foglalkoztatási együttműködések a megyei jogú város területén és várostérségben, foglalkoztatási együttműködés a veszprémi járás területén" projekt közbeszerzési eljárásával kapcsolatos fizetési kötelezettség</t>
  </si>
  <si>
    <t>Infrastruktúra fejlesztési feladatokhoz kapcsolódó kiadások</t>
  </si>
  <si>
    <t>Belváros komplett gazdasági, szociális, épített örökségvédelmi rehabilitációja és városfejlesztési stratégia elkészítése KDOP-3.1.1/D-2010-0001</t>
  </si>
  <si>
    <t>TOP-6.6.1-16-VP1 Jutasi u. 59. sz. alatti rendelő megújítása</t>
  </si>
  <si>
    <t>Jutasi u. 59. sz. alatti rendelő felújításához - költöztetés</t>
  </si>
  <si>
    <t>TOP 6.5.1-16 Önkormányzati épületek energetikai korszerűsítése</t>
  </si>
  <si>
    <t>MVP "Veszprémi új Városi Jégcsarnok építése"</t>
  </si>
  <si>
    <t>Tornászgyakorló kivitelezéséhez kapcsolódó közbeszerzés</t>
  </si>
  <si>
    <t>Veszprém, Óvári Ferenc u. 1. volt Zeneiskolában kiállításhoz szükséges költségekre</t>
  </si>
  <si>
    <t>Közbeszerzési szakértelem beszerzése (sportmarketing)</t>
  </si>
  <si>
    <t>Tagsági díj Balatoni Szövetség</t>
  </si>
  <si>
    <t>Felsőörs raktárbázis Felsőörs Szabadság tér 14 érintésvédelmi felülvizsgálata hatósági kötelezettség</t>
  </si>
  <si>
    <t>GINOP - 7.1.9-17-2018-00023 Veszprém kulturális turisztikai kínálatának fejlesztése</t>
  </si>
  <si>
    <t>Barátság park sportfejlesztések előkészítése, közmű ellátása</t>
  </si>
  <si>
    <t>Játszótérépítések</t>
  </si>
  <si>
    <t>Boglárka u.-Lóczy u. gyalogátkelő</t>
  </si>
  <si>
    <t>Festő utca rekonstrukciója, tervezés</t>
  </si>
  <si>
    <t>Polgármesteri Hivatal felújítási munkák</t>
  </si>
  <si>
    <t>Magyar Építőipari Múzeum Szent István u. épület fertőtlenítése és felújítása</t>
  </si>
  <si>
    <t>Védett sírok felújítása az Alsóvárosi temetőben</t>
  </si>
  <si>
    <t>Szilágyi Táncegyüttes Alapítvány</t>
  </si>
  <si>
    <t>Cholnoky Jazzbalettért Alapítvány</t>
  </si>
  <si>
    <t>Szent Miklós szeg környezetének fejlesztése, építészeti ötletpályázat</t>
  </si>
  <si>
    <t>Befektetés ösztönzési kiadványök (részvétel a Renexpo ingatlanfejlesztési vásáron, marketingakciók)</t>
  </si>
  <si>
    <t>Egyesített Szoc.Int. - Hóvirág utcai II.sz. Gondozási Központ 3.sz. Idősek Nappali Intézménye (9.vk. támogatása)</t>
  </si>
  <si>
    <t>Brusznyai Árpád Alapítvány támogatása</t>
  </si>
  <si>
    <t>Működési célú tartalékok</t>
  </si>
  <si>
    <t>Felhalmozási célú tartalékok</t>
  </si>
  <si>
    <t>Működési célú céltartalékok</t>
  </si>
  <si>
    <t>Felhalmozási célú céltartalékok</t>
  </si>
  <si>
    <t>R</t>
  </si>
  <si>
    <t>S</t>
  </si>
  <si>
    <t>8.</t>
  </si>
  <si>
    <t>TOP-6.2.1-16-VP1-2018-00002 Egry úti óvoda újjáépítése</t>
  </si>
  <si>
    <t xml:space="preserve">TOP 6.5.1-16 Önkormányzati épületek energetikai korszerűsítése </t>
  </si>
  <si>
    <t>URBACT Innova Tor</t>
  </si>
  <si>
    <t>Projekt teljes költség</t>
  </si>
  <si>
    <t>TOP-6.6.1-16-VP1-2018-00006 - Cserhát ltp.1.sz.alatti gyermekorvosi rendelők  felújítása</t>
  </si>
  <si>
    <t>TOP-6.5.1-16-VP1-2018-00005 - Március 15. utcai Sportcsarnok és Uszoda energetikai megújítása</t>
  </si>
  <si>
    <t>TOP-6.5.1-16-VP1-2018-00002 Völgyikút utca 2. szám alatti épület energetikai megújítása</t>
  </si>
  <si>
    <t>TOP-6.2.1-16-VP1-2018-00001  A Veszprémi Bölcsődei és Egészségügyi Alapellátási Integrált Intézmény Módszertani Bölcsődéje megújítása, illetve bölcsődei eszközbeszerzések</t>
  </si>
  <si>
    <t xml:space="preserve"> - Beruházási kiadásokra képzett céltartalék                     </t>
  </si>
  <si>
    <t xml:space="preserve"> - Intézményi beruházáshoz kapcsolódó létszámbővítés</t>
  </si>
  <si>
    <t xml:space="preserve">          - Beiskolázási támogatás</t>
  </si>
  <si>
    <t>2020. év</t>
  </si>
  <si>
    <t>2018. évi           tény</t>
  </si>
  <si>
    <t>2019. évi eredeti előirányzat</t>
  </si>
  <si>
    <t>2018. évi tény</t>
  </si>
  <si>
    <t>2020. évi előirányzat</t>
  </si>
  <si>
    <t>2020. évi kiadási előirányzat</t>
  </si>
  <si>
    <t>2020. évi bevételi előirányzat</t>
  </si>
  <si>
    <t>VMJV Polgármesteri Hivatal összesen:</t>
  </si>
  <si>
    <t>Teljesítés                      2018.          12.31.-ig</t>
  </si>
  <si>
    <t>2020. év utáni javaslat</t>
  </si>
  <si>
    <t>Munk.a. terh. Jár. És szoc.hj.adó</t>
  </si>
  <si>
    <t>TOP-6.3.2-16-VP1-2018-00001 Kulturális negyed</t>
  </si>
  <si>
    <t>Egyéb működési célú kiadások</t>
  </si>
  <si>
    <t>Teljes költség*</t>
  </si>
  <si>
    <t>* Az intézményeknél kimutatott adatokat is tartalmazza</t>
  </si>
  <si>
    <t>Működési költségvetési                                                                         kiadások</t>
  </si>
  <si>
    <r>
      <rPr>
        <b/>
        <sz val="10"/>
        <rFont val="Palatino Linotype"/>
        <family val="1"/>
      </rPr>
      <t>TOP – 6.9.2 -16-VP1-2018-00001</t>
    </r>
    <r>
      <rPr>
        <sz val="10"/>
        <rFont val="Palatino Linotype"/>
        <family val="1"/>
      </rPr>
      <t xml:space="preserve"> Közösségfejlesztés Veszprém város településrészein</t>
    </r>
  </si>
  <si>
    <t>Európa Parlament tagjainak 2019. évi választása</t>
  </si>
  <si>
    <t>Helyi és nemzetiségi önkormányzati képviselők 2019. évi választása</t>
  </si>
  <si>
    <t>Teljesítés                      2018.          12.31.-ig*</t>
  </si>
  <si>
    <t>2018. évi              tény</t>
  </si>
  <si>
    <t xml:space="preserve"> - Működési kiadásokra képzett céltartalék</t>
  </si>
  <si>
    <t xml:space="preserve"> - Adóbevételekkel szembeni kötelezettség</t>
  </si>
  <si>
    <t>Óvodák összesen:</t>
  </si>
  <si>
    <t>Egészségügyi és szociális intézmények összesen:</t>
  </si>
  <si>
    <t>Kulturális és közművelődési intézmények összesen:</t>
  </si>
  <si>
    <t>TOP-6.6.1-16-VP1-2018-0003 "Jutasi u. 59. sz. alatti orvosi rendelők megújítása"</t>
  </si>
  <si>
    <t xml:space="preserve">Előir. csop. </t>
  </si>
  <si>
    <t>Kie-melt előir.</t>
  </si>
  <si>
    <t xml:space="preserve">Kie-melt előir. </t>
  </si>
  <si>
    <t xml:space="preserve"> Erdei és Kuckó Tagóvoda</t>
  </si>
  <si>
    <t>Önkormányzati működési kiadások</t>
  </si>
  <si>
    <t>INTÉZMÉNYEK BERUHÁZÁSI KIADÁSAI ÖSSZESEN:</t>
  </si>
  <si>
    <t>VMJV  Polgármesteri Hivatal beruházási kiadásai összesen:</t>
  </si>
  <si>
    <t>2020.</t>
  </si>
  <si>
    <t>2021-től</t>
  </si>
  <si>
    <t>Erasmus +K3 SporTown</t>
  </si>
  <si>
    <t>TOP-6.5.1-16-VP1-2018-00004 Aprófalvi bölcsőde energetikai korszerűsítése</t>
  </si>
  <si>
    <t>TOP-6.6.1-16-VP1-2017-00002 Kádártai rendelő kialakítása</t>
  </si>
  <si>
    <t>TOP-6.5.1-16-VP1-2018-00006 Módszertani bölcsőde energetikai megújítása</t>
  </si>
  <si>
    <t>TOP-6.6.1-16-VP1-2018-00004 Vilonyai utca 2/B szám alatti orvosi rendelő megújítása</t>
  </si>
  <si>
    <t>TOP-6.6.1-16-VP1-2018-00005 Ördögárok u. 5. szám alatti orvosi rendelő megújítása</t>
  </si>
  <si>
    <t>TOP-6.1.5-16-VP1-2017-00001 Északi Iparterület Közlekedés-fejlesztése</t>
  </si>
  <si>
    <t>TOP-6.4.1-16-VP1-2018-00002 Márkó-Bánd települések irányába kerékpárút építése</t>
  </si>
  <si>
    <t>KEHOP-5.4.1-16-2016-00142 "Veszprém, az energiatudatos város"</t>
  </si>
  <si>
    <t xml:space="preserve">TOP-7.1.1-16-H-ERFA-2019-00078 Szent Miklós-szegi Kálvária domb és környékének infrastrukturális felújítása és funkcióbővítése </t>
  </si>
  <si>
    <t xml:space="preserve">Urbact Innova-tor </t>
  </si>
  <si>
    <t>"Creative Impulses for the Cities" DTP Interreg projekt</t>
  </si>
  <si>
    <t>"Scholl of Participation" - Creative Europe projekt</t>
  </si>
  <si>
    <t>"Ister DTP Interreg Projekt</t>
  </si>
  <si>
    <t>TOP-7.1.1-16-H-ERFA-2019-00372 Barátságparki csalánkert</t>
  </si>
  <si>
    <t>KEHOP-1.2.1-18-2019-00247 Veszprém MJV klímastratégia kidolgozása és klímatudatosságot erősítő, szemléletformáló programok megvalósítása</t>
  </si>
  <si>
    <t>Urban Innovative Actions Európai Uniós közösségi kezdeményezés</t>
  </si>
  <si>
    <t>TOP-6.9 "Közösségfejlesztés Veszprém város településrészein</t>
  </si>
  <si>
    <t>Erasmus+ KA1 " Media of the Future</t>
  </si>
  <si>
    <t>TOP-6.5-1-19 Laczkó Dezső Múzeum energetikai megújítása</t>
  </si>
  <si>
    <t>KEHOP-5.2.2 VSZC Ipari Szakgimnázium energetikai fejlesztése</t>
  </si>
  <si>
    <t>Iparos Park</t>
  </si>
  <si>
    <t>Veszprémi Petőfi Színház komplex fejlesztése</t>
  </si>
  <si>
    <t>Kittenberger Kálmán Növény- és Vadaspark fejlesztése és bővítése</t>
  </si>
  <si>
    <t>Veszprémi Zeneművészeti Szakgimnázium és Alapfokú Művészeti Iskola intézményegysége, a Csermák Antal Zeneiskola felújításának megvalósítása</t>
  </si>
  <si>
    <t>Veszprémi új Városi Jégcsarnok építése</t>
  </si>
  <si>
    <t>MVP feladatok előkészítés költségei</t>
  </si>
  <si>
    <t>Európa Kulturális Fővárosa I. ütem - nem elszámolható költségek</t>
  </si>
  <si>
    <t>Karácsonyi köztéri dekorációk beszerzése</t>
  </si>
  <si>
    <t>Kertészeti felújítások</t>
  </si>
  <si>
    <t>Játszótér építése</t>
  </si>
  <si>
    <t>Csikász u., Egyetem u., Stadion u., Hóvirág u. tömbbelső</t>
  </si>
  <si>
    <t>Hősök kapuja vizesedési gondok</t>
  </si>
  <si>
    <t>Intézményi játszóeszközök</t>
  </si>
  <si>
    <t>Térfigyelő kamerák</t>
  </si>
  <si>
    <t>Agóra parkoló, Halle u.</t>
  </si>
  <si>
    <t>TÁMOP-3.1.3-11/2-2012-0061 "Természettudományos közoktatási laboratórium kialakítása a veszprémi Ipari Szakközépiskola és Gimnáziumban"</t>
  </si>
  <si>
    <t>Kreatív Európa Program "Az együttműködés iskolája" projekt önerő</t>
  </si>
  <si>
    <t>Beruházások közműdíjai</t>
  </si>
  <si>
    <t>Leégett párizsi Notre Dame Katedrális támogatása</t>
  </si>
  <si>
    <t>Illegális hulladéklerakók felszámolása KIEFO/14535/2019-ITM</t>
  </si>
  <si>
    <t>Vörösmarty tér tömbbelső fejlesztés, I. ütem (csapadékvíz elvezés kiépítése) + II. ütem</t>
  </si>
  <si>
    <t>Petőfi Sándor utca rekonstrukciójai-III. ütem</t>
  </si>
  <si>
    <t>Csererdő csapadékvíz -tervezés</t>
  </si>
  <si>
    <t>6.vk. Gyalogátkelőhely tervezése (Ady E. u)</t>
  </si>
  <si>
    <t>Parkoló tervezése a Halle u.-i szám előtti területen</t>
  </si>
  <si>
    <t>Egry úti Óvoda újjáépítése miatt szükséges óvodai felújítások, konténer ovi telepítése</t>
  </si>
  <si>
    <t>Nagyfelületű út- és járdafelújítások</t>
  </si>
  <si>
    <t>Vízrendezési feladatok, árkok felújítása</t>
  </si>
  <si>
    <t>Kertvárosi utcák felújítása víziközmű rekonstrukció után</t>
  </si>
  <si>
    <t>Elkorhadt nyílászárók cseréje II. ütem</t>
  </si>
  <si>
    <t>Árnyékolás két pavilon teraszán</t>
  </si>
  <si>
    <t>Hátsó épület utólagos vízszigetelése, külső terepszint süllyesztése</t>
  </si>
  <si>
    <t>Erdei Tagóvoda</t>
  </si>
  <si>
    <t>Terasz árnyékolás</t>
  </si>
  <si>
    <t>Kuckó Tagóvoda</t>
  </si>
  <si>
    <t>Veszprémi Egry Úti Körzeti Óvoda</t>
  </si>
  <si>
    <t>Ereszcsatorna bővítés, csapadékelvezetés</t>
  </si>
  <si>
    <t>Burkolat cseréje szélfogóban, folyosón</t>
  </si>
  <si>
    <t>Veszprémi Csillag Úti Körzeti Óvoda</t>
  </si>
  <si>
    <t>Cholnoky Jenő Tagóvoda</t>
  </si>
  <si>
    <t>Éjszakai áramkör kialakítása</t>
  </si>
  <si>
    <t>Elektromos hálózat felújítása I. ütem</t>
  </si>
  <si>
    <t>Veszprémi Bölcsődei és Eü.Alapell. Integrált Int.</t>
  </si>
  <si>
    <t>Terasz árnyékolás megoldása 3 pavilonnál</t>
  </si>
  <si>
    <t>Vass-Gyűjtemény</t>
  </si>
  <si>
    <t>Kazán csere</t>
  </si>
  <si>
    <t>Fan-coil fűtési rendszer javítása</t>
  </si>
  <si>
    <t>Európa Kulturális Fővárosa beruházási feladatok (tervezés-előkészítés)</t>
  </si>
  <si>
    <t>Európa Kulturális Fővárosa II. ütem</t>
  </si>
  <si>
    <t>Működési kiadások</t>
  </si>
  <si>
    <t>Felhalmozási kiadások</t>
  </si>
  <si>
    <t>Európa Kulturális Fővárosa I. ütem</t>
  </si>
  <si>
    <t>Petőfi Sándor utca rekonstrukciója I-III. ütem</t>
  </si>
  <si>
    <t>Vörösmarty tér tömbbelső fejlesztés, I. ütem (csapadékvíz elvezetés kiépítése) + II. ütem</t>
  </si>
  <si>
    <t>Kulturális negyed tervezése II. ütem</t>
  </si>
  <si>
    <t>Bolgár Mihály utcai híd áteresz kapacitás bővítés, tervezés, engedélyezés, kivitelezés</t>
  </si>
  <si>
    <t>Egry utcai óvoda új villamos és gáz betáp vezeték tervezése és kiépítése, villamos kapacitásbővítés</t>
  </si>
  <si>
    <t>Gyulafirátóti köztéri játszótér eszközeinek elhelyezése</t>
  </si>
  <si>
    <t>82-es út közlekedésbiztonsági fejlesztése</t>
  </si>
  <si>
    <t xml:space="preserve">Erdőtelepítés és utógondozás (a 241/2009.(IX.15.) Közgyűlési határozat; Erdészeti Hatóság 28.3/1176-7/2010.(V.25.) és VE-G-001/3883-8/2013. sz. határozata; 298/2009.(X.20.) Vfkb és 48/2010.(II.16.) Vfkb </t>
  </si>
  <si>
    <t xml:space="preserve">Utcanévtáblák </t>
  </si>
  <si>
    <t>Kézi hulladékgyűjtők beszerzése</t>
  </si>
  <si>
    <t>Térfigyelő rendszer bővítése 51/2011. (IV.29.) VMJV Önk.</t>
  </si>
  <si>
    <t>Veszprém 0105/1 hrsz.alatti nem veszélyes hulladéklerakó részletes tényfeltárása</t>
  </si>
  <si>
    <t>8.vk. Hulladékgyűjtő elhelyezése a Kalmár térre</t>
  </si>
  <si>
    <t>8.vk. Kutyaürülék gyűjtő elhelyezése a Kalmár téren</t>
  </si>
  <si>
    <t>Hulladéklerakó környezetének vizsgálata és rekultiváció</t>
  </si>
  <si>
    <t>József Attila utca és Takácskert utcai körforgalmi csomópont tervezése</t>
  </si>
  <si>
    <t>Diósi M. u. parkolóépítés tervezés</t>
  </si>
  <si>
    <t>Közvilágítás fejlesztése (Zrínyi Miklós utca és a Káposztáskert utca)</t>
  </si>
  <si>
    <t>Helikopter statikus elhelyezése</t>
  </si>
  <si>
    <t>Közműalagút vészjelző rendszer tervezése és cseréje</t>
  </si>
  <si>
    <t>Vízbázisvédelmi feladatok KDKvTvVF 27063/05. sz. határozat</t>
  </si>
  <si>
    <t>Barátság park sport fejlesztések előkészítése, közmű ellátása</t>
  </si>
  <si>
    <t>CLLD - Városrészi közösségi és kulturális terek infrastrukturális felújítása, átépítése</t>
  </si>
  <si>
    <t>Aradi Vértanúk emlékmű pályázat tervezési díja</t>
  </si>
  <si>
    <t>Elektromos személygépjármű beszerzése 2 db.</t>
  </si>
  <si>
    <t>Völgyikút u. 2. villamos mérőhely kialakítás</t>
  </si>
  <si>
    <t>Járásszékhely múzeumok szakmai támogatása</t>
  </si>
  <si>
    <t>6.vk. Konstruktív dézsa</t>
  </si>
  <si>
    <t>Káposztáskert utcai távközlési kábel áthelyezése és új kiépítése</t>
  </si>
  <si>
    <t>VKSZ Zrt. által ellátott EKF feladatok</t>
  </si>
  <si>
    <t>Infrastrukturális feladatok</t>
  </si>
  <si>
    <t>Magyar Kórusok találkozója</t>
  </si>
  <si>
    <t>Dózsa György u. 34. 726/1 hrsz.-ú ingatlan vásárlás</t>
  </si>
  <si>
    <t>Játszóeszközök felújítása (78/2003 GKM rendelet)</t>
  </si>
  <si>
    <t>Programiroda Kft. törzstőke emelés</t>
  </si>
  <si>
    <t xml:space="preserve">Programiroda Kft. tőketartalékba helyezés </t>
  </si>
  <si>
    <t>Swing-Swing Kft. törzstőke emelés</t>
  </si>
  <si>
    <t>Swing-Swing Kft. tőketartalékba helyezés</t>
  </si>
  <si>
    <t>Veszprém - Balaton 2023 Zrt. törzstőke emelés</t>
  </si>
  <si>
    <t>Veszprém - Balaton 2023 Zrt. tőketartalékba helyezés</t>
  </si>
  <si>
    <t>Padbeszerzés és kihelyezés, avult padok bontása (141/2008(IV.22.) VFKB és 215/2008(VI.20.) VFKB</t>
  </si>
  <si>
    <t>MLSZ TAO pályaépítési program</t>
  </si>
  <si>
    <t xml:space="preserve">207/2019. (IX.26.) Közgy.h. GFT beruházás: Veszprém Séd 3. sz. kút bekötővezeték, Kút bekötése a települési hálózatba </t>
  </si>
  <si>
    <t>207/2019. (IX.26.) Közgy.h. GFT beruházás:  Veszprém Méhes utca, Támfal építéshez kapcsolódó ivóvíz-hálózat bővítés</t>
  </si>
  <si>
    <t xml:space="preserve">207/2019. (IX.26.) Közgy.h. GFT beruházás: Veszprém Reguly A. utca, Barnamezős beruházásokhoz kapcsolódóan ivóvízvezeték kapacitás bővítés </t>
  </si>
  <si>
    <t>Veszprém, Batthyány utca járda és tér rendezése a Görgey Artúr utca és a Batthyány utca közötti szakaszon</t>
  </si>
  <si>
    <t>Ady u. gyalogátkelőhely kialakítás</t>
  </si>
  <si>
    <t>Csillag úti óvoda parkoló építés</t>
  </si>
  <si>
    <t>Agóra VKK -Villámhárító tervezése, kivitelezése (Gyulafirátót)</t>
  </si>
  <si>
    <t>MKSZ Tornacsarnok Felújítási Program</t>
  </si>
  <si>
    <t>V-Busz Kft. - autóbusz vásárlás</t>
  </si>
  <si>
    <t xml:space="preserve"> - Képviselői keret</t>
  </si>
  <si>
    <t>Bábos raktár nyitott bútorzat befejezése</t>
  </si>
  <si>
    <t>Mosókonyha bejárati ajtó csere</t>
  </si>
  <si>
    <t>20 m2-es faház, játéktárolónak</t>
  </si>
  <si>
    <t>Gyulafirátóti Bölcsőde</t>
  </si>
  <si>
    <t>Védőnői Szolgálat</t>
  </si>
  <si>
    <t>Oktatási eszközök vásárlása iskolavédőnők részére</t>
  </si>
  <si>
    <r>
      <rPr>
        <b/>
        <sz val="10"/>
        <rFont val="Palatino Linotype"/>
        <family val="1"/>
      </rPr>
      <t xml:space="preserve">TOP – 6.9.2 -16-VP1-2018-00001 </t>
    </r>
    <r>
      <rPr>
        <sz val="10"/>
        <rFont val="Palatino Linotype"/>
        <family val="1"/>
      </rPr>
      <t>Közösségfejlesztés Veszprém város településrészein</t>
    </r>
  </si>
  <si>
    <t>Műtárgybeszerzés (NKA pályázat)</t>
  </si>
  <si>
    <r>
      <rPr>
        <b/>
        <sz val="10"/>
        <rFont val="Palatino Linotype"/>
        <family val="1"/>
      </rPr>
      <t xml:space="preserve">EFOP-4.1.9-16-2017-00014 </t>
    </r>
    <r>
      <rPr>
        <sz val="10"/>
        <rFont val="Palatino Linotype"/>
        <family val="1"/>
      </rPr>
      <t>A múzeumi és levéltári intézményrendszer tanulás segítő infrastrukturális fejlesztései -Laczkó Dezső Múzeumban oktatótermek és kiszolgáló helyiségek kialakítása</t>
    </r>
  </si>
  <si>
    <r>
      <rPr>
        <b/>
        <sz val="10"/>
        <rFont val="Palatino Linotype"/>
        <family val="1"/>
      </rPr>
      <t xml:space="preserve">EFOP-3.3.2-16-2016-00107 </t>
    </r>
    <r>
      <rPr>
        <sz val="10"/>
        <rFont val="Palatino Linotype"/>
        <family val="1"/>
      </rPr>
      <t>Kulturális intézmények a köznevelés eredményességéért</t>
    </r>
  </si>
  <si>
    <t>Személygépjármű vásárlás 1 db</t>
  </si>
  <si>
    <t>Közösség Kádártáért Egyesület</t>
  </si>
  <si>
    <t>Virágzó Veszprém Egyesület</t>
  </si>
  <si>
    <t>Lokálpatrióták a Városért Egyesület</t>
  </si>
  <si>
    <t>Veszprémi Kultúráért Közalapítvány (új kuratórium, könyvvizsgálat költségeire)</t>
  </si>
  <si>
    <t>Gerence Hagyományőrző Néptáncegyüttes támogatása</t>
  </si>
  <si>
    <t xml:space="preserve">            - Civil irodai szolgáltatások, civil ház</t>
  </si>
  <si>
    <t xml:space="preserve">            - Civil nap költségei</t>
  </si>
  <si>
    <t>Pszichiátriai betegek nappali ellátás ("Horgony" Pszichiátriai Betegekért Közhasznú Alapítvány)</t>
  </si>
  <si>
    <t>V-Busz Kft. 2019. évi ellentételezés</t>
  </si>
  <si>
    <t>Intézményi karbantartási költségek</t>
  </si>
  <si>
    <t>Intézményi közüzemi költségek</t>
  </si>
  <si>
    <t>Kolostorok és kertek működtetése</t>
  </si>
  <si>
    <t>Viziközmű vagyonértékelés költségei</t>
  </si>
  <si>
    <t>Köztéri Szobor Alap</t>
  </si>
  <si>
    <t>Endrődi Sándor emlékév programjaira</t>
  </si>
  <si>
    <t>Pszichiátriai betegek nappali ellátása ("Horgony" Pszichiátriai Betegekért Közhasznú Alapítvány)</t>
  </si>
  <si>
    <t>Aszfalt burkolatok, útlapok és makadám burkolatok, földmunkák</t>
  </si>
  <si>
    <t>Kubinyi Ágoston program</t>
  </si>
  <si>
    <t>Swing-Swing Kft. üzletrész vásárlás</t>
  </si>
  <si>
    <t>II. ütem összesen</t>
  </si>
  <si>
    <t>Kelet-nyugati gyűjtőút zajvédő létesítmény tervezése</t>
  </si>
  <si>
    <t>I. ütem összesen</t>
  </si>
  <si>
    <t>Hitel-állomány 2019.12.31</t>
  </si>
  <si>
    <t xml:space="preserve"> 2020.06.01</t>
  </si>
  <si>
    <t>TOP-6.9.2-16-VP1-2018-00001 Közösségfejlesztés Veszprém város településrészein</t>
  </si>
  <si>
    <t xml:space="preserve">A  </t>
  </si>
  <si>
    <t>T</t>
  </si>
  <si>
    <t>2019. évi tény</t>
  </si>
  <si>
    <t>2018-2021</t>
  </si>
  <si>
    <t>2018-2019</t>
  </si>
  <si>
    <t>2019-2020</t>
  </si>
  <si>
    <t>TOP-6.6.1-16-VP1-2018-00003 Jutasi u. 59. szám alatti orvosi rendelő megújítása</t>
  </si>
  <si>
    <t>2016-2021</t>
  </si>
  <si>
    <t>2017-2020</t>
  </si>
  <si>
    <t>2018-2020</t>
  </si>
  <si>
    <t>2016-2019</t>
  </si>
  <si>
    <t>2019-2021</t>
  </si>
  <si>
    <t>2019-2022</t>
  </si>
  <si>
    <t>Urbact Innova-tor *</t>
  </si>
  <si>
    <t>KÖFOP-1.2.1-VEKOP-16-2017-01268 Veszprém Megyei Jogú Város Önkormányzata ASP Központhoz való csatlakozása **</t>
  </si>
  <si>
    <t>2017-2018</t>
  </si>
  <si>
    <t>EFOP-3.3.2-16-2016-00107 Kulturális intézmények a köznevelés eredményességéért***</t>
  </si>
  <si>
    <t>* Az Urbact Innova-tor támogatása a szerződésben €-ban van meghatározva, az átszámítás 316.39 Ft/EUR-val történt</t>
  </si>
  <si>
    <t>ebből: - Európa Kulturális Fővárosa I. ütem</t>
  </si>
  <si>
    <t>ebből: - Európa Kulturális Fővárosa II. ütem</t>
  </si>
  <si>
    <t>ebből: - Európa Kulturális Főváros II. ütem</t>
  </si>
  <si>
    <t>Projekthez kapcsolódó működési bevétel (ÁFA)</t>
  </si>
  <si>
    <t>Újjáépítésre kerülő óvodák költöztetési munkák</t>
  </si>
  <si>
    <t>Veszprémi Stadion gázellátása és villamos kapacitásbővítése</t>
  </si>
  <si>
    <t>Tűzjelző rendszer felújítása</t>
  </si>
  <si>
    <t>Sportterület közmű-, út infrastruktúra fejlesztés</t>
  </si>
  <si>
    <t>EKF programokhoz kapcsolódó infrastruktúra fejlesztési feladatok</t>
  </si>
  <si>
    <t>Szent István utca rekonstrukciója I. ütem (csapadékvíz elvezetés kiépítése) tervezés</t>
  </si>
  <si>
    <t>Séd-völgyi tó faszerkezet cseréje és tótisztítás</t>
  </si>
  <si>
    <t xml:space="preserve">          - Comitatus Társadalomkutató Egyesület - Comitatus Önkormányzati Szemle</t>
  </si>
  <si>
    <t>V-Busz Kft. szolgáltatás vásárlás</t>
  </si>
  <si>
    <t>**Az intézményeknél kimutatott adatokat is tartalmazza</t>
  </si>
  <si>
    <t>Teljesítés                      2018.          12.31.-ig**</t>
  </si>
  <si>
    <t>** Az intézményeknél kimutatott adatokat is tartalmazza</t>
  </si>
  <si>
    <t>2020. évi eredeti előirányzat</t>
  </si>
  <si>
    <t>Önkormányzati Intézmények működési célú támogatások Áht-on belülről</t>
  </si>
  <si>
    <t>Udvari játékok (Bóbita és Hársfa Tagóvoda)</t>
  </si>
  <si>
    <t>Mobiltelefon törlesztés</t>
  </si>
  <si>
    <t>Szekrény</t>
  </si>
  <si>
    <t>Könyvek, egyéb könyvtári dokumentumok</t>
  </si>
  <si>
    <t>Közművelődési érdekeltségnövelő pályázat</t>
  </si>
  <si>
    <t>Számítógépek</t>
  </si>
  <si>
    <t>Tárgyi eszközök beszerzésére (számítástechnikai beszerzések, kisértékű eszközök cseréje</t>
  </si>
  <si>
    <t>Nyílászáró cserék a Török I. u. műtárgy-raktárban és műtárgyvédelmi központban</t>
  </si>
  <si>
    <t>*** A projekt a támogatási szerződés szerint nettó módon finanszírozott.</t>
  </si>
  <si>
    <t>Koronavírus védekezés költségeire és gazdasági hatásának enyhítésére</t>
  </si>
  <si>
    <t>8.vk. Síkosságmentesítő-anyag tároló láda Flórián utcába</t>
  </si>
  <si>
    <t>8.vk. Hulladékgyűjtő beszerzése</t>
  </si>
  <si>
    <t>Képviselői keretből civil szervezetek támogatása</t>
  </si>
  <si>
    <t>8.vk. Városi Nyilvánosságért Alapítvány - karácsonyi ajándékcsomagok beszerzésére</t>
  </si>
  <si>
    <t>FELHALMOZÁSI KIADÁSOK MINDÖSSZESEN:</t>
  </si>
  <si>
    <t>Felújítási kiadások mindösszesen:</t>
  </si>
  <si>
    <t>Beruházási kiadások mindösszesen:</t>
  </si>
  <si>
    <t xml:space="preserve">Udvari játékok </t>
  </si>
  <si>
    <t>Koronavírus elleni védekezés költségeire</t>
  </si>
  <si>
    <t xml:space="preserve">          - Veszprémi várostörténeti kiadványok előkészítése</t>
  </si>
  <si>
    <t xml:space="preserve">         - Ex Symposion Alapítvány</t>
  </si>
  <si>
    <t>2019. évi              tény</t>
  </si>
  <si>
    <t>2019. évi              tény*</t>
  </si>
  <si>
    <t>ebből: Koronavírus elleni védekezésre adomány</t>
  </si>
  <si>
    <t>Kulturális negyed tervezése II. ütem - Pannon Egyetem Campus</t>
  </si>
  <si>
    <t>Átfogó infrastruktúra fejlesztés Megvalósíthatósági Tanulmány</t>
  </si>
  <si>
    <t>Vár, Jókai utca 8.</t>
  </si>
  <si>
    <t>Vár FutureLabs, Vár utca 17.</t>
  </si>
  <si>
    <t>SÉD-völgy Kolostorok és kertek I. ütem</t>
  </si>
  <si>
    <t>Buszpályaudvar</t>
  </si>
  <si>
    <t>Vár, Óváros tér, Vár utca fejlesztései</t>
  </si>
  <si>
    <t>Haszkovó lakótelep fejlesztései</t>
  </si>
  <si>
    <t>Műtárgyvásárlás</t>
  </si>
  <si>
    <t>Salgó polcrendszer a Felsőörsi raktárbázisra</t>
  </si>
  <si>
    <t xml:space="preserve">         - Veszprémi Kaleidoszkóp 1-2 újraindítása</t>
  </si>
  <si>
    <t>Pápai u.-Jutasi u. belső krt. mellékkötelezettségek</t>
  </si>
  <si>
    <t xml:space="preserve">           - Vészhelyzeti támogatás</t>
  </si>
  <si>
    <t>Veszprémi Táncegyüttesért Alapítvány</t>
  </si>
  <si>
    <t>Liszt F. Kórus</t>
  </si>
  <si>
    <t>Gizella Kórus/Dowland Alapítvány</t>
  </si>
  <si>
    <t>VSZC Ipari Szakgimnázium energetikai fejlesztésének támogatása</t>
  </si>
  <si>
    <t>TOP-6.4.1-16-VP1-17-00001 Szabadságpuszta településrész és Felsőörs Község közötti kerékpárút beruházása</t>
  </si>
  <si>
    <r>
      <t xml:space="preserve">Tárgyi eszközök beszerzése </t>
    </r>
    <r>
      <rPr>
        <b/>
        <sz val="10"/>
        <rFont val="Palatino Linotype"/>
        <family val="1"/>
      </rPr>
      <t>Pápai út 37. - CSÁO</t>
    </r>
    <r>
      <rPr>
        <sz val="10"/>
        <rFont val="Palatino Linotype"/>
        <family val="1"/>
      </rPr>
      <t xml:space="preserve"> (kézfertőtlenítő állomás, bútor, szőnyeg, függöny, mobiltelefon, mikró, kávéfőző, vízmelegítő, ventilátor/hősugárzó, külső winchester, router, iratmegsemmisítő, porszívó, mérleg, szárítógép)</t>
    </r>
  </si>
  <si>
    <t>Mosógép vásárlás (kigyulladt lakás károsultjának megsegítésére)</t>
  </si>
  <si>
    <t>Közbiztonsági feladatok / Gyulafirátóti Polgárőrség</t>
  </si>
  <si>
    <t xml:space="preserve">2020. évi  eredeti előirányzat </t>
  </si>
  <si>
    <t xml:space="preserve">2020. évi eredeti előirányzat </t>
  </si>
  <si>
    <t>Notebook, monitor, programok</t>
  </si>
  <si>
    <t>Készlet és pénztár program</t>
  </si>
  <si>
    <t>Festmény</t>
  </si>
  <si>
    <t>TOP-6.2.1-16-VP1-2020-00003 A Veszprémi Bölcsődei és Egészségügyi Alapellátási Integrált Intézmény Módszertani Bölcsődéje megújítása, illetve bölcsődei eszközbeszerzések</t>
  </si>
  <si>
    <t>2020-2021</t>
  </si>
  <si>
    <t>Kossuth utca fejlesztései</t>
  </si>
  <si>
    <t>8-as főút felújításának terelőút építéséhez kapcsolódó ingatlanrendezés</t>
  </si>
  <si>
    <t>MLSZ ovifoci program önrész és területelőkészítés</t>
  </si>
  <si>
    <t>VESZOL - Veszprém, Pápai u. 37. sz. munkásszálló működetési feladatai - tönkrement bútorok pótlása</t>
  </si>
  <si>
    <t>Lakossági vízbekötések</t>
  </si>
  <si>
    <t>Kórház Bébi Koraszülött Mentő Alapítványa részére - echocardiograf eszközbeszerzésre</t>
  </si>
  <si>
    <t>Veszprémi Atlétikai Stadion felújítása - I. ütem (BMSK)</t>
  </si>
  <si>
    <t>2019. évi           tény</t>
  </si>
  <si>
    <r>
      <rPr>
        <b/>
        <sz val="10"/>
        <rFont val="Palatino Linotype"/>
        <family val="1"/>
      </rPr>
      <t>EMMI pályázat</t>
    </r>
    <r>
      <rPr>
        <sz val="10"/>
        <rFont val="Palatino Linotype"/>
        <family val="1"/>
      </rPr>
      <t xml:space="preserve"> - Kulturális mobilitást támogató szállítóeszköz beszerzése - VW T6 Kombi gépjármű vásárlás</t>
    </r>
  </si>
  <si>
    <r>
      <rPr>
        <b/>
        <sz val="10"/>
        <rFont val="Palatino Linotype"/>
        <family val="1"/>
      </rPr>
      <t>Bóbita Körzeti Óvoda (Hársfa Tagóvoda)</t>
    </r>
    <r>
      <rPr>
        <sz val="10"/>
        <rFont val="Palatino Linotype"/>
        <family val="1"/>
      </rPr>
      <t xml:space="preserve"> - Csoportszoba vízszigetelése, vakolás, festés</t>
    </r>
  </si>
  <si>
    <r>
      <t xml:space="preserve">Tárgyi eszközök beszerzése </t>
    </r>
    <r>
      <rPr>
        <b/>
        <sz val="10"/>
        <rFont val="Palatino Linotype"/>
        <family val="1"/>
      </rPr>
      <t xml:space="preserve">Rózsa u. 48 </t>
    </r>
    <r>
      <rPr>
        <sz val="10"/>
        <rFont val="Palatino Linotype"/>
        <family val="1"/>
      </rPr>
      <t>(kézfertőtlenítő állomás, bútor, szőnyeg, függöny, mobiltelefon, mikró, kávéfőző, vízmelegítő, ventilátor/hősugárzó, külső winchester, router, iratmegsemmisítő, porszívó, mérleg, szárítógép, játék/társasjáték)</t>
    </r>
  </si>
  <si>
    <t>Vár u. 10. volt piarista gimnázium</t>
  </si>
  <si>
    <t>Jókai utca 8.</t>
  </si>
  <si>
    <t>Haszkovó lakótelep újjáélesztése</t>
  </si>
  <si>
    <t>Vasútállomás és környezetének fejlesztése</t>
  </si>
  <si>
    <t>MINDÖSSZESEN</t>
  </si>
  <si>
    <t>Pannon SE női kézilabda</t>
  </si>
  <si>
    <t>Veszprémi Úszó Klub</t>
  </si>
  <si>
    <t>Balaton Úszó Klub</t>
  </si>
  <si>
    <t>Veszprémi Torna Club</t>
  </si>
  <si>
    <t>VESC női röplabda</t>
  </si>
  <si>
    <t>Szilágyi DSE</t>
  </si>
  <si>
    <t>Dózsavárosi DSE</t>
  </si>
  <si>
    <t>Sportolj Velünk SE</t>
  </si>
  <si>
    <t>Gyulafirátót SE</t>
  </si>
  <si>
    <t>Veszprémi Jégkorong SE</t>
  </si>
  <si>
    <t>Veszprémi Asztalitenisz Sportegyesület</t>
  </si>
  <si>
    <t>Centrum Diák és Szabadidő Egyesület</t>
  </si>
  <si>
    <t>Veszprémi Judo és Szabadidő SE</t>
  </si>
  <si>
    <t>Veszprémi Honvéd SE</t>
  </si>
  <si>
    <t>Veszprémi Dózsa SK-birkózó</t>
  </si>
  <si>
    <t>Veszprémi Sportmászó Egyesület</t>
  </si>
  <si>
    <t>Körmendi Ferenc Veszprémi Thai-Boksz SE</t>
  </si>
  <si>
    <t>Építők Természetbarát SE</t>
  </si>
  <si>
    <t>Veszprémi Spartacus SE</t>
  </si>
  <si>
    <t>K.O. Sport és Szabadidő Egyesület</t>
  </si>
  <si>
    <t>Top-Gym SE</t>
  </si>
  <si>
    <t>Veszprémi Kerékpáros Egyesület</t>
  </si>
  <si>
    <t>Acro Dance</t>
  </si>
  <si>
    <t>Hemo Winner Versenytánc SE</t>
  </si>
  <si>
    <t>Kid Rock and Roll SE</t>
  </si>
  <si>
    <t>Golding Táncsport Egyesület</t>
  </si>
  <si>
    <t>Olimpiai felkészülés céljára támogatás</t>
  </si>
  <si>
    <t>Sportolj Velünk SE (Bartha-Kéri Bianka)</t>
  </si>
  <si>
    <t>VEDAC (Orbán Éva)</t>
  </si>
  <si>
    <t>Veszprémi Sí Egylet (Kónya Ádám)</t>
  </si>
  <si>
    <t>Balaton Úszó Klub (Rasovszky Kristóf)</t>
  </si>
  <si>
    <t>Verseny és élsport - működési támogatások</t>
  </si>
  <si>
    <t>Veszprémi Atlétikai Stadion komplex megújítás (tornász gyakorló csarnok) - I. ütem</t>
  </si>
  <si>
    <t>Fa kerti tároló</t>
  </si>
  <si>
    <r>
      <rPr>
        <b/>
        <sz val="10"/>
        <rFont val="Palatino Linotype"/>
        <family val="1"/>
      </rPr>
      <t>Vadvirág Körzeti Óvoda (Waldorf Tagóvoda)</t>
    </r>
    <r>
      <rPr>
        <sz val="10"/>
        <rFont val="Palatino Linotype"/>
        <family val="1"/>
      </rPr>
      <t>- Mosókonyha bejárati ajtó csere</t>
    </r>
  </si>
  <si>
    <t>Laptopok szoftverrel</t>
  </si>
  <si>
    <t>Könyvtári érdekeltségnövelő támogatásból műszaki, technikai, informatikai eszközök</t>
  </si>
  <si>
    <t>Laptop</t>
  </si>
  <si>
    <t>Komakút tér 1. Fogorvosi rendelők - rendelők leválasztása</t>
  </si>
  <si>
    <t>Sátrak vásárlása pályázaton belül megvalósított projekthez</t>
  </si>
  <si>
    <t>Hangtechnikai felszerelés vásárlása pályázaton belül megvalósított projekthez</t>
  </si>
  <si>
    <t>Dombormű vásárlása</t>
  </si>
  <si>
    <t>Mini keverő (MANK Nonprofit rendezvény)</t>
  </si>
  <si>
    <t>SMART Veszprém alapinfrastruktúra I.</t>
  </si>
  <si>
    <t>Adattári polcok, lemezszekrények (Levéltárból történő kiköltözéshez)</t>
  </si>
  <si>
    <t>Aggregátor, szivattyú (régészeti feltárásokra)</t>
  </si>
  <si>
    <t>Laptopok</t>
  </si>
  <si>
    <t>Nyilvános WC beléptető rendszer</t>
  </si>
  <si>
    <t>Kisértékű tárgyi eszközök (székek, szőnyegek, bútorok, egyéb kisértékű tárgyi eszközök, ventilátor, vasaló, zászlók)</t>
  </si>
  <si>
    <r>
      <rPr>
        <b/>
        <sz val="11"/>
        <rFont val="Palatino Linotype"/>
        <family val="1"/>
      </rPr>
      <t xml:space="preserve">Koronavírus elleni védekezés adományából </t>
    </r>
    <r>
      <rPr>
        <sz val="11"/>
        <rFont val="Palatino Linotype"/>
        <family val="1"/>
      </rPr>
      <t>-</t>
    </r>
    <r>
      <rPr>
        <sz val="10"/>
        <rFont val="Palatino Linotype"/>
        <family val="1"/>
      </rPr>
      <t xml:space="preserve"> Egyesített Szociális Intézmény I. sz. Idősek Otthonába laptop vásárlására</t>
    </r>
  </si>
  <si>
    <t>Kiskúti Csárda építéstörténeti dokumentációja</t>
  </si>
  <si>
    <t>Veszprém 2030 Kft. tőketartalékba helyezés</t>
  </si>
  <si>
    <t>Veszprém 2030 Kft. törzstőke emelés</t>
  </si>
  <si>
    <t>Toborzó u. 2. - gázkazánok cseréje</t>
  </si>
  <si>
    <t>Mikroport rendszer 16 frekvencia, mikroport rendszerhez tárolók</t>
  </si>
  <si>
    <r>
      <t xml:space="preserve">Tárgyi eszközök beszerzése </t>
    </r>
    <r>
      <rPr>
        <b/>
        <sz val="10"/>
        <rFont val="Palatino Linotype"/>
        <family val="1"/>
      </rPr>
      <t xml:space="preserve">Mikszáth K.u.13. </t>
    </r>
    <r>
      <rPr>
        <sz val="10"/>
        <rFont val="Palatino Linotype"/>
        <family val="1"/>
      </rPr>
      <t>(kézfertőtlenítő állomás, bútor, szőnyeg, függöny, mobiltelefon, mikró, kávéfőző, vízmelegítő, tűzhely, ventilátor/hősugárzó, külső winchester, router, iratmegsemmisítő, porszívó, játék/társasjáték)</t>
    </r>
  </si>
  <si>
    <r>
      <rPr>
        <b/>
        <sz val="10"/>
        <rFont val="Palatino Linotype"/>
        <family val="1"/>
      </rPr>
      <t xml:space="preserve">EMT-Te-19-0345 pályázat </t>
    </r>
    <r>
      <rPr>
        <sz val="10"/>
        <rFont val="Palatino Linotype"/>
        <family val="1"/>
      </rPr>
      <t>- mikroportok, kézzel varrott bőrcipő, hordozható hangfal, asztal, CAJUN hangszerek, fémből készült díszlet</t>
    </r>
  </si>
  <si>
    <t>Veszprémi Taekwon-do SE</t>
  </si>
  <si>
    <t>Művészetek Háza - Csikász galéria viharkárban sérült ajtó cseréje</t>
  </si>
  <si>
    <t>Tárgyi eszközök beszerzésére (Mobiltelefon, laptop, irodai székek, mosógép, légtisztító berendezések, hőmérő, nyomtató, irodai spirálozó gép)</t>
  </si>
  <si>
    <t>Kisértékű tárgyi eszközök (Hűtőszekrény főzőkonyhába, irodai székek, hőmérők)</t>
  </si>
  <si>
    <t>Digitális lázmérők, érintésmentes asztali kézfertőtlenítő adagolók, kézfertőtlenítő állomások</t>
  </si>
  <si>
    <t>Tárgyi eszköz beszerzések (szekrény, ventilátorok, klaviatúrák, vízforraló, mobil telefon, érintős lázmérők, mobilklímák)</t>
  </si>
  <si>
    <r>
      <t xml:space="preserve">Tárgyi eszközök beszerzése </t>
    </r>
    <r>
      <rPr>
        <i/>
        <sz val="10"/>
        <rFont val="Palatino Linotype"/>
        <family val="1"/>
      </rPr>
      <t>(mosógép, gáztűzhely, szakmai eszközök)</t>
    </r>
  </si>
  <si>
    <r>
      <t xml:space="preserve">Tárgyi eszközök beszerzése </t>
    </r>
    <r>
      <rPr>
        <i/>
        <sz val="10"/>
        <rFont val="Palatino Linotype"/>
        <family val="1"/>
      </rPr>
      <t>(öltöző szekrény, varrógép, szakmai eszközök)</t>
    </r>
  </si>
  <si>
    <r>
      <t xml:space="preserve">Tárgyi eszközök beszerzése </t>
    </r>
    <r>
      <rPr>
        <i/>
        <sz val="10"/>
        <rFont val="Palatino Linotype"/>
        <family val="1"/>
      </rPr>
      <t>(mosógép, szárítógép, hűtőszekrény, szakmai eszközök)</t>
    </r>
  </si>
  <si>
    <r>
      <t xml:space="preserve">Tárgyi eszközök beszerzése </t>
    </r>
    <r>
      <rPr>
        <i/>
        <sz val="10"/>
        <rFont val="Palatino Linotype"/>
        <family val="1"/>
      </rPr>
      <t>(mosógép, hűtőszekrény, szakmai eszközök)</t>
    </r>
  </si>
  <si>
    <t>Szoftver beszerzés, honlap beszerzés</t>
  </si>
  <si>
    <t>Kézfertőtlenítő adagolók, érintés nélküli lázmérők</t>
  </si>
  <si>
    <t>Bútorok (irodai székek, irodai berendezés kanapé és fotel, asztalok)</t>
  </si>
  <si>
    <t>Veszprémi Turisztikai Kft. törzstőke emelés</t>
  </si>
  <si>
    <t>Veszprémi Turisztikai Kft. tőketartalékba helyezés</t>
  </si>
  <si>
    <t>Önkormányzati érdekeket érintő településrendezési eszközök módosítása</t>
  </si>
  <si>
    <t xml:space="preserve">alapítványoknak, egyesületeknek, civil szervezeteknek, társadalmi szervezeteknek nyújtott támogatásokról 2020. évben </t>
  </si>
  <si>
    <t xml:space="preserve">KÖLTSÉGVETÉSI BEVÉTELEI ÉS KIADÁSAI 2020. ÉVBEN </t>
  </si>
  <si>
    <t>Kisértékű tárgyi eszközök (mosógép, porszívó, mobiltelefon, gyermekszék, szőnyeg, redőny, roló, szúnyogháló, konyhai kisgép, érintés nélküli lázmérő, tartós szakmai játék, számítástechnikai eszközök, hűtő, párologtató, irodai szék)</t>
  </si>
  <si>
    <t xml:space="preserve">Bútorzat </t>
  </si>
  <si>
    <t>Asztali számítógép, laptop beszerzése, bluetooth hangszóró</t>
  </si>
  <si>
    <t>Laptop, bluetooth hangszóró</t>
  </si>
  <si>
    <t>Okostábla állvánnyal</t>
  </si>
  <si>
    <t>Gőzállomás, varrógép, széf, érintésmentes kézfertőtlenítő, nyomtató-fénymásoló, lázmérők, fénymásoló, gyerek kanapé, porszívó)</t>
  </si>
  <si>
    <t>Kisértékű tárgyi eszközök (Vákuumfóliázó - védőmaszkok varrása utáni csomagoláshoz, érintésmentes lázmérő, elektromos konzervnyitó és késélező, hűtőgépek, gőzállomás vasaló, irodaszék, laptop)</t>
  </si>
  <si>
    <t>Kisértékű tárgyi eszközök ( érintésmentes lázmérő, átfolyó vízmelegítő, gőzállomás vasaló, laptop)</t>
  </si>
  <si>
    <t>Koronavírus-járványügyi vészhelyzettel kapcsolatos beszerzések: érintés nélküli lázmérők, kártyaolvasók, mobiltelefonok, számítógép, szakmai eszközök, Viktória ügyeleti program, porszívó)</t>
  </si>
  <si>
    <t>Egyéb tárgyi eszköz beszerzés (plexifal, karbantartáshoz kapcsolható eszköz, telefon, játék, fűkasza, ózongenerátor, pénztárgép, kis értékű tárgyi eszköz)</t>
  </si>
  <si>
    <t>Irodai szék</t>
  </si>
  <si>
    <t>Ózongenerátorok</t>
  </si>
  <si>
    <t>Programok online megvalósításához eszközbeszerzések (professzionális kamera, telefonállvány, okostelefon, asztali PC munkaállomás)</t>
  </si>
  <si>
    <t>Asztali számítógép szerver</t>
  </si>
  <si>
    <t>ERASMUS+ Program</t>
  </si>
  <si>
    <t>Veszprémi Szemle Várostörténeti Közhasznú Alapítvány Támogatása</t>
  </si>
  <si>
    <t>Ex Symposion Alapítvány</t>
  </si>
  <si>
    <t>Március 15. u. 4/B. orvosi rendelő - bejárat mellett nyitható ablak kialakítása</t>
  </si>
  <si>
    <t>Comitatus Társadalomkutató Egyesület - Comitatus Önkormányzati Szemle</t>
  </si>
  <si>
    <t xml:space="preserve">Sportcélok és feladatok </t>
  </si>
  <si>
    <t>Állatvédelmi Kompetencia Központ beruházás</t>
  </si>
  <si>
    <t>Restaurátor eszközök beszerzésére</t>
  </si>
  <si>
    <t>Kompresszor</t>
  </si>
  <si>
    <t>Páraelszívó ventilátor</t>
  </si>
  <si>
    <t>Vegyszeres mosókád</t>
  </si>
  <si>
    <t>Fényképezőgép kiegészítőkkel</t>
  </si>
  <si>
    <t>Sarokcsiszoló kiegészítőkkel</t>
  </si>
  <si>
    <t>Kisértékű restaurátor eszközök</t>
  </si>
  <si>
    <t>COVID fertőtlenítő kapu</t>
  </si>
  <si>
    <t>Számítógép - speciális, vetítéshez használható konfiguráció szakmai munkához, előadások kiszolgálásához</t>
  </si>
  <si>
    <t>Balatoni Vívóklub</t>
  </si>
  <si>
    <t>Alkohol-Drogsegély Ambulancia/Szenvedélybetegek ellátásának működési kiadásaihoz támogatás</t>
  </si>
  <si>
    <t>Tárgyi eszközök beszerzésére (Higiéniai eszközök, csöpögtető öntöző berendezés, wifi hálózat kiépítése, takarító eszközök, konyhai eszközök, járványügyi eszközök, létrák, salgó polcok, hirdető tábla, étkező garnitúra, mobiltelefon)</t>
  </si>
  <si>
    <t>Március 15. u. Uszoda - pénztárgép</t>
  </si>
  <si>
    <t>ebből: - Európa Kulturális Fővárosa III. ütem</t>
  </si>
  <si>
    <t>Európa Kulturális Fővárosa III. ütem</t>
  </si>
  <si>
    <t>Játszóeszközök felújítása</t>
  </si>
  <si>
    <t>III. ütem összesen</t>
  </si>
  <si>
    <t>EMMI és Belügyminisztérium "Idősbarát Önkormányzati Díj"</t>
  </si>
  <si>
    <t>Illegális hulladéklerakó felszámolása</t>
  </si>
  <si>
    <t>ActiCity - Hóvirág u. 1.</t>
  </si>
  <si>
    <t>Koronavírus elleni védekezés költségeire - mobiltelefonok, fertőtlenítő adagolók, lázmérők</t>
  </si>
  <si>
    <t>Notebookok Windows 10 operációs rendszerrel vírusirtóval</t>
  </si>
  <si>
    <t>Notebook Windows 10 operációs rendszerrel vírusirtóval</t>
  </si>
  <si>
    <t>Tárgyi eszközök beszerzésére (Katica csoport: polcos szekrény, babakonyha szekrény, tálaló szekrény, foglalkoztató szekrény, játéktároló, ágyazó, tükrök, élősarokpolc, teakonyha polc, ágyazó polc, szőnyegek, konyhai eszközök, étel-italszállító badellák, botmixer, serpenyő, érintésmentes kézfertőtlenítő, lázmérők, komód, porszívók, konyhai eszközök, polc)</t>
  </si>
  <si>
    <t>Tárgyi eszközök beszerzése (mosógép, szakmai eszközök)</t>
  </si>
  <si>
    <t>Okoseszközök nyertes pályázatból, látássérült munkavállaló részére (Apple MacBook, okostelefon, óra)</t>
  </si>
  <si>
    <t>Informatikai eszközök (router, USB adapter bővítés, laptopok, windows office programok, okostelefonok, monitor)</t>
  </si>
  <si>
    <t>Laptopok gazdasági ügyintézőknek, laptopok, asztali gépek, vírusirtók, office csomagok</t>
  </si>
  <si>
    <t>Dózsa György u. 2 sz. alatti épület felújítása (tervezés-előkészítés)</t>
  </si>
  <si>
    <t>Népszámlálás 2021. (2020. évi része)</t>
  </si>
  <si>
    <r>
      <rPr>
        <b/>
        <u val="single"/>
        <sz val="11"/>
        <rFont val="Palatino Linotype"/>
        <family val="1"/>
      </rPr>
      <t>Szabadidő és diáksport</t>
    </r>
    <r>
      <rPr>
        <sz val="11"/>
        <rFont val="Palatino Linotype"/>
        <family val="1"/>
      </rPr>
      <t xml:space="preserve"> - Veszprémi Pannon SE</t>
    </r>
  </si>
  <si>
    <t>2020. évi módosított előirányzat 6.</t>
  </si>
  <si>
    <t>módosított előirányzat 6.</t>
  </si>
  <si>
    <t>Parkfenntartási feladatok - tőketartalékba helyezés</t>
  </si>
  <si>
    <t>Köztisztasági feladatok - tőketartalékba helyezés</t>
  </si>
  <si>
    <t>Intézményi működtetők kiadásaira - tőketartalékba helyezés</t>
  </si>
  <si>
    <t>Európa Kulturális Főváros 2023 beruházások előkészítése (önerő)</t>
  </si>
  <si>
    <t>Európa Kulturális Fővárosa IV. ütem</t>
  </si>
  <si>
    <t>Intézményi karbantartási feladatok - tőketartalékba helyezés</t>
  </si>
  <si>
    <t>Tőketartalékba helyezés</t>
  </si>
  <si>
    <t>V-Busz Kft. törzstőke emelés 2005/2020. (XII.24.) Korm. határozat</t>
  </si>
  <si>
    <t>V-Busz Kft. tőketartalékba helyezés 2005/2020. (XII.24.) Korm. Határozat</t>
  </si>
  <si>
    <t>Kittenberger K. Növény- és Vadaspark - törzstőke emelés 2005/2020. (XII.24.) Korm. Határozat</t>
  </si>
  <si>
    <t>Kittenberger K. Növény- és Vadaspark - tőketartalékba helyezés 2005/2020. (XII.24.) Korm. Határozat</t>
  </si>
  <si>
    <t>Veszprémi Közüzemi Szolgáltató Zrt. 2005/2020. (XII.24.) Korm. Határozat</t>
  </si>
  <si>
    <t xml:space="preserve">Törzstőke emelés (egyéb városüzemeltetési feladatok) </t>
  </si>
  <si>
    <t xml:space="preserve">       Temetők üzemeltetésével kapcsolatos feladatok - tőketartalékba helyezés</t>
  </si>
  <si>
    <t>Kisértékű tárgyi eszközök (mosógép, porszívó, mobiltelefon, gyermekszék, gyermekfektető és tartó, függöny, redőny, szúnyogháló, roló, konyhai kisgép, érintés nélküli lázmérő, tartós szakmai játék, számítástechnikai eszközök, karnis, iratmegsemmisítő, párologtató,irodai szék, magasnyomású mosó, vízforraló, bútorzat)</t>
  </si>
  <si>
    <t>Kisértékű tárgyi eszközök (porszívó, vércukormérő, szék)</t>
  </si>
  <si>
    <t>Veszprém Európa Kulturális Fővárosa 2023 programsorozat - ingatlanvásárlás (volt Balaton Bútorgyár területe 4061, 4038/1 hrsz., "Szakszervezetek ház" 4073/3, 4073/3/A hrsz.)</t>
  </si>
  <si>
    <t>TOP-6.4.1-16-VP1-2019-00003 Kerékpárút és kerékpárforgalmi létesítmények építése Veszprém - Gyulafirátót szakaszon</t>
  </si>
  <si>
    <t>2020-2022</t>
  </si>
  <si>
    <t xml:space="preserve"> - Felmentési idő, jub.jut., végkielégítés, egyéb működési kiadások</t>
  </si>
  <si>
    <t>Helyi önkormányzatok működésének általános és ágazati feladataihoz kapcsolódó támogatás</t>
  </si>
  <si>
    <t>Szakmai tárgyi eszközök beszerzésére (határfelület mikrofonok, számítógépek frissítése, létra-díszítőtár, biztonsági heveder-díszítőtár, járás lámpa 10 db-világosítótár, vércukorszintmérő, pendriveive (nagy kapacitású), iratmegsemmisítő, stúdió monitor-hangtár, számítógéphez kiegészítők, Informatika eszközök, személyigazolvány-olvasó, pendrive-ok, laptopok, projektorok, iratmegsemmisítő, mosógép, LED-es világítás, állólámpa, ügyelői monitor, lámpák, vércukorszint mérő, vasaló állomás, webkamera, kézfertőtlenítő adagoló gépek, hőmérők, ventillátor, minihűtő, laminálógép, biztonsági testheveder, ügyelői monitor, csőtisztítógép, présszerszám, matracok, forrasztó, hőlégfúvó, tűzőgép, búvárszivattyú, sarokcsiszoló, bluetooth hangfal, vasalódeszka, ragasztópisztoly, Canon fényképezőgép, objektív, akkumulátor, hangfalak, ózongenerátor, aggregátor, vízforraló, konyhai eszközök)</t>
  </si>
  <si>
    <t>Kulturális pótlék</t>
  </si>
  <si>
    <t>Szociális ágazati pótlék</t>
  </si>
  <si>
    <t>Egészségügyi kiegészítő pótlék</t>
  </si>
  <si>
    <t>Felhalmozási hitel - Célhitel 2019</t>
  </si>
  <si>
    <t>a helyi önkormányzatok általános működéséhez és ágazati feladataihoz kapcsolódó támogatások elszámolása</t>
  </si>
  <si>
    <t>Költségvetési törvény alapján megítélt támogatás</t>
  </si>
  <si>
    <t>Támogatás évközi változásai</t>
  </si>
  <si>
    <t>Tényleges támogatás</t>
  </si>
  <si>
    <t>Év végi eltérés (+,-) mutatószám szerinti támogatás</t>
  </si>
  <si>
    <t>Az önkormányzat által az adott célra december 31-ig ténylegesen felhasznált összeg</t>
  </si>
  <si>
    <t>Eltérés (támogatásban és felhasználás szerint)</t>
  </si>
  <si>
    <t>3. Települési önkormányzatok szociális, gyermekjóléti és gyermekétkeztetési feladatainak támogatása</t>
  </si>
  <si>
    <t>Család- és gyermekjóléti szolgálat</t>
  </si>
  <si>
    <t>Bölcsődei ellátás (kedvezményes étk. támog. nélkül)</t>
  </si>
  <si>
    <t>Óvodai és iskolai szociális segítő tevékenység</t>
  </si>
  <si>
    <t xml:space="preserve">Könyvtári, közművelődési és múzeumi feladatok támogatása; a települési önkormányzatok könyvtári célú érdekeltségnövelő támogatása </t>
  </si>
  <si>
    <t>Költségvetési szerveknél foglalkoztatottak 2018. évi kompenzációja</t>
  </si>
  <si>
    <t>módosítás</t>
  </si>
  <si>
    <t xml:space="preserve">teljesítés </t>
  </si>
  <si>
    <t>teljesítés</t>
  </si>
  <si>
    <t xml:space="preserve">   módosított előirányzat 6.</t>
  </si>
  <si>
    <t>2020. évi  módosított előirányzat 6.</t>
  </si>
  <si>
    <t>Teljesítés</t>
  </si>
  <si>
    <t>teljesítés átcsoportosítás</t>
  </si>
  <si>
    <t>teljesítés költségvetési maradvány</t>
  </si>
  <si>
    <t>2020. évi költségvetési bevételeinek teljesítése</t>
  </si>
  <si>
    <t>2020. évi költségvetési kiadásainak teljesítése</t>
  </si>
  <si>
    <t>2020. évi     módosított előirányzat 6.</t>
  </si>
  <si>
    <t>2020. évi felhalmozási költségvetési kiadások előirányzatainak teljesítése</t>
  </si>
  <si>
    <t>Önkormányzati feladatok és egyéb kötelezettségek 2020. évi működési költségvetési kiadásainak teljesítése</t>
  </si>
  <si>
    <t>2020. évi beruházási és egyéb felhalmozási célú kiadások előirányzatainak teljesítése</t>
  </si>
  <si>
    <t>teljesítés hitel</t>
  </si>
  <si>
    <t>teljesítéshitel</t>
  </si>
  <si>
    <t xml:space="preserve">teljesítés  </t>
  </si>
  <si>
    <t>2020. évi felújítási kiadások előirányzatainak teljesítése</t>
  </si>
  <si>
    <t>Európai Uniós forrásból finanszírozott támogatással megvalósuló programok, projektek 2020. évi költségvetési kiadásainak előirányzatainak teljesítése</t>
  </si>
  <si>
    <t>Modern Városok Program és más hazai finanszírozásból megvalósuló feladatok 2020. évi költségvetési kiadásainak előirányzatainak teljesítése</t>
  </si>
  <si>
    <t>Európa Kulturális Főváros 2020. évi költségvetési kiadásainak előirányzatainak teljesítése</t>
  </si>
  <si>
    <t>2020. évi EU támogatás teljesítés</t>
  </si>
  <si>
    <t>2020. előirányzat</t>
  </si>
  <si>
    <t>Intézmény neve</t>
  </si>
  <si>
    <t>Alaptevékenység költségvetési egyenlege</t>
  </si>
  <si>
    <t>Alaptevékenység finanszírozási egyenlege</t>
  </si>
  <si>
    <t>Alaptevékenység maradványa</t>
  </si>
  <si>
    <t>Alaptevékenység kötelezettség-vállalással terhelt maradványa</t>
  </si>
  <si>
    <t>ebből: a tárgyévi évi központi költségvetésből kapott támogatás elszámolásából eredő kötelezettség</t>
  </si>
  <si>
    <t>Alaptevékenység szabad maradványa</t>
  </si>
  <si>
    <t>az Önkormányzat 2020. évi költségvetési maradványáról</t>
  </si>
  <si>
    <r>
      <rPr>
        <b/>
        <i/>
        <sz val="9"/>
        <rFont val="Palatino Linotype"/>
        <family val="1"/>
      </rPr>
      <t>ebből</t>
    </r>
    <r>
      <rPr>
        <i/>
        <sz val="9"/>
        <rFont val="Palatino Linotype"/>
        <family val="1"/>
      </rPr>
      <t>:Egyéb városüzemeltetési feladatok - tőketartalékba helyezés</t>
    </r>
  </si>
  <si>
    <t>2020. évi kiadás teljesítés</t>
  </si>
  <si>
    <t>Megyei Jogú Városok Szövetsége - Kárpátaljai települések támogatása</t>
  </si>
  <si>
    <t>Bölcsődei kiegészítő támogatás</t>
  </si>
  <si>
    <t>Idősek átmeneti és tartós szociális szakosított ellátásának támogatása, családok és hajléktalanok átmeneti elhelyezése</t>
  </si>
  <si>
    <t>Szakosított ellátások üzemeltetési támogatása</t>
  </si>
  <si>
    <t>2020. évi összesített mérlege</t>
  </si>
  <si>
    <t>Előző év</t>
  </si>
  <si>
    <t>Előző évi korrekció (+/-)</t>
  </si>
  <si>
    <t>Tárgyév</t>
  </si>
  <si>
    <t>ESZKÖZÖK</t>
  </si>
  <si>
    <t>A/I/1        Vagyoni értékű jogok</t>
  </si>
  <si>
    <t>A/I/2        Szellemi termékek</t>
  </si>
  <si>
    <t>A/I/3        Immateriális javak értékhelyesbítése</t>
  </si>
  <si>
    <t>A/I        Immateriális javak (=A/I/1+A/I/2+A/I/3)</t>
  </si>
  <si>
    <t>A/II/1        Ingatlanok és a kapcsolódó vagyoni értékű jogok</t>
  </si>
  <si>
    <t>A/II/2        Gépek, berendezések, felszerelések, járművek</t>
  </si>
  <si>
    <t>A/II/3        Tenyészállatok</t>
  </si>
  <si>
    <t>A/II/4        Beruházások, felújítások</t>
  </si>
  <si>
    <t>A/II/5        Tárgyi eszközök értékhelyesbítése</t>
  </si>
  <si>
    <t>A/II        Tárgyi eszközök (=A/II/1+...+A/II/5)</t>
  </si>
  <si>
    <t>A/III/1        Tartós részesedések</t>
  </si>
  <si>
    <t>A/III/2        Tartós hitelviszonyt megtestesítő értékpapírok</t>
  </si>
  <si>
    <t>A/III/3        Befektetett pénzügyi eszközök értékhelyesbítése</t>
  </si>
  <si>
    <t>A/III        Befektetett pénzügyi eszközök (=A/III/1+A/III/2+A/III/3)</t>
  </si>
  <si>
    <t>A/IV/1        Koncesszióba, vagyonkezelésbe adott eszközök</t>
  </si>
  <si>
    <t>A/IV/2        Koncesszióba, vagyonkezelésbe adott eszközök értékhelyesbítése</t>
  </si>
  <si>
    <t>A/IV        Koncesszióba, vagyonkezelésbe adott eszközök (=A/IV/1+A/IV/2)</t>
  </si>
  <si>
    <t>A)        NEMZETI VAGYONBA TARTOZÓ BEFEKTETETT ESZKÖZÖK (=A/I+A/II+A/III+A/IV)</t>
  </si>
  <si>
    <t>B/I/1        Vásárolt készletek</t>
  </si>
  <si>
    <t>B/I/2        Átsorolt, követelés fejében átvett készletek</t>
  </si>
  <si>
    <t>B/I/3        Egyéb készletek</t>
  </si>
  <si>
    <t>B/I/4        Befejezetlen termelés, félkész termékek, késztermékek</t>
  </si>
  <si>
    <t>B/I/5        Növendék-, hízó és egyéb állatok</t>
  </si>
  <si>
    <t>B/I        Készletek (=B/I/1+…+B/I/5)</t>
  </si>
  <si>
    <t>B/II/1        Nem tartós részesedések</t>
  </si>
  <si>
    <t>B/II/2        Forgatási célú hitelviszonyt megtestesítő értékpapírok</t>
  </si>
  <si>
    <t>B/II        Értékpapírok (=B/II/1+B/II/2)</t>
  </si>
  <si>
    <t xml:space="preserve">B)        NEMZETI VAGYONBA TARTOZÓ FORGÓESZKÖZÖK     (= B/I+B/II) </t>
  </si>
  <si>
    <t>C/I          Lekötött bankbetétek</t>
  </si>
  <si>
    <t>C/II        Pénztárak, csekkek, betétkönyvek</t>
  </si>
  <si>
    <t>C/III       Forintszámlák</t>
  </si>
  <si>
    <t>C/IV       Devizaszámlák</t>
  </si>
  <si>
    <t>C)        PÉNZESZKÖZÖK (=C/I+C/II+C/III+C/IV)</t>
  </si>
  <si>
    <t>D/I/1              Költségvetési évben esedékes követelések működési célú támogatások bevételeire Áht.-on belülről</t>
  </si>
  <si>
    <t>D/I/2              Költségvetési évben esedékes követelések felhalm.i célú támogatások bevételeire Áht.-on belülről</t>
  </si>
  <si>
    <t>D/I/3        Költségvetési évben esedékes követelések közhatalmi bevételre</t>
  </si>
  <si>
    <t>D/I/4        Költségvetési évben esedékes követelések működési bevételre</t>
  </si>
  <si>
    <t>D/I/5        Költségvetési évben esedékes követelések felhalmozási bevételre</t>
  </si>
  <si>
    <t>D/I/6        Költségvetési évben esedékes követelések működési célú átvett pénzeszközre</t>
  </si>
  <si>
    <t>D/I/7        Költségvetési évben esedékes követelések felhalmozási célú átvett pénzeszközre</t>
  </si>
  <si>
    <t>D/I/7c                        - ebből: költségvetési évben esedékes követelések felhalm. célú visszatérítendő tám.ok, kölcsönök visszatérülésére Áht.-on kívülről</t>
  </si>
  <si>
    <t>D/I/8        Költségvetési évben esedékes követelések finanszírozási bevételekre</t>
  </si>
  <si>
    <t>D/I        Költségvetési évben esedékes követelések (=D/I/1+…+D/I/8)</t>
  </si>
  <si>
    <t>D/II/1                Költségvetési évet követően esedékes követelések működési célú támogatások bevételeire Áht.-on belülről</t>
  </si>
  <si>
    <t>D/II/2                Költségvetési évet követően esedékes követelések felhalm.i célú támogatások bevételeire Áht.-on belülről</t>
  </si>
  <si>
    <t>D/II/3        Költségvetési évet követően esedékes követelések közhatalmi bevételre</t>
  </si>
  <si>
    <t>D/II/4        Költségvetési évet követően esedékes követelések működési bevételre</t>
  </si>
  <si>
    <t>D/II/5        Költségvetési évet követően esedékes követelések felhalmozási bevételre</t>
  </si>
  <si>
    <t>D/II/6             Költségvetési évet követően esedékes követelések működési célú átvett pénzeszközre</t>
  </si>
  <si>
    <t>D/II/7             Költségvetési évet követően esedékes követelések felhalmozási célú átvett pénzeszközre</t>
  </si>
  <si>
    <t>D/II/7c                          - ebből: költségvetési évet követően esedékes követelések felhalm.i célú visszatérítendő tám., kölcsönök visszatérülésére Áht.-on kívülről</t>
  </si>
  <si>
    <t>D/II/8        Költségvetési évet követően esedékes követelések finanszírozási bevételekre</t>
  </si>
  <si>
    <t>D/II        Költségvetési évet követően esedékes követelések (=D/II/1+…+D/II/8)</t>
  </si>
  <si>
    <t>D/III/1        Adott előlegek (=D/III/1a+…+D/III/1f)</t>
  </si>
  <si>
    <t>D/III/1a          - ebből: immateriális javakra adott előlegek</t>
  </si>
  <si>
    <t>D/III/1b          - ebből: beruházásokra, felújításokra adott előlegek</t>
  </si>
  <si>
    <t>D/III/1c          - ebből: készletekre adott előlegek</t>
  </si>
  <si>
    <t>D/III/1d          - ebből: igénybe vett szolgáltatásokra adott előlegek</t>
  </si>
  <si>
    <t>D/III/1e          - ebből: foglalkoztatottaknak adott előlegek</t>
  </si>
  <si>
    <t>D/III/1f          - ebből: túlfizetések, téves és visszajáró kifizetések</t>
  </si>
  <si>
    <t>D/III/2        Továbbadási célból folyósított támogatások, ellátások elszámolása</t>
  </si>
  <si>
    <t>D/III/3        Más által beszedett bevételek elszámolása</t>
  </si>
  <si>
    <t>D/III/4        Forgótőke elszámolása</t>
  </si>
  <si>
    <t>D/III/5             Vagyonkezelésbe adott eszközökkel kapcsolatos visszapótlási követelés elszámolása</t>
  </si>
  <si>
    <t>D/III/6               Nem a társadalombiztosítás pénzügyi alapjait terhelő kifizetett ellátások megtérítésének elszámolása</t>
  </si>
  <si>
    <t>D/III/7               Folyósított, megelőlegezett társadalombiztosítási és családtámogatási ellátások elszámolása</t>
  </si>
  <si>
    <t>D/III/8       Részesedésszerzés esetén átadott eszközök</t>
  </si>
  <si>
    <t>D/III/9       Letétre, megőrzésre, fedezetkezelésre átadott pénzeszközök, biztosítékok</t>
  </si>
  <si>
    <t>D/III        Követelés jellegű sajátos elszámolások (=D/III/1+…+D/III/9)</t>
  </si>
  <si>
    <t>D)        KÖVETELÉSEK (=D/I+D/II+D/III)</t>
  </si>
  <si>
    <t>E/I              Előzetesen felszámított általános forgalmi adó elszámolása</t>
  </si>
  <si>
    <t>E/II             Fizetendő általános forgalmi adó elszámolása</t>
  </si>
  <si>
    <t>E/III            Egyéb sajátos eszközoldali elszámolások</t>
  </si>
  <si>
    <t>E)        EGYÉB SAJÁTOS ELSZÁMOLÁSOK (=E/I+E/II+E/III)</t>
  </si>
  <si>
    <t>F/1        Eredményszemléletű bevételek aktív időbeli elhatárolása</t>
  </si>
  <si>
    <t>F/2        Költségek, ráfordítások aktív időbeli elhatárolása</t>
  </si>
  <si>
    <t>F/3        Halasztott ráfordítások</t>
  </si>
  <si>
    <t>F)        AKTÍV IDŐBELI ELHATÁROLÁSOK (=F/1+F/2+F/3)</t>
  </si>
  <si>
    <t>ESZKÖZÖK ÖSSZESEN (=A+B+C+D+E+F)</t>
  </si>
  <si>
    <t>FORRÁSOK</t>
  </si>
  <si>
    <t>G/I          Nemzeti vagyon induláskori értéke</t>
  </si>
  <si>
    <t>G/II         Nemzeti vagyon változásai</t>
  </si>
  <si>
    <t>G/III       Egyéb eszközök induláskori értéke és változásai</t>
  </si>
  <si>
    <t>G/IV       Felhalmozott eredmény</t>
  </si>
  <si>
    <t>G/V        Eszközök értékhelyesbítésének forrása</t>
  </si>
  <si>
    <t>G/VI       Mérleg szerinti eredmény</t>
  </si>
  <si>
    <t>G)        SAJÁT TŐKE (=G/I+…+G/VI)</t>
  </si>
  <si>
    <t>H/I/1        Költségvetési évben esedékes kötelezettségek személyi juttatásokra</t>
  </si>
  <si>
    <t>H/I/2        Költségvetési évben esedékes kötelezettségek munkaad.terh.jár és szoc.hj.adóra</t>
  </si>
  <si>
    <t>H/I/3        Költségvetési évben esedékes kötelezettségek dologi kiadásokra</t>
  </si>
  <si>
    <t>H/I/4        Költségvetési évben esedékes kötelezettségek ellátottak pénzbeli juttatásaira</t>
  </si>
  <si>
    <t>H/I/5        Költségvetési évben esedékes kötelezettségek egyéb működési célú kiadásokra</t>
  </si>
  <si>
    <t>H/I/6        Költségvetési évben esedékes kötelezettségek beruházásokra</t>
  </si>
  <si>
    <t>H/I/7        Költségvetési évben esedékes kötelezettségek felújításokra</t>
  </si>
  <si>
    <t>H/I/8         Költségvetési évben esedékes kötelezettségek egyéb felhalmozási célú kiadásokra</t>
  </si>
  <si>
    <t>H/I/9        Költségvetési évben esedékes kötelezettségek finanszírozási kiadásokra</t>
  </si>
  <si>
    <t>H/I/9a          - ebből: költségvetési évben esedékes kötelezettségek hosszú lejár. hitelek, kölcs.törl.re</t>
  </si>
  <si>
    <t>H/I        Költségvetési évben esedékes kötelezettségek (=H/I/1+…H/I/9)</t>
  </si>
  <si>
    <t>H/II/1       Költségvetési évet követően esedékes kötelezettségek személyi juttatásokra</t>
  </si>
  <si>
    <t>H/II/2            Költségvetési évet követően esedékes kötelezett. munkaad.terh.jár. és szoc.hj. adóra</t>
  </si>
  <si>
    <t>H/II/3       Költségvetési évet követően esedékes kötelezettségek dologi kiadásokra</t>
  </si>
  <si>
    <t>H/II/4        Költségvetési évet követően esedékes kötelezettségek ellátottak pénzbeli juttatásaira</t>
  </si>
  <si>
    <t xml:space="preserve">H/II/5            Költségvetési évet követően esedékes kötelezettségek egyéb működési célú kiadásokra </t>
  </si>
  <si>
    <t>H/II/6       Költségvetési évet követően esedékes kötelezettségek beruházásokra</t>
  </si>
  <si>
    <t>H/II/7       Költségvetési évet követően esedékes kötelezettségek felújításokra</t>
  </si>
  <si>
    <t>H/II/8            Költségvetési évet követően esedékes kötelezettségek egyéb felhalmozási célú kiadásokra</t>
  </si>
  <si>
    <t>H/II/9       Költségvetési évet követően esedékes kötelezettségek finanszírozási kiadásokra</t>
  </si>
  <si>
    <t>H/II/9a        - ebből: költségvetési évet követően esedékes köt. hosszú lejár. hitelek, kölcs.tör.re</t>
  </si>
  <si>
    <t>H/II        Költségvetési évet követően esedékes kötelezettségek (=H/II/1+…H/II/9)</t>
  </si>
  <si>
    <t>H/III/1        Kapott előlegek</t>
  </si>
  <si>
    <t>H/III/2        Továbbadási célból folyósított támogatások, ellátások elszámolása</t>
  </si>
  <si>
    <t>H/III/3        Más szervezetet megillető bevételek elszámolása</t>
  </si>
  <si>
    <t>H/III/4        Forgótőke elszámolása (Kincstár)</t>
  </si>
  <si>
    <t>H/III/5        Nemzeti vagy.ba tart.befektet. eszk.kel kapcs. egyes köt.jellegű sajátos elszám.</t>
  </si>
  <si>
    <t>H/III/6        Nem társadalombizt.pénzügyi alapjait terh.kifizetett ellátások megtér.nek elszámolása</t>
  </si>
  <si>
    <t xml:space="preserve">H/III/7*        </t>
  </si>
  <si>
    <t>H/III/8        Letétre, megőrzésre, fedezetkezelésre átvett pénzeszközök, biztosítékok</t>
  </si>
  <si>
    <t>H/III/9        Nemzetközi támogatási programok pénzeszközei</t>
  </si>
  <si>
    <t>H/III/10      Államadósság Kezelő Központ Zrt.-nél elhelyezett fedezeti betétek</t>
  </si>
  <si>
    <t>H/III        Kötelezettség jellegű sajátos elszámolások (=H/III/1+…+H/III/10)</t>
  </si>
  <si>
    <t>H)        KÖTELEZETTSÉGEK (=H/I+H/II+H/III)</t>
  </si>
  <si>
    <t>I)        KINCSTÁRI SZÁMLAVEZETÉSSEL KAPCSOLATOS ELSZÁMOLÁSOK</t>
  </si>
  <si>
    <t>J/1        Eredményszemléletű bevételek passzív időbeli elhatárolása</t>
  </si>
  <si>
    <t>J/2        Költségek, ráfordítások passzív időbeli elhatárolása</t>
  </si>
  <si>
    <t>J/3        Halasztott eredményszemléletű bevételek</t>
  </si>
  <si>
    <t>J)        PASSZÍV IDŐBELI ELHATÁROLÁSOK (=J/1+J/2+J/3)</t>
  </si>
  <si>
    <t xml:space="preserve">FORRÁSOK ÖSSZESEN (=G+H+I+J+K) </t>
  </si>
  <si>
    <t>*Hatályon kívül helyezve: 380/2017. (XII.11.) Kormányrendelet alapján</t>
  </si>
  <si>
    <t>az Önkormányzat pénzeszköz változásáról</t>
  </si>
  <si>
    <t>(Tájékoztató adatok az Áht. 91. § (2) bekezdés a) pontja alapján)</t>
  </si>
  <si>
    <t>Sor-szám</t>
  </si>
  <si>
    <t>Összeg</t>
  </si>
  <si>
    <t>Pénzkészlet 2020. január 1-jén</t>
  </si>
  <si>
    <t xml:space="preserve"> - Bankszámlák egyenlege</t>
  </si>
  <si>
    <t xml:space="preserve"> - Pénztárak és betétkönyvek egyenlege</t>
  </si>
  <si>
    <t>Követelések (+)</t>
  </si>
  <si>
    <t>Egyéb sajátos elszámolások (+)</t>
  </si>
  <si>
    <t>Kötelezettségek (-)</t>
  </si>
  <si>
    <t>Záró pénzkészlet 2020. december 31-én</t>
  </si>
  <si>
    <t>2020. december 31-én tulajdonában lévő részvények, üzletrészek névértékéről</t>
  </si>
  <si>
    <t>és a tulajdoni hányadokról az érintett társaságokban</t>
  </si>
  <si>
    <t>A gazdasági társaság megnevezése</t>
  </si>
  <si>
    <t>A részvénycsomag, ill. üzletrész névértéke</t>
  </si>
  <si>
    <t>A részvénycsomag, ill.</t>
  </si>
  <si>
    <t>Az Önkormányzat</t>
  </si>
  <si>
    <t>üzletrész 2019. évi</t>
  </si>
  <si>
    <t>üzletrész 2020. évben</t>
  </si>
  <si>
    <t xml:space="preserve">üzletrész 2020. évi </t>
  </si>
  <si>
    <t>2020. évi</t>
  </si>
  <si>
    <t xml:space="preserve"> mérleg szerinti értéke</t>
  </si>
  <si>
    <t>végrehajtott törzstőke emelése és leszállítása</t>
  </si>
  <si>
    <t>tőketart.ba helyezés ill. tőkekivonás értéke</t>
  </si>
  <si>
    <t>elszámolt és visszaírt értékvesztés</t>
  </si>
  <si>
    <t>könyv szerinti értéke</t>
  </si>
  <si>
    <t>tulajdoni hányada (%)</t>
  </si>
  <si>
    <t>„VKSZ” Veszprémi Közüzemi Szolgáltató Zrt.</t>
  </si>
  <si>
    <t>Bakonykarszt Zrt.</t>
  </si>
  <si>
    <t>Veszprém - Balaton 2023 Zrt.</t>
  </si>
  <si>
    <t>Veszprémi Városi Televízió és Lapkiadó Kft.</t>
  </si>
  <si>
    <t>Veszprém 2030 Kft./volt Csarnok Kft.</t>
  </si>
  <si>
    <t xml:space="preserve">Kittenberger Kálmán Növény és Vadaspark Szolgáltató Kiemelten Közhasznú Nonprofit Kft. </t>
  </si>
  <si>
    <t>Veszprémi Turisztikai Közhasznú Nonprofit Kft.</t>
  </si>
  <si>
    <t>Swing-Swing Kft.</t>
  </si>
  <si>
    <t>Veszprémi Programiroda Kft.</t>
  </si>
  <si>
    <t>"VESZOL" Nonprofit Kft.</t>
  </si>
  <si>
    <t>V-Busz Kft.</t>
  </si>
  <si>
    <t>-</t>
  </si>
  <si>
    <t>Megjegyzés: Az államháztartásról szóló 2011. évi CXCV. törvény 91. § (2) bekezdés d) pontjával kapcsolatban az önkormányzat tulajdonában álló gazdálkodó szervezetek számviteli törvény szerinti beszámolójának, az adózott eredmény felhasználásának, éves üzleti tervének, illetve a következő évi gazdasági tevékenységgel szemben támasztott főbb követelmények jóváhagyását az Önkormányzat vagyonáról, a vagyongazdálkodás és vagyonhasznosítás szabályairól szóló 6/2012. (II.24.) önkormányzati rendelet a Tulajdonosi Bizottság hatáskörébe utalja.</t>
  </si>
  <si>
    <t>Az önkormányzat által adott közvetett támogatásokról, kedvezményekről</t>
  </si>
  <si>
    <t>2019. évben</t>
  </si>
  <si>
    <t>2020. évben</t>
  </si>
  <si>
    <t>Kedvezmények változása % (2019=100 %)</t>
  </si>
  <si>
    <t>Kedvezmények összege</t>
  </si>
  <si>
    <t>Adórendeletek alapján:</t>
  </si>
  <si>
    <t>Adórendeletek alapján összesen:</t>
  </si>
  <si>
    <t>Egyéb közvetett támogatások:</t>
  </si>
  <si>
    <t>Ellátottak térítési díjának illetve kártérítésének méltányossági alapon történő elengedésének összege</t>
  </si>
  <si>
    <t>Követelések elengedése</t>
  </si>
  <si>
    <t>Egyéb nyújtott kedvezmény vagy kölcsön elengedésének összege</t>
  </si>
  <si>
    <t xml:space="preserve">Veszprém Megyei Jogú Város Önkormányzata </t>
  </si>
  <si>
    <t>Vagyonkimutatása</t>
  </si>
  <si>
    <t>(Tájékoztató adatok az Áht. 91. § (2) bekezdés c) pontja alapján)</t>
  </si>
  <si>
    <t>Eszközök</t>
  </si>
  <si>
    <t>Változás %-a</t>
  </si>
  <si>
    <t>Polgármesteri Hivatal</t>
  </si>
  <si>
    <t>Intézmények összesen</t>
  </si>
  <si>
    <t>Petőfi Színház</t>
  </si>
  <si>
    <t>01.</t>
  </si>
  <si>
    <t>I. Immateriális javak</t>
  </si>
  <si>
    <t>02.</t>
  </si>
  <si>
    <t>II. Tárgyi eszközök (03+11)</t>
  </si>
  <si>
    <t>03.</t>
  </si>
  <si>
    <t>II/1. Törzsvagyon (04+07+08)</t>
  </si>
  <si>
    <t>04.</t>
  </si>
  <si>
    <t>a./ Forgalomképtelen ingatlanok (05+06)</t>
  </si>
  <si>
    <t>05.</t>
  </si>
  <si>
    <t>1. Ingatlanok és kapcsolódó vagyoni értékű jogok</t>
  </si>
  <si>
    <t>06.</t>
  </si>
  <si>
    <t>2. Folyamatban lévő ingatlan beruházás, felújítás</t>
  </si>
  <si>
    <t>07.</t>
  </si>
  <si>
    <t>b./ Nemzetgazdasági szempontból kiemelt jelentőségű ingatlanok</t>
  </si>
  <si>
    <t>08.</t>
  </si>
  <si>
    <t>c./ Korlátozottan forgalomképes ingatlanok (09+10)</t>
  </si>
  <si>
    <t>09.</t>
  </si>
  <si>
    <t>10.</t>
  </si>
  <si>
    <t>11.</t>
  </si>
  <si>
    <t>II/2. Üzleti vagyon (12+16)</t>
  </si>
  <si>
    <t>12.</t>
  </si>
  <si>
    <t>a./ Forgalomképes ingatlanok (13+14+15)</t>
  </si>
  <si>
    <t>13.</t>
  </si>
  <si>
    <t>1. Telkek, zártkerti-és külterületi földterületek</t>
  </si>
  <si>
    <t>14.</t>
  </si>
  <si>
    <t>2. Épületek</t>
  </si>
  <si>
    <t>15.</t>
  </si>
  <si>
    <t>3. Folyamatban lévő ingatlan beruházás, felújítás</t>
  </si>
  <si>
    <t>16.</t>
  </si>
  <si>
    <t>b./ Egyéb tárgyi eszközök (17+18+19+20)</t>
  </si>
  <si>
    <t>17.</t>
  </si>
  <si>
    <t>1. Gépek, berendezések, felszerelések, járművek</t>
  </si>
  <si>
    <t>18.</t>
  </si>
  <si>
    <t>2. Tenyészállatok</t>
  </si>
  <si>
    <t>19.</t>
  </si>
  <si>
    <t>3. Folyamatban lévő egyéb tárgyi eszköz beruházás, felújítás</t>
  </si>
  <si>
    <t>20.</t>
  </si>
  <si>
    <t>4. Tárgyi eszközök értékhelyesbítése</t>
  </si>
  <si>
    <t>21.</t>
  </si>
  <si>
    <t>III. Befektetett pénzügyi eszközök (22+27)</t>
  </si>
  <si>
    <t>22.</t>
  </si>
  <si>
    <t>III/1. Törzsvagyon (23+24)</t>
  </si>
  <si>
    <t>23.</t>
  </si>
  <si>
    <t>a./ Forgalomképtelen</t>
  </si>
  <si>
    <t>24.</t>
  </si>
  <si>
    <t>b./ Korlátozottan forgalomképes (25+26)</t>
  </si>
  <si>
    <t>25.</t>
  </si>
  <si>
    <t>1. Tartós részesedések</t>
  </si>
  <si>
    <t>26.</t>
  </si>
  <si>
    <t>2. Befektetett pénzügyi eszközök értékhelyesbítése</t>
  </si>
  <si>
    <t>27.</t>
  </si>
  <si>
    <t>III/2. Üzleti vagyon (28+29)</t>
  </si>
  <si>
    <t>28.</t>
  </si>
  <si>
    <t>1. Tartós hitelviszonyt megtestesítő értékpapírok</t>
  </si>
  <si>
    <t>29.</t>
  </si>
  <si>
    <t>30.</t>
  </si>
  <si>
    <t>IV. Koncesszióba, vagyonkezelésbe adott eszközök</t>
  </si>
  <si>
    <t>31.</t>
  </si>
  <si>
    <t>A.) Nemzeti vagyonba tartozó befektetett  eszközök összesen (01+02+21+30)</t>
  </si>
  <si>
    <t>32.</t>
  </si>
  <si>
    <t>I.  Készletek</t>
  </si>
  <si>
    <t>33.</t>
  </si>
  <si>
    <t>II. Értékpapírok</t>
  </si>
  <si>
    <t>34.</t>
  </si>
  <si>
    <t>B.) Nemzeti vagyonba tartozó forgóeszközök (32+33)</t>
  </si>
  <si>
    <t>35.</t>
  </si>
  <si>
    <t>I.    Lekötött bankbetétek</t>
  </si>
  <si>
    <t>36.</t>
  </si>
  <si>
    <t>II.   Pénztárak, csekkek, betétkönyvek</t>
  </si>
  <si>
    <t>37.</t>
  </si>
  <si>
    <t>III.  Forintszámlák</t>
  </si>
  <si>
    <t>38.</t>
  </si>
  <si>
    <t>IV. Devizaszámlák</t>
  </si>
  <si>
    <t>39.</t>
  </si>
  <si>
    <t>C.) Pénzeszközök (35+36+37+38)</t>
  </si>
  <si>
    <t>40.</t>
  </si>
  <si>
    <t>I.     Költségvetési évben esedékes követelések</t>
  </si>
  <si>
    <t>41.</t>
  </si>
  <si>
    <t>II.   Költségvetési évet követően esedékes követelések</t>
  </si>
  <si>
    <t>42.</t>
  </si>
  <si>
    <t>III. Követelés jellegű sajátos elszámolások</t>
  </si>
  <si>
    <t>43.</t>
  </si>
  <si>
    <t>D.) Követelések összesen (40+41+42)</t>
  </si>
  <si>
    <t>44.</t>
  </si>
  <si>
    <t>I.   Előzetesen felszámított általános forgalmi adó elszámolása</t>
  </si>
  <si>
    <t>45.</t>
  </si>
  <si>
    <t>II.  Fizetendő általános forgalmi adó elszámolása</t>
  </si>
  <si>
    <t>46.</t>
  </si>
  <si>
    <t>III. Egyéb sajátos eszközoldali elszámolások</t>
  </si>
  <si>
    <t>47.</t>
  </si>
  <si>
    <t>E.) Egyéb sajátos elszámolások (44+45+46)</t>
  </si>
  <si>
    <t>48.</t>
  </si>
  <si>
    <t>F.) Aktív időbeli elhatárolások</t>
  </si>
  <si>
    <t>49.</t>
  </si>
  <si>
    <t>Eszközök összesen: (31+34+39+43+47+48)</t>
  </si>
  <si>
    <t xml:space="preserve">Források  </t>
  </si>
  <si>
    <t>50.</t>
  </si>
  <si>
    <t>I.    Nemzeti vagyon induláskori értéke</t>
  </si>
  <si>
    <t>51.</t>
  </si>
  <si>
    <t>II.   Nemzeti vagyon változásai</t>
  </si>
  <si>
    <t>52.</t>
  </si>
  <si>
    <t>III.  Egyéb eszközök induláskori értéke és változásai</t>
  </si>
  <si>
    <t>53.</t>
  </si>
  <si>
    <t>IV. Felhalmozott eredmény</t>
  </si>
  <si>
    <t>54.</t>
  </si>
  <si>
    <t>V.  Eszközök értékhelyesbítésének forrása</t>
  </si>
  <si>
    <t>55.</t>
  </si>
  <si>
    <t>VI. Mérleg szerinti eredmény</t>
  </si>
  <si>
    <t>56.</t>
  </si>
  <si>
    <t>G.) Saját tőke összesen (50+51+52+53+54+55)</t>
  </si>
  <si>
    <t>57.</t>
  </si>
  <si>
    <t>I.    Költségvetési évben esedékes kötelezettségek</t>
  </si>
  <si>
    <t>58.</t>
  </si>
  <si>
    <t>II.  Költségvetési évet követően esedékes kötelezettségek</t>
  </si>
  <si>
    <t>59.</t>
  </si>
  <si>
    <t>III. Kötelezettség jellegű sajátos elszámolások</t>
  </si>
  <si>
    <t>60.</t>
  </si>
  <si>
    <t>H.) Kötelezettségek összesen (57+58+59)</t>
  </si>
  <si>
    <t>61.</t>
  </si>
  <si>
    <t>I.)  Kincstári számlavezetéssel kapcsolatos elszámolások</t>
  </si>
  <si>
    <t>62.</t>
  </si>
  <si>
    <t>J.)  Passzív időbeli elhatárolások</t>
  </si>
  <si>
    <t>63.</t>
  </si>
  <si>
    <t>Források összesen: (56+60+61+62)</t>
  </si>
  <si>
    <t>sor-
szám</t>
  </si>
  <si>
    <t>Bruttó érték</t>
  </si>
  <si>
    <t xml:space="preserve">Önkormányzat VAGYONKIMUTATÁS </t>
  </si>
  <si>
    <t>a "0"-ra leírt eszközökről</t>
  </si>
  <si>
    <t>A/I. Immateriális javak (2+3)</t>
  </si>
  <si>
    <t>"0"-ra leírt, de használatban lévő</t>
  </si>
  <si>
    <t>"0"-ra leírt, használaton kívüli</t>
  </si>
  <si>
    <t>A/II. Tárgyi eszközök (5+8+11+14)</t>
  </si>
  <si>
    <t>1. Ingatlanok és kapcsolódó vagyoni értékű jogok (6+7)</t>
  </si>
  <si>
    <t>2. Gépek, berendezések, felszerelések és járművek (9+10)</t>
  </si>
  <si>
    <t>3. Tenyészállatok (12+13)</t>
  </si>
  <si>
    <t>A/IV. Koncesszióba, vagyonkezelésbe adott eszközök (15+16)</t>
  </si>
  <si>
    <t>ÖSSZESEN (1+4+14)</t>
  </si>
  <si>
    <t>Érték</t>
  </si>
  <si>
    <t>a használatban lévő kisértékű immateriális javakról, tárgyi eszközökről és készletekről</t>
  </si>
  <si>
    <t>A/I. Immateriális javak</t>
  </si>
  <si>
    <t>A/II. Tárgyi eszközök (3+4+5)</t>
  </si>
  <si>
    <t>2. Gépek, berendezések, felszerelések és járművek</t>
  </si>
  <si>
    <t>3. Tenyészállatok</t>
  </si>
  <si>
    <t>B/I. Készletek (7+8+9+10+11)</t>
  </si>
  <si>
    <t>1. Vásárolt készletek</t>
  </si>
  <si>
    <t>2. Átsorolt, követelés fejében átvett készletek</t>
  </si>
  <si>
    <t>3. Egyéb készletek</t>
  </si>
  <si>
    <t>4. Befejezetlen termelés, félkész termékek, késztermékek</t>
  </si>
  <si>
    <t>5. Növendék-, hízó és egyéb állatok</t>
  </si>
  <si>
    <t>ÖSSZESEN (1+2+6)</t>
  </si>
  <si>
    <t>Önkormányzat VAGYONKIMUTATÁS</t>
  </si>
  <si>
    <t>a 01-02 számlacsoportba nyilvántartott eszközökről</t>
  </si>
  <si>
    <t>I. Befektetett eszközök (2+3+4+5)</t>
  </si>
  <si>
    <t>1. Államháztartáson belüli vagyonkezelésbe adott eszközök</t>
  </si>
  <si>
    <t>2. Bérbe vett befektetett eszközök</t>
  </si>
  <si>
    <t>3. Letétbe, bizományba, üzemeltetésre átvett befektetett eszközök</t>
  </si>
  <si>
    <t>4. PPP konstrukcióban használt befektetett eszközök</t>
  </si>
  <si>
    <t>II. Készletek (7+8+9)</t>
  </si>
  <si>
    <t>1. Bérbe vett készletek</t>
  </si>
  <si>
    <t>2. Letétbe, bizományba vett készletek</t>
  </si>
  <si>
    <t>3. Intervenciós készletek</t>
  </si>
  <si>
    <t>ÖSSZESEN (1+6)</t>
  </si>
  <si>
    <t>Képzőművészeti alkotások(kisplasztika)</t>
  </si>
  <si>
    <t>a NVT. 1. § (2) bekezdés g) és h) pontja szerinti kulturális javakról és régészeti leleltekről</t>
  </si>
  <si>
    <t>Képzőművészeti alkotások</t>
  </si>
  <si>
    <t>Kép- és hangarchívum</t>
  </si>
  <si>
    <t>Gyűjtemények</t>
  </si>
  <si>
    <t>Kulturális javak</t>
  </si>
  <si>
    <t>Régészeti leletek</t>
  </si>
  <si>
    <t>Összesen (1+2+3+4+5)</t>
  </si>
  <si>
    <t>a függő követelésekről és kötelezettségekről, a biztos (jövőbeni) követelésekről</t>
  </si>
  <si>
    <t>I. Függő és biztos (jövőbeni) követelések (2+3+4)</t>
  </si>
  <si>
    <t>1. Támogatási célú előlegekkel kapcsolatos elszámolási követelések</t>
  </si>
  <si>
    <t xml:space="preserve">2. Egyéb </t>
  </si>
  <si>
    <t>3. Biztos (jövőbeni) követelések</t>
  </si>
  <si>
    <t>III. Függő kötelezettségek (6+7+8+9+10)</t>
  </si>
  <si>
    <t>1. Kezességgel-, garanciavállalással kapcsolatos függő kötelezettségek</t>
  </si>
  <si>
    <t>2. Peres ügyekkel kapcsolatos függő kötelezettségek</t>
  </si>
  <si>
    <t>3. El nem ismert tartozások</t>
  </si>
  <si>
    <t>4. Támogatási célú előlegekkel kapcsolatos elszámolási kötelezettségek</t>
  </si>
  <si>
    <t>5. Egyéb függő Kötelezettségek</t>
  </si>
  <si>
    <t>Összesen (1+4+5)</t>
  </si>
  <si>
    <t>Hitelfelvétel 2020</t>
  </si>
  <si>
    <t>Hitel-állomány 2020.12.31</t>
  </si>
  <si>
    <t>Felhalmozási hitel - Célhitel 2017</t>
  </si>
  <si>
    <t>I.</t>
  </si>
  <si>
    <t>Önkormányzatok általános működéséhez kapcsolódó támogatás (Bérintézkedések kiadásainak támogatásáról szóló 305/2020. VI.30.) Korm. rendelet alapján folyósított támogatás)</t>
  </si>
  <si>
    <t xml:space="preserve">Köznevelési intézmények működtetéséhez kapcsolódó támogatás  (Bérintézkedések kiadásainak támogatásáról szóló 305/2020. VI.30.) Korm. rendelet alapján folyósított támogatás) </t>
  </si>
  <si>
    <t>Egyes szociális és gyermekjóléti feladatok kiegészítő támogatása, család- és gyermekjóléti szolgálat és központ  (Bérintézkedések kiadásainak támogatásáról szóló 305/2020. VI.30.) Korm. rendelet alapján folyósított támogatás)</t>
  </si>
  <si>
    <t>Egyes szociális és gyermekjóléti feladatok kiegészítő támogatása  (Bérintézkedések kiadásainak támogatásáról szóló 305/2020. VI.30.) Korm. rendelet alapján folyósított támogatás)</t>
  </si>
  <si>
    <t>Bölcsődei feladatok kiegészítő támogatása  (Bérintézkedések kiadásainak támogatásáról szóló 305/2020. VI.30.) Korm. rendelet alapján folyósított támogatás)</t>
  </si>
  <si>
    <t>Szakosított ellátások feladatainakkiegészítő támogatása  (Bérintézkedések kiadásainak támogatásáról szóló 305/2020. VI.30.) Korm. rendelet alapján folyósított támogatás)</t>
  </si>
  <si>
    <t>Gyermekétkeztetési feladatok kiegészítő támogatása  (Bérintézkedések kiadásainak támogatásáról szóló 305/2020. VI.30.) Korm. rendelet alapján folyósított támogatás)</t>
  </si>
  <si>
    <t>Közművelődési kiegészítő támogatás  (Bérintézkedések kiadásainak támogatásáról szóló 305/2020. VI.30.) Korm. rendelet alapján folyósított támogatás)</t>
  </si>
  <si>
    <t>1. melléklet a 21/2021. (IV. 29.) önkormányzati rendelethez</t>
  </si>
  <si>
    <t>1/A. melléklet a 21/2021. (IV. 29.) önkormányzati rendelethez</t>
  </si>
  <si>
    <t>2. melléklet a 21/2021. (IV. 29.) önkormányzati rendelethez</t>
  </si>
  <si>
    <t>3. melléklet a 21/2021. (IV. 29.) önkormányzati rendelethez</t>
  </si>
  <si>
    <t>4. melléklet a 21/2021. (IV. 29.) önkormányzati rendelethez</t>
  </si>
  <si>
    <t>5. melléklet a 21/2021. (IV. 29.) önkormányzati rendelethez</t>
  </si>
  <si>
    <t>6. melléklet a 21/2021. (IV. 29.) önkormányzati rendelethez</t>
  </si>
  <si>
    <t>6/A. melléklet a 21/2021. (IV. 29.) önkormányzati rendelethez</t>
  </si>
  <si>
    <t>7. melléklet a 21/2021. (IV. 29.) önkormányzati rendelethez</t>
  </si>
  <si>
    <t>8. melléklet a 21/2021. (IV. 29.) önkormányzati rendelethez</t>
  </si>
  <si>
    <t>9. melléklet a 21/2021. (IV. 29.) önkormányzati rendelethez</t>
  </si>
  <si>
    <t>10. melléklet a 21/2021. (IV. 29.) önkormányzati rendelethez</t>
  </si>
  <si>
    <t>11. melléklet a 21/2021. (IV. 29.) önkormányzati rendelethez</t>
  </si>
  <si>
    <t>12. melléklet a 21/2021. (IV. 29.) önkormányzati rendelethez</t>
  </si>
  <si>
    <t>13. melléklet a 21/2021. (IV. 29.) önkormányzati rendelethez</t>
  </si>
  <si>
    <t>14. melléklet a 21/2021. (IV. 29.) önkormányzati rendelethez</t>
  </si>
  <si>
    <t>15. melléklet a 21/2021. (IV. 29.) önkormányzati rendelethez</t>
  </si>
  <si>
    <t>16. melléklet a 21/2021. (IV. 29.) önkormányzati rendelethez</t>
  </si>
  <si>
    <t>17. melléklet a 21/2021. (IV. 29.) önkormányzati rendelethez</t>
  </si>
  <si>
    <t>18. melléklet a 21/2021. (IV. 29.) önkormányzati rendelethez</t>
  </si>
  <si>
    <t>19. melléklet a 21/2021. (IV. 29.) önkormányzati rendelethez</t>
  </si>
  <si>
    <t>20/A. melléklet a 21/2021. (IV. 29.) önkormányzati rendelethez</t>
  </si>
  <si>
    <t>20. melléklet a 21/2021. (IV. 29.) önkormányzati rendelethez</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</si>
</sst>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
  </numFmts>
  <fonts count="99">
    <font>
      <sz val="10"/>
      <name val="Arial CE"/>
      <family val="0"/>
    </font>
    <font>
      <sz val="11"/>
      <color indexed="8"/>
      <name val="Calibri"/>
      <family val="2"/>
    </font>
    <font>
      <sz val="11"/>
      <name val="Palatino Linotype"/>
      <family val="1"/>
    </font>
    <font>
      <sz val="10"/>
      <name val="Arial"/>
      <family val="2"/>
    </font>
    <font>
      <b/>
      <sz val="11"/>
      <name val="Palatino Linotype"/>
      <family val="1"/>
    </font>
    <font>
      <i/>
      <sz val="11"/>
      <name val="Palatino Linotype"/>
      <family val="1"/>
    </font>
    <font>
      <sz val="9"/>
      <name val="Palatino Linotype"/>
      <family val="1"/>
    </font>
    <font>
      <sz val="8"/>
      <name val="Arial CE"/>
      <family val="0"/>
    </font>
    <font>
      <sz val="12"/>
      <name val="Times New Roman"/>
      <family val="1"/>
    </font>
    <font>
      <sz val="8"/>
      <name val="Palatino Linotype"/>
      <family val="1"/>
    </font>
    <font>
      <sz val="10"/>
      <name val="Palatino Linotype"/>
      <family val="1"/>
    </font>
    <font>
      <b/>
      <sz val="9"/>
      <name val="Palatino Linotype"/>
      <family val="1"/>
    </font>
    <font>
      <i/>
      <sz val="10"/>
      <name val="Palatino Linotype"/>
      <family val="1"/>
    </font>
    <font>
      <b/>
      <sz val="10"/>
      <name val="Palatino Linotype"/>
      <family val="1"/>
    </font>
    <font>
      <sz val="9"/>
      <name val="Arial CE"/>
      <family val="0"/>
    </font>
    <font>
      <i/>
      <u val="single"/>
      <sz val="10"/>
      <name val="Palatino Linotype"/>
      <family val="1"/>
    </font>
    <font>
      <b/>
      <i/>
      <sz val="10"/>
      <name val="Palatino Linotype"/>
      <family val="1"/>
    </font>
    <font>
      <b/>
      <i/>
      <sz val="11"/>
      <name val="Palatino Linotype"/>
      <family val="1"/>
    </font>
    <font>
      <sz val="7"/>
      <name val="Palatino Linotype"/>
      <family val="1"/>
    </font>
    <font>
      <b/>
      <sz val="8"/>
      <name val="Palatino Linotype"/>
      <family val="1"/>
    </font>
    <font>
      <b/>
      <sz val="10"/>
      <name val="Arial CE"/>
      <family val="0"/>
    </font>
    <font>
      <i/>
      <sz val="10"/>
      <name val="Arial CE"/>
      <family val="0"/>
    </font>
    <font>
      <b/>
      <u val="double"/>
      <sz val="10"/>
      <name val="Palatino Linotype"/>
      <family val="1"/>
    </font>
    <font>
      <sz val="11"/>
      <name val="Arial CE"/>
      <family val="0"/>
    </font>
    <font>
      <sz val="10"/>
      <name val="Times New Roman"/>
      <family val="1"/>
    </font>
    <font>
      <b/>
      <u val="single"/>
      <sz val="10"/>
      <name val="Palatino Linotype"/>
      <family val="1"/>
    </font>
    <font>
      <b/>
      <u val="single"/>
      <sz val="11"/>
      <name val="Palatino Linotype"/>
      <family val="1"/>
    </font>
    <font>
      <u val="single"/>
      <sz val="11"/>
      <name val="Palatino Linotype"/>
      <family val="1"/>
    </font>
    <font>
      <sz val="11"/>
      <color indexed="10"/>
      <name val="Palatino Linotype"/>
      <family val="1"/>
    </font>
    <font>
      <sz val="11"/>
      <color indexed="8"/>
      <name val="Palatino Linotype"/>
      <family val="1"/>
    </font>
    <font>
      <b/>
      <sz val="10"/>
      <color indexed="16"/>
      <name val="Palatino Linotype"/>
      <family val="1"/>
    </font>
    <font>
      <b/>
      <i/>
      <sz val="10"/>
      <color indexed="16"/>
      <name val="Palatino Linotype"/>
      <family val="1"/>
    </font>
    <font>
      <b/>
      <sz val="10"/>
      <color indexed="16"/>
      <name val="Arial CE"/>
      <family val="0"/>
    </font>
    <font>
      <b/>
      <i/>
      <sz val="10"/>
      <color indexed="16"/>
      <name val="Arial CE"/>
      <family val="0"/>
    </font>
    <font>
      <b/>
      <sz val="11"/>
      <color indexed="16"/>
      <name val="Palatino Linotype"/>
      <family val="1"/>
    </font>
    <font>
      <sz val="11"/>
      <color indexed="16"/>
      <name val="Palatino Linotype"/>
      <family val="1"/>
    </font>
    <font>
      <sz val="9"/>
      <name val="Tahoma"/>
      <family val="2"/>
    </font>
    <font>
      <b/>
      <sz val="9"/>
      <name val="Tahoma"/>
      <family val="2"/>
    </font>
    <font>
      <b/>
      <u val="single"/>
      <sz val="12"/>
      <name val="Palatino Linotype"/>
      <family val="1"/>
    </font>
    <font>
      <u val="single"/>
      <sz val="10"/>
      <name val="Palatino Linotype"/>
      <family val="1"/>
    </font>
    <font>
      <b/>
      <i/>
      <sz val="11"/>
      <color indexed="16"/>
      <name val="Palatino Linotype"/>
      <family val="1"/>
    </font>
    <font>
      <i/>
      <sz val="10"/>
      <color indexed="8"/>
      <name val="Palatino Linotype"/>
      <family val="1"/>
    </font>
    <font>
      <b/>
      <sz val="10"/>
      <color indexed="8"/>
      <name val="Palatino Linotype"/>
      <family val="1"/>
    </font>
    <font>
      <b/>
      <sz val="12"/>
      <name val="Palatino Linotype"/>
      <family val="1"/>
    </font>
    <font>
      <i/>
      <u val="single"/>
      <sz val="11"/>
      <name val="Palatino Linotype"/>
      <family val="1"/>
    </font>
    <font>
      <b/>
      <i/>
      <sz val="12"/>
      <name val="Palatino Linotype"/>
      <family val="1"/>
    </font>
    <font>
      <i/>
      <sz val="14"/>
      <name val="Garamond"/>
      <family val="1"/>
    </font>
    <font>
      <b/>
      <u val="single"/>
      <sz val="10"/>
      <color indexed="8"/>
      <name val="Palatino Linotype"/>
      <family val="1"/>
    </font>
    <font>
      <i/>
      <sz val="9"/>
      <name val="Palatino Linotype"/>
      <family val="1"/>
    </font>
    <font>
      <b/>
      <i/>
      <sz val="9"/>
      <name val="Palatino Linotype"/>
      <family val="1"/>
    </font>
    <font>
      <sz val="7.5"/>
      <name val="Palatino Linotype"/>
      <family val="1"/>
    </font>
    <font>
      <b/>
      <sz val="7.5"/>
      <name val="Palatino Linotype"/>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theme="1"/>
      <name val="Calibri"/>
      <family val="2"/>
    </font>
    <font>
      <sz val="11"/>
      <color rgb="FF3F3F7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1"/>
      <color rgb="FFFF0000"/>
      <name val="Palatino Linotype"/>
      <family val="1"/>
    </font>
    <font>
      <b/>
      <sz val="10"/>
      <color theme="5" tint="-0.4999699890613556"/>
      <name val="Palatino Linotype"/>
      <family val="1"/>
    </font>
    <font>
      <b/>
      <i/>
      <sz val="10"/>
      <color theme="5" tint="-0.4999699890613556"/>
      <name val="Palatino Linotype"/>
      <family val="1"/>
    </font>
    <font>
      <b/>
      <sz val="10"/>
      <color theme="5" tint="-0.4999699890613556"/>
      <name val="Arial CE"/>
      <family val="0"/>
    </font>
    <font>
      <b/>
      <i/>
      <sz val="10"/>
      <color theme="5" tint="-0.4999699890613556"/>
      <name val="Arial CE"/>
      <family val="0"/>
    </font>
    <font>
      <b/>
      <sz val="11"/>
      <color theme="5" tint="-0.4999699890613556"/>
      <name val="Palatino Linotype"/>
      <family val="1"/>
    </font>
    <font>
      <sz val="11"/>
      <color theme="5" tint="-0.4999699890613556"/>
      <name val="Palatino Linotype"/>
      <family val="1"/>
    </font>
    <font>
      <sz val="11"/>
      <color theme="1"/>
      <name val="Palatino Linotype"/>
      <family val="1"/>
    </font>
    <font>
      <b/>
      <i/>
      <sz val="11"/>
      <color theme="5" tint="-0.4999699890613556"/>
      <name val="Palatino Linotype"/>
      <family val="1"/>
    </font>
    <font>
      <i/>
      <sz val="10"/>
      <color theme="1"/>
      <name val="Palatino Linotype"/>
      <family val="1"/>
    </font>
    <font>
      <b/>
      <sz val="10"/>
      <color theme="1"/>
      <name val="Palatino Linotype"/>
      <family val="1"/>
    </font>
    <font>
      <b/>
      <u val="single"/>
      <sz val="10"/>
      <color theme="1"/>
      <name val="Palatino Linotype"/>
      <family val="1"/>
    </font>
    <font>
      <sz val="11"/>
      <color rgb="FF000000"/>
      <name val="Palatino Linotype"/>
      <family val="1"/>
    </font>
    <font>
      <b/>
      <sz val="8"/>
      <name val="Arial CE"/>
      <family val="2"/>
    </font>
  </fonts>
  <fills count="38">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7" tint="-0.24997000396251678"/>
        <bgColor indexed="64"/>
      </patternFill>
    </fill>
    <fill>
      <patternFill patternType="solid">
        <fgColor indexed="13"/>
        <bgColor indexed="64"/>
      </patternFill>
    </fill>
    <fill>
      <patternFill patternType="solid">
        <fgColor theme="2" tint="-0.24997000396251678"/>
        <bgColor indexed="64"/>
      </patternFill>
    </fill>
    <fill>
      <patternFill patternType="solid">
        <fgColor indexed="26"/>
        <bgColor indexed="64"/>
      </patternFill>
    </fill>
    <fill>
      <patternFill patternType="solid">
        <fgColor theme="0"/>
        <bgColor indexed="64"/>
      </patternFill>
    </fill>
  </fills>
  <borders count="2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style="medium"/>
      <top/>
      <bottom style="medium"/>
    </border>
    <border>
      <left/>
      <right/>
      <top style="thin"/>
      <bottom style="thin"/>
    </border>
    <border>
      <left/>
      <right/>
      <top/>
      <bottom style="thin"/>
    </border>
    <border>
      <left/>
      <right/>
      <top style="medium"/>
      <bottom style="thin"/>
    </border>
    <border>
      <left style="medium"/>
      <right/>
      <top style="medium"/>
      <bottom style="medium"/>
    </border>
    <border>
      <left/>
      <right/>
      <top style="medium"/>
      <bottom style="medium"/>
    </border>
    <border>
      <left style="medium"/>
      <right style="hair"/>
      <top style="double"/>
      <bottom style="hair"/>
    </border>
    <border>
      <left style="hair"/>
      <right style="hair"/>
      <top style="double"/>
      <bottom style="hair"/>
    </border>
    <border>
      <left style="medium"/>
      <right style="hair"/>
      <top style="hair"/>
      <bottom style="hair"/>
    </border>
    <border>
      <left style="hair"/>
      <right style="hair"/>
      <top style="hair"/>
      <bottom style="hair"/>
    </border>
    <border>
      <left style="hair"/>
      <right style="medium"/>
      <top style="hair"/>
      <bottom style="hair"/>
    </border>
    <border>
      <left style="hair"/>
      <right style="hair"/>
      <top/>
      <bottom style="hair"/>
    </border>
    <border>
      <left style="medium"/>
      <right style="hair"/>
      <top/>
      <bottom style="hair"/>
    </border>
    <border>
      <left style="medium"/>
      <right style="hair"/>
      <top style="medium"/>
      <bottom style="medium"/>
    </border>
    <border>
      <left style="hair"/>
      <right style="medium"/>
      <top style="medium"/>
      <bottom style="medium"/>
    </border>
    <border>
      <left style="hair"/>
      <right style="medium"/>
      <top/>
      <bottom style="hair"/>
    </border>
    <border>
      <left/>
      <right/>
      <top style="thin"/>
      <bottom style="double"/>
    </border>
    <border>
      <left/>
      <right/>
      <top style="double"/>
      <bottom style="medium"/>
    </border>
    <border>
      <left/>
      <right/>
      <top style="thin"/>
      <bottom style="medium"/>
    </border>
    <border>
      <left style="double"/>
      <right style="double"/>
      <top style="medium"/>
      <bottom style="medium"/>
    </border>
    <border>
      <left style="double"/>
      <right style="double"/>
      <top style="hair"/>
      <bottom style="hair"/>
    </border>
    <border>
      <left style="thin"/>
      <right style="thin"/>
      <top style="medium"/>
      <bottom style="medium"/>
    </border>
    <border>
      <left style="hair"/>
      <right/>
      <top style="hair"/>
      <bottom style="hair"/>
    </border>
    <border>
      <left style="double"/>
      <right style="hair"/>
      <top style="hair"/>
      <bottom style="hair"/>
    </border>
    <border>
      <left style="hair"/>
      <right style="hair"/>
      <top style="medium"/>
      <bottom style="hair"/>
    </border>
    <border>
      <left style="hair"/>
      <right style="medium"/>
      <top style="medium"/>
      <bottom style="hair"/>
    </border>
    <border>
      <left style="double"/>
      <right style="hair"/>
      <top style="medium"/>
      <bottom style="hair"/>
    </border>
    <border>
      <left style="thin"/>
      <right style="thin"/>
      <top style="thin"/>
      <bottom style="medium"/>
    </border>
    <border>
      <left style="double"/>
      <right style="thin"/>
      <top style="thin"/>
      <bottom style="medium"/>
    </border>
    <border>
      <left style="medium"/>
      <right/>
      <top style="medium"/>
      <bottom style="thin"/>
    </border>
    <border>
      <left style="medium"/>
      <right/>
      <top style="thin"/>
      <bottom style="thin"/>
    </border>
    <border>
      <left style="medium"/>
      <right/>
      <top style="thin"/>
      <bottom style="double"/>
    </border>
    <border>
      <left style="medium"/>
      <right/>
      <top style="double"/>
      <bottom style="medium"/>
    </border>
    <border>
      <left style="medium"/>
      <right/>
      <top style="thin"/>
      <bottom style="medium"/>
    </border>
    <border>
      <left style="medium"/>
      <right style="thin"/>
      <top style="medium"/>
      <bottom style="medium"/>
    </border>
    <border>
      <left style="thin"/>
      <right/>
      <top style="medium"/>
      <bottom style="medium"/>
    </border>
    <border>
      <left/>
      <right/>
      <top/>
      <bottom style="medium"/>
    </border>
    <border>
      <left style="hair"/>
      <right/>
      <top/>
      <bottom style="hair"/>
    </border>
    <border>
      <left style="double"/>
      <right style="hair"/>
      <top/>
      <bottom style="hair"/>
    </border>
    <border>
      <left style="medium"/>
      <right style="hair"/>
      <top style="hair"/>
      <bottom/>
    </border>
    <border>
      <left style="medium"/>
      <right style="hair"/>
      <top/>
      <bottom/>
    </border>
    <border>
      <left style="hair"/>
      <right style="hair"/>
      <top/>
      <bottom/>
    </border>
    <border>
      <left/>
      <right style="hair"/>
      <top/>
      <bottom/>
    </border>
    <border>
      <left/>
      <right style="thin"/>
      <top style="medium"/>
      <bottom style="thin"/>
    </border>
    <border>
      <left style="thin"/>
      <right/>
      <top style="medium"/>
      <bottom style="thin"/>
    </border>
    <border>
      <left style="double"/>
      <right/>
      <top style="medium"/>
      <bottom style="thin"/>
    </border>
    <border>
      <left style="thin"/>
      <right/>
      <top/>
      <bottom/>
    </border>
    <border>
      <left style="double"/>
      <right/>
      <top/>
      <bottom/>
    </border>
    <border>
      <left style="thin"/>
      <right/>
      <top style="thin"/>
      <bottom style="thin"/>
    </border>
    <border>
      <left style="double"/>
      <right/>
      <top style="thin"/>
      <bottom style="thin"/>
    </border>
    <border>
      <left style="double"/>
      <right/>
      <top style="thin"/>
      <bottom style="double"/>
    </border>
    <border>
      <left style="medium"/>
      <right/>
      <top style="double"/>
      <bottom style="double"/>
    </border>
    <border>
      <left/>
      <right style="thin"/>
      <top style="double"/>
      <bottom style="double"/>
    </border>
    <border>
      <left style="double"/>
      <right/>
      <top style="double"/>
      <bottom style="double"/>
    </border>
    <border>
      <left style="medium"/>
      <right/>
      <top style="double"/>
      <bottom/>
    </border>
    <border>
      <left/>
      <right/>
      <top style="double"/>
      <bottom/>
    </border>
    <border>
      <left/>
      <right style="thin"/>
      <top/>
      <bottom/>
    </border>
    <border>
      <left style="medium"/>
      <right/>
      <top/>
      <bottom style="thin"/>
    </border>
    <border>
      <left style="double"/>
      <right/>
      <top/>
      <bottom style="thin"/>
    </border>
    <border>
      <left style="medium"/>
      <right/>
      <top/>
      <bottom style="medium"/>
    </border>
    <border>
      <left style="double"/>
      <right/>
      <top/>
      <bottom style="medium"/>
    </border>
    <border>
      <left style="thin"/>
      <right/>
      <top style="thin"/>
      <bottom style="double"/>
    </border>
    <border>
      <left style="thin"/>
      <right style="double"/>
      <top style="double"/>
      <bottom style="double"/>
    </border>
    <border>
      <left style="thin"/>
      <right/>
      <top style="double"/>
      <bottom/>
    </border>
    <border>
      <left style="thin"/>
      <right/>
      <top/>
      <bottom style="thin"/>
    </border>
    <border>
      <left style="thin"/>
      <right/>
      <top/>
      <bottom style="medium"/>
    </border>
    <border>
      <left style="hair"/>
      <right style="medium"/>
      <top/>
      <bottom/>
    </border>
    <border>
      <left/>
      <right/>
      <top style="medium"/>
      <bottom/>
    </border>
    <border>
      <left/>
      <right style="hair"/>
      <top/>
      <bottom style="hair"/>
    </border>
    <border>
      <left/>
      <right style="hair"/>
      <top style="hair"/>
      <bottom style="hair"/>
    </border>
    <border>
      <left/>
      <right style="hair"/>
      <top style="double"/>
      <bottom style="hair"/>
    </border>
    <border>
      <left style="double"/>
      <right style="hair"/>
      <top style="double"/>
      <bottom style="hair"/>
    </border>
    <border>
      <left style="hair"/>
      <right style="medium"/>
      <top style="double"/>
      <bottom style="hair"/>
    </border>
    <border>
      <left style="medium"/>
      <right/>
      <top style="hair"/>
      <bottom style="hair"/>
    </border>
    <border>
      <left style="double"/>
      <right style="double"/>
      <top/>
      <bottom/>
    </border>
    <border>
      <left style="medium"/>
      <right style="hair"/>
      <top style="hair"/>
      <bottom style="double"/>
    </border>
    <border>
      <left style="double"/>
      <right style="hair"/>
      <top style="hair"/>
      <bottom style="double"/>
    </border>
    <border>
      <left style="hair"/>
      <right style="hair"/>
      <top style="hair"/>
      <bottom style="double"/>
    </border>
    <border>
      <left style="hair"/>
      <right/>
      <top style="hair"/>
      <bottom style="double"/>
    </border>
    <border>
      <left/>
      <right/>
      <top/>
      <bottom style="hair"/>
    </border>
    <border>
      <left/>
      <right/>
      <top style="hair"/>
      <bottom style="hair"/>
    </border>
    <border>
      <left style="hair"/>
      <right/>
      <top style="double"/>
      <bottom style="hair"/>
    </border>
    <border>
      <left style="double"/>
      <right style="medium"/>
      <top/>
      <bottom style="hair"/>
    </border>
    <border>
      <left style="double"/>
      <right style="medium"/>
      <top style="hair"/>
      <bottom style="hair"/>
    </border>
    <border>
      <left style="hair"/>
      <right style="double"/>
      <top style="medium"/>
      <bottom style="hair"/>
    </border>
    <border>
      <left style="hair"/>
      <right style="double"/>
      <top style="hair"/>
      <bottom style="hair"/>
    </border>
    <border>
      <left style="hair"/>
      <right style="double"/>
      <top style="medium"/>
      <bottom/>
    </border>
    <border>
      <left style="hair"/>
      <right style="hair"/>
      <top style="medium"/>
      <bottom/>
    </border>
    <border>
      <left style="hair"/>
      <right style="hair"/>
      <top style="hair"/>
      <bottom/>
    </border>
    <border>
      <left/>
      <right/>
      <top style="hair"/>
      <bottom/>
    </border>
    <border>
      <left/>
      <right style="hair"/>
      <top style="hair"/>
      <bottom/>
    </border>
    <border>
      <left style="hair"/>
      <right style="medium"/>
      <top style="hair"/>
      <bottom/>
    </border>
    <border>
      <left style="hair"/>
      <right/>
      <top style="hair"/>
      <bottom/>
    </border>
    <border>
      <left style="double"/>
      <right style="hair"/>
      <top style="hair"/>
      <bottom/>
    </border>
    <border>
      <left style="thin"/>
      <right style="medium"/>
      <top/>
      <bottom style="medium"/>
    </border>
    <border>
      <left style="medium"/>
      <right style="hair"/>
      <top style="medium"/>
      <bottom style="hair"/>
    </border>
    <border>
      <left/>
      <right style="hair"/>
      <top style="medium"/>
      <bottom style="hair"/>
    </border>
    <border>
      <left style="hair"/>
      <right style="hair"/>
      <top style="double"/>
      <bottom style="medium"/>
    </border>
    <border>
      <left style="hair"/>
      <right style="hair"/>
      <top style="medium"/>
      <bottom style="medium"/>
    </border>
    <border>
      <left/>
      <right style="medium"/>
      <top/>
      <bottom style="medium"/>
    </border>
    <border>
      <left/>
      <right style="hair"/>
      <top style="medium"/>
      <bottom/>
    </border>
    <border>
      <left style="hair"/>
      <right/>
      <top/>
      <bottom/>
    </border>
    <border>
      <left/>
      <right style="medium"/>
      <top/>
      <bottom/>
    </border>
    <border>
      <left style="hair"/>
      <right style="double"/>
      <top/>
      <bottom style="hair"/>
    </border>
    <border>
      <left style="double"/>
      <right style="medium"/>
      <top style="hair"/>
      <bottom/>
    </border>
    <border>
      <left style="hair"/>
      <right style="double"/>
      <top style="hair"/>
      <bottom/>
    </border>
    <border>
      <left/>
      <right style="hair"/>
      <top style="hair"/>
      <bottom style="double"/>
    </border>
    <border>
      <left style="hair"/>
      <right style="medium"/>
      <top style="hair"/>
      <bottom style="double"/>
    </border>
    <border>
      <left style="double"/>
      <right style="double"/>
      <top style="medium"/>
      <bottom/>
    </border>
    <border>
      <left style="double"/>
      <right style="hair"/>
      <top style="medium"/>
      <bottom/>
    </border>
    <border>
      <left style="double"/>
      <right style="hair"/>
      <top/>
      <bottom/>
    </border>
    <border>
      <left style="hair"/>
      <right style="double"/>
      <top style="hair"/>
      <bottom style="medium"/>
    </border>
    <border>
      <left style="double"/>
      <right style="hair"/>
      <top style="hair"/>
      <bottom style="medium"/>
    </border>
    <border>
      <left/>
      <right style="hair"/>
      <top style="hair"/>
      <bottom style="medium"/>
    </border>
    <border>
      <left style="double"/>
      <right style="hair"/>
      <top style="medium"/>
      <bottom style="medium"/>
    </border>
    <border>
      <left style="double"/>
      <right/>
      <top style="medium"/>
      <bottom style="medium"/>
    </border>
    <border>
      <left style="double"/>
      <right/>
      <top style="double"/>
      <bottom style="medium"/>
    </border>
    <border>
      <left style="double"/>
      <right/>
      <top style="thin"/>
      <bottom style="medium"/>
    </border>
    <border>
      <left style="double"/>
      <right style="medium"/>
      <top style="medium"/>
      <bottom/>
    </border>
    <border>
      <left style="double"/>
      <right style="medium"/>
      <top/>
      <bottom/>
    </border>
    <border>
      <left style="hair"/>
      <right style="hair"/>
      <top style="hair"/>
      <bottom style="medium"/>
    </border>
    <border>
      <left style="hair"/>
      <right/>
      <top style="hair"/>
      <bottom style="medium"/>
    </border>
    <border>
      <left style="medium"/>
      <right style="hair"/>
      <top style="hair"/>
      <bottom style="medium"/>
    </border>
    <border>
      <left/>
      <right style="medium"/>
      <top style="hair"/>
      <bottom style="medium"/>
    </border>
    <border>
      <left/>
      <right style="medium"/>
      <top/>
      <bottom style="hair"/>
    </border>
    <border>
      <left/>
      <right style="medium"/>
      <top style="hair"/>
      <bottom style="hair"/>
    </border>
    <border>
      <left style="double"/>
      <right style="medium"/>
      <top style="medium"/>
      <bottom style="hair"/>
    </border>
    <border>
      <left style="double"/>
      <right style="medium"/>
      <top style="hair"/>
      <bottom style="medium"/>
    </border>
    <border>
      <left style="thin"/>
      <right style="thin"/>
      <top/>
      <bottom/>
    </border>
    <border>
      <left style="thin"/>
      <right style="thin"/>
      <top style="thin"/>
      <bottom style="thin"/>
    </border>
    <border>
      <left style="thin"/>
      <right style="thin"/>
      <top style="thin"/>
      <bottom style="double"/>
    </border>
    <border>
      <left style="thin"/>
      <right style="thin"/>
      <top/>
      <bottom style="double"/>
    </border>
    <border>
      <left style="thin"/>
      <right style="thin"/>
      <top/>
      <bottom style="thin"/>
    </border>
    <border>
      <left style="thin"/>
      <right style="thin"/>
      <top/>
      <bottom style="medium"/>
    </border>
    <border>
      <left/>
      <right style="medium"/>
      <top style="double"/>
      <bottom style="hair"/>
    </border>
    <border>
      <left/>
      <right style="hair"/>
      <top style="medium"/>
      <bottom style="medium"/>
    </border>
    <border>
      <left style="hair"/>
      <right/>
      <top style="double"/>
      <bottom style="medium"/>
    </border>
    <border>
      <left style="hair"/>
      <right/>
      <top style="medium"/>
      <bottom style="medium"/>
    </border>
    <border>
      <left style="hair"/>
      <right style="double"/>
      <top style="double"/>
      <bottom style="hair"/>
    </border>
    <border>
      <left style="hair"/>
      <right/>
      <top style="medium"/>
      <bottom style="hair"/>
    </border>
    <border>
      <left/>
      <right style="double"/>
      <top style="hair"/>
      <bottom style="hair"/>
    </border>
    <border>
      <left/>
      <right/>
      <top style="hair"/>
      <bottom style="double"/>
    </border>
    <border>
      <left/>
      <right style="medium"/>
      <top style="hair"/>
      <bottom/>
    </border>
    <border>
      <left style="double"/>
      <right style="hair"/>
      <top style="double"/>
      <bottom style="medium"/>
    </border>
    <border>
      <left style="double"/>
      <right style="thin"/>
      <top style="medium"/>
      <bottom style="medium"/>
    </border>
    <border>
      <left style="hair"/>
      <right style="double"/>
      <top/>
      <bottom/>
    </border>
    <border>
      <left style="medium"/>
      <right/>
      <top style="hair"/>
      <bottom/>
    </border>
    <border>
      <left style="double"/>
      <right style="double"/>
      <top style="hair"/>
      <bottom/>
    </border>
    <border>
      <left style="double"/>
      <right style="double"/>
      <top style="hair"/>
      <bottom style="medium"/>
    </border>
    <border>
      <left style="medium"/>
      <right style="medium"/>
      <top/>
      <bottom/>
    </border>
    <border>
      <left/>
      <right style="medium"/>
      <top style="medium"/>
      <bottom style="medium"/>
    </border>
    <border>
      <left/>
      <right/>
      <top style="hair"/>
      <bottom style="medium"/>
    </border>
    <border>
      <left style="hair"/>
      <right style="medium"/>
      <top style="hair"/>
      <bottom style="medium"/>
    </border>
    <border>
      <left style="hair"/>
      <right style="double"/>
      <top/>
      <bottom style="medium"/>
    </border>
    <border>
      <left style="thin"/>
      <right style="medium"/>
      <top style="medium"/>
      <bottom style="thin"/>
    </border>
    <border>
      <left style="thin"/>
      <right style="medium"/>
      <top/>
      <bottom/>
    </border>
    <border>
      <left style="thin"/>
      <right style="medium"/>
      <top style="thin"/>
      <bottom style="thin"/>
    </border>
    <border>
      <left style="thin"/>
      <right style="medium"/>
      <top style="thin"/>
      <bottom style="double"/>
    </border>
    <border>
      <left style="thin"/>
      <right style="medium"/>
      <top/>
      <bottom style="double"/>
    </border>
    <border>
      <left style="thin"/>
      <right style="medium"/>
      <top/>
      <bottom style="thin"/>
    </border>
    <border>
      <left style="thin"/>
      <right style="medium"/>
      <top style="thin"/>
      <bottom/>
    </border>
    <border>
      <left style="hair"/>
      <right/>
      <top style="medium"/>
      <bottom/>
    </border>
    <border>
      <left style="medium"/>
      <right style="medium"/>
      <top style="medium"/>
      <bottom style="medium"/>
    </border>
    <border>
      <left style="double"/>
      <right style="double"/>
      <top/>
      <bottom style="hair"/>
    </border>
    <border>
      <left style="double"/>
      <right style="medium"/>
      <top style="medium"/>
      <bottom style="medium"/>
    </border>
    <border>
      <left style="hair"/>
      <right style="medium"/>
      <top style="double"/>
      <bottom style="medium"/>
    </border>
    <border>
      <left/>
      <right style="medium"/>
      <top style="medium"/>
      <bottom style="thin"/>
    </border>
    <border>
      <left/>
      <right style="medium"/>
      <top style="thin"/>
      <bottom style="thin"/>
    </border>
    <border>
      <left/>
      <right style="medium"/>
      <top/>
      <bottom style="thin"/>
    </border>
    <border>
      <left style="medium"/>
      <right/>
      <top style="medium"/>
      <bottom/>
    </border>
    <border>
      <left/>
      <right style="medium"/>
      <top style="medium"/>
      <bottom/>
    </border>
    <border>
      <left/>
      <right style="medium"/>
      <top style="thin"/>
      <bottom style="double"/>
    </border>
    <border>
      <left/>
      <right/>
      <top style="double"/>
      <bottom style="double"/>
    </border>
    <border>
      <left/>
      <right style="medium"/>
      <top style="double"/>
      <bottom style="double"/>
    </border>
    <border>
      <left/>
      <right style="medium"/>
      <top style="double"/>
      <bottom style="medium"/>
    </border>
    <border>
      <left style="medium"/>
      <right/>
      <top/>
      <bottom style="double"/>
    </border>
    <border>
      <left/>
      <right/>
      <top/>
      <bottom style="double"/>
    </border>
    <border>
      <left/>
      <right style="medium"/>
      <top/>
      <bottom style="double"/>
    </border>
    <border>
      <left style="hair"/>
      <right style="hair"/>
      <top style="hair"/>
      <bottom style="thin"/>
    </border>
    <border>
      <left style="thin"/>
      <right style="thin"/>
      <top style="medium"/>
      <bottom/>
    </border>
    <border>
      <left style="thin"/>
      <right style="medium"/>
      <top style="medium"/>
      <bottom/>
    </border>
    <border>
      <left style="thin"/>
      <right style="thin"/>
      <top style="thin"/>
      <bottom/>
    </border>
    <border>
      <left style="thin"/>
      <right style="medium"/>
      <top style="medium"/>
      <bottom style="medium"/>
    </border>
    <border>
      <left style="hair"/>
      <right style="medium"/>
      <top/>
      <bottom style="medium"/>
    </border>
    <border>
      <left style="medium"/>
      <right style="medium"/>
      <top/>
      <bottom style="thin"/>
    </border>
    <border>
      <left style="medium"/>
      <right/>
      <top style="thin"/>
      <bottom/>
    </border>
    <border>
      <left style="medium"/>
      <right style="medium"/>
      <top style="thin"/>
      <bottom/>
    </border>
    <border>
      <left/>
      <right style="medium"/>
      <top style="thin"/>
      <bottom/>
    </border>
    <border>
      <left style="medium"/>
      <right style="medium"/>
      <top style="medium"/>
      <bottom style="thin"/>
    </border>
    <border>
      <left style="medium"/>
      <right style="medium"/>
      <top style="thin"/>
      <bottom style="thin"/>
    </border>
    <border>
      <left style="medium"/>
      <right style="medium"/>
      <top style="thin"/>
      <bottom style="medium"/>
    </border>
    <border>
      <left/>
      <right style="medium"/>
      <top style="thin"/>
      <bottom style="medium"/>
    </border>
    <border>
      <left style="hair"/>
      <right style="hair"/>
      <top style="medium"/>
      <bottom style="double"/>
    </border>
    <border>
      <left style="medium"/>
      <right style="hair"/>
      <top style="double"/>
      <bottom style="medium"/>
    </border>
    <border>
      <left style="hair"/>
      <right style="hair"/>
      <top/>
      <bottom style="medium"/>
    </border>
    <border>
      <left style="hair"/>
      <right style="medium"/>
      <top style="medium"/>
      <bottom style="double"/>
    </border>
    <border>
      <left style="double"/>
      <right style="medium"/>
      <top style="double"/>
      <bottom style="hair"/>
    </border>
    <border>
      <left/>
      <right/>
      <top style="double"/>
      <bottom style="hair"/>
    </border>
    <border>
      <left style="hair"/>
      <right style="medium"/>
      <top style="medium"/>
      <bottom/>
    </border>
    <border>
      <left style="medium"/>
      <right style="medium"/>
      <top style="medium"/>
      <bottom/>
    </border>
    <border>
      <left style="medium"/>
      <right/>
      <top style="medium"/>
      <bottom style="hair"/>
    </border>
    <border>
      <left/>
      <right/>
      <top style="medium"/>
      <bottom style="hair"/>
    </border>
    <border>
      <left style="medium"/>
      <right style="thin"/>
      <top style="medium"/>
      <bottom/>
    </border>
    <border>
      <left style="medium"/>
      <right style="thin"/>
      <top/>
      <bottom style="medium"/>
    </border>
    <border>
      <left style="thin"/>
      <right/>
      <top style="medium"/>
      <bottom/>
    </border>
    <border>
      <left style="thin"/>
      <right style="double"/>
      <top style="medium"/>
      <bottom/>
    </border>
    <border>
      <left style="thin"/>
      <right style="double"/>
      <top/>
      <bottom style="medium"/>
    </border>
    <border>
      <left style="double"/>
      <right style="medium"/>
      <top/>
      <bottom style="medium"/>
    </border>
    <border>
      <left/>
      <right style="thin"/>
      <top style="medium"/>
      <bottom/>
    </border>
    <border>
      <left/>
      <right style="thin"/>
      <top/>
      <bottom style="medium"/>
    </border>
    <border>
      <left style="double"/>
      <right/>
      <top style="medium"/>
      <bottom/>
    </border>
    <border>
      <left/>
      <right style="hair"/>
      <top style="double"/>
      <bottom style="medium"/>
    </border>
    <border>
      <left/>
      <right style="double"/>
      <top style="double"/>
      <bottom/>
    </border>
    <border>
      <left style="thin"/>
      <right style="thin"/>
      <top style="medium"/>
      <bottom style="dotted"/>
    </border>
    <border>
      <left style="thin"/>
      <right style="thin"/>
      <top style="dotted"/>
      <bottom style="medium"/>
    </border>
    <border>
      <left style="thin"/>
      <right style="thin"/>
      <top style="medium"/>
      <bottom style="hair"/>
    </border>
    <border>
      <left style="thin"/>
      <right style="medium"/>
      <top style="medium"/>
      <bottom style="hair"/>
    </border>
    <border>
      <left style="medium"/>
      <right style="thin"/>
      <top style="medium"/>
      <bottom style="dotted"/>
    </border>
    <border>
      <left style="medium"/>
      <right style="thin"/>
      <top style="dotted"/>
      <bottom style="medium"/>
    </border>
    <border>
      <left style="thin"/>
      <right style="double"/>
      <top style="medium"/>
      <bottom style="dotted"/>
    </border>
    <border>
      <left style="thin"/>
      <right style="double"/>
      <top style="dotted"/>
      <bottom style="medium"/>
    </border>
    <border>
      <left/>
      <right style="double"/>
      <top style="double"/>
      <bottom style="hair"/>
    </border>
    <border>
      <left/>
      <right style="double"/>
      <top style="hair"/>
      <bottom style="medium"/>
    </border>
    <border>
      <left style="medium"/>
      <right style="hair"/>
      <top style="medium"/>
      <bottom style="dotted"/>
    </border>
    <border>
      <left style="medium"/>
      <right style="hair"/>
      <top style="dotted"/>
      <bottom style="double"/>
    </border>
    <border>
      <left style="hair"/>
      <right style="medium"/>
      <top/>
      <bottom style="double"/>
    </border>
    <border>
      <left/>
      <right style="double"/>
      <top style="medium"/>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top style="thin"/>
      <bottom style="medium"/>
    </border>
    <border>
      <left style="double"/>
      <right style="thin"/>
      <top style="medium"/>
      <bottom style="thin"/>
    </border>
    <border>
      <left style="double"/>
      <right style="thin"/>
      <top style="thin"/>
      <bottom style="thin"/>
    </border>
    <border>
      <left/>
      <right style="double"/>
      <top/>
      <bottom style="thin"/>
    </border>
    <border>
      <left/>
      <right style="double"/>
      <top style="thin"/>
      <bottom style="medium"/>
    </border>
    <border>
      <left/>
      <right style="double"/>
      <top style="medium"/>
      <bottom style="hair"/>
    </border>
    <border>
      <left/>
      <right style="double"/>
      <top style="thin"/>
      <bottom style="thin"/>
    </border>
    <border>
      <left/>
      <right style="double"/>
      <top/>
      <bottom style="hair"/>
    </border>
    <border>
      <left style="thin"/>
      <right style="double"/>
      <top style="medium"/>
      <bottom style="thin"/>
    </border>
    <border>
      <left/>
      <right style="thin"/>
      <top style="thin"/>
      <bottom/>
    </border>
    <border>
      <left style="thin"/>
      <right/>
      <top style="thin"/>
      <bottom/>
    </border>
    <border>
      <left/>
      <right style="thin"/>
      <top style="thin"/>
      <bottom style="thin"/>
    </border>
    <border>
      <left/>
      <right style="thin"/>
      <top style="thin"/>
      <bottom style="medium"/>
    </border>
    <border>
      <left style="medium"/>
      <right style="thin"/>
      <top/>
      <bottom/>
    </border>
    <border>
      <left style="double"/>
      <right style="double"/>
      <top/>
      <bottom style="medium"/>
    </border>
    <border>
      <left style="medium"/>
      <right/>
      <top style="medium"/>
      <bottom style="double"/>
    </border>
    <border>
      <left/>
      <right style="hair"/>
      <top style="medium"/>
      <bottom style="double"/>
    </border>
    <border>
      <left/>
      <right style="thin"/>
      <top style="medium"/>
      <bottom style="mediu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70" fillId="26" borderId="1" applyNumberFormat="0" applyAlignment="0" applyProtection="0"/>
    <xf numFmtId="0" fontId="71" fillId="0" borderId="0" applyNumberFormat="0" applyFill="0" applyBorder="0" applyAlignment="0" applyProtection="0"/>
    <xf numFmtId="0" fontId="72" fillId="0" borderId="2" applyNumberFormat="0" applyFill="0" applyAlignment="0" applyProtection="0"/>
    <xf numFmtId="0" fontId="73" fillId="0" borderId="3" applyNumberFormat="0" applyFill="0" applyAlignment="0" applyProtection="0"/>
    <xf numFmtId="0" fontId="74" fillId="0" borderId="4" applyNumberFormat="0" applyFill="0" applyAlignment="0" applyProtection="0"/>
    <xf numFmtId="0" fontId="74" fillId="0" borderId="0" applyNumberFormat="0" applyFill="0" applyBorder="0" applyAlignment="0" applyProtection="0"/>
    <xf numFmtId="0" fontId="75"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3" fillId="0" borderId="0" applyFon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0" fillId="28" borderId="7" applyNumberFormat="0" applyFont="0" applyAlignment="0" applyProtection="0"/>
    <xf numFmtId="0" fontId="78" fillId="29" borderId="0" applyNumberFormat="0" applyBorder="0" applyAlignment="0" applyProtection="0"/>
    <xf numFmtId="0" fontId="79" fillId="30" borderId="8" applyNumberFormat="0" applyAlignment="0" applyProtection="0"/>
    <xf numFmtId="0" fontId="80" fillId="0" borderId="0" applyNumberFormat="0" applyFill="0" applyBorder="0" applyAlignment="0" applyProtection="0"/>
    <xf numFmtId="0" fontId="69" fillId="0" borderId="0">
      <alignment/>
      <protection/>
    </xf>
    <xf numFmtId="0" fontId="7" fillId="0" borderId="0">
      <alignment/>
      <protection/>
    </xf>
    <xf numFmtId="0" fontId="8" fillId="0" borderId="0">
      <alignment/>
      <protection/>
    </xf>
    <xf numFmtId="0" fontId="8"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0"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8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2" fillId="31" borderId="0" applyNumberFormat="0" applyBorder="0" applyAlignment="0" applyProtection="0"/>
    <xf numFmtId="0" fontId="83" fillId="32" borderId="0" applyNumberFormat="0" applyBorder="0" applyAlignment="0" applyProtection="0"/>
    <xf numFmtId="0" fontId="84"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2362">
    <xf numFmtId="0" fontId="0" fillId="0" borderId="0" xfId="0" applyAlignment="1">
      <alignment/>
    </xf>
    <xf numFmtId="0" fontId="2" fillId="0" borderId="0" xfId="0" applyFont="1" applyFill="1" applyBorder="1" applyAlignment="1">
      <alignment vertical="center"/>
    </xf>
    <xf numFmtId="3" fontId="2" fillId="0" borderId="0" xfId="0" applyNumberFormat="1" applyFont="1" applyFill="1" applyBorder="1" applyAlignment="1">
      <alignment/>
    </xf>
    <xf numFmtId="3" fontId="2" fillId="0" borderId="0" xfId="88" applyNumberFormat="1" applyFont="1" applyFill="1" applyAlignment="1">
      <alignment horizontal="center"/>
      <protection/>
    </xf>
    <xf numFmtId="3" fontId="2" fillId="0" borderId="0" xfId="88" applyNumberFormat="1" applyFont="1" applyFill="1">
      <alignment/>
      <protection/>
    </xf>
    <xf numFmtId="3" fontId="4" fillId="0" borderId="0" xfId="88" applyNumberFormat="1" applyFont="1" applyFill="1">
      <alignment/>
      <protection/>
    </xf>
    <xf numFmtId="3" fontId="2" fillId="0" borderId="0" xfId="88" applyNumberFormat="1" applyFont="1" applyFill="1" applyAlignment="1">
      <alignment vertical="center"/>
      <protection/>
    </xf>
    <xf numFmtId="3" fontId="2" fillId="0" borderId="0" xfId="88" applyNumberFormat="1" applyFont="1" applyFill="1" applyAlignment="1">
      <alignment horizontal="center" vertical="top"/>
      <protection/>
    </xf>
    <xf numFmtId="3" fontId="2" fillId="0" borderId="0" xfId="88" applyNumberFormat="1" applyFont="1" applyFill="1" applyAlignment="1">
      <alignment horizontal="center" vertical="center"/>
      <protection/>
    </xf>
    <xf numFmtId="3" fontId="5" fillId="0" borderId="0" xfId="88" applyNumberFormat="1" applyFont="1" applyFill="1" applyAlignment="1">
      <alignment horizontal="center" vertical="center"/>
      <protection/>
    </xf>
    <xf numFmtId="3" fontId="4" fillId="0" borderId="0" xfId="0" applyNumberFormat="1" applyFont="1" applyFill="1" applyBorder="1" applyAlignment="1">
      <alignment/>
    </xf>
    <xf numFmtId="3" fontId="2" fillId="0" borderId="0" xfId="88" applyNumberFormat="1" applyFont="1" applyFill="1" applyBorder="1" applyAlignment="1">
      <alignment vertical="top" wrapText="1"/>
      <protection/>
    </xf>
    <xf numFmtId="3" fontId="2" fillId="0" borderId="0" xfId="88" applyNumberFormat="1" applyFont="1" applyFill="1" applyBorder="1" applyAlignment="1">
      <alignment horizontal="center"/>
      <protection/>
    </xf>
    <xf numFmtId="3" fontId="4" fillId="0" borderId="0" xfId="88" applyNumberFormat="1" applyFont="1" applyFill="1" applyBorder="1">
      <alignment/>
      <protection/>
    </xf>
    <xf numFmtId="3" fontId="4" fillId="0" borderId="0" xfId="88" applyNumberFormat="1" applyFont="1" applyFill="1" applyBorder="1" applyAlignment="1">
      <alignment vertical="top" wrapText="1"/>
      <protection/>
    </xf>
    <xf numFmtId="3" fontId="4" fillId="0" borderId="0" xfId="88" applyNumberFormat="1" applyFont="1" applyFill="1" applyBorder="1" applyAlignment="1">
      <alignment horizontal="center"/>
      <protection/>
    </xf>
    <xf numFmtId="3" fontId="2" fillId="0" borderId="0" xfId="88" applyNumberFormat="1" applyFont="1" applyFill="1" applyAlignment="1">
      <alignment vertical="top" wrapText="1"/>
      <protection/>
    </xf>
    <xf numFmtId="3" fontId="2" fillId="0" borderId="0" xfId="88" applyNumberFormat="1" applyFont="1" applyFill="1" applyBorder="1" applyAlignment="1">
      <alignment horizontal="center" vertical="top" wrapText="1"/>
      <protection/>
    </xf>
    <xf numFmtId="3" fontId="4" fillId="0" borderId="0" xfId="88" applyNumberFormat="1" applyFont="1" applyFill="1" applyAlignment="1">
      <alignment vertical="top" wrapText="1"/>
      <protection/>
    </xf>
    <xf numFmtId="0" fontId="2" fillId="0" borderId="0" xfId="0" applyFont="1" applyFill="1" applyAlignment="1">
      <alignment vertical="center"/>
    </xf>
    <xf numFmtId="0" fontId="2" fillId="0" borderId="10" xfId="0" applyFont="1" applyFill="1" applyBorder="1" applyAlignment="1">
      <alignment horizontal="center" vertical="center"/>
    </xf>
    <xf numFmtId="0" fontId="4" fillId="0" borderId="0" xfId="0" applyFont="1" applyFill="1" applyAlignment="1">
      <alignment vertical="center"/>
    </xf>
    <xf numFmtId="3" fontId="2" fillId="0" borderId="0" xfId="0" applyNumberFormat="1" applyFont="1" applyAlignment="1">
      <alignment/>
    </xf>
    <xf numFmtId="0" fontId="2" fillId="0" borderId="0" xfId="0" applyFont="1" applyAlignment="1">
      <alignment/>
    </xf>
    <xf numFmtId="0" fontId="2" fillId="0" borderId="0" xfId="0" applyFont="1" applyAlignment="1">
      <alignment vertical="center"/>
    </xf>
    <xf numFmtId="3" fontId="10" fillId="0" borderId="0" xfId="0" applyNumberFormat="1" applyFont="1" applyFill="1" applyAlignment="1">
      <alignment vertical="center"/>
    </xf>
    <xf numFmtId="3" fontId="12" fillId="0" borderId="0" xfId="0" applyNumberFormat="1" applyFont="1" applyFill="1" applyAlignment="1">
      <alignment vertical="center"/>
    </xf>
    <xf numFmtId="3" fontId="10" fillId="0" borderId="0" xfId="0" applyNumberFormat="1" applyFont="1" applyFill="1" applyAlignment="1">
      <alignment horizontal="center" vertical="center"/>
    </xf>
    <xf numFmtId="3" fontId="10" fillId="0" borderId="0" xfId="0" applyNumberFormat="1" applyFont="1" applyFill="1" applyBorder="1" applyAlignment="1">
      <alignment vertical="center"/>
    </xf>
    <xf numFmtId="3" fontId="10" fillId="0" borderId="0" xfId="0" applyNumberFormat="1" applyFont="1" applyFill="1" applyAlignment="1">
      <alignment/>
    </xf>
    <xf numFmtId="3" fontId="10" fillId="0" borderId="0" xfId="0" applyNumberFormat="1" applyFont="1" applyFill="1" applyBorder="1" applyAlignment="1">
      <alignment/>
    </xf>
    <xf numFmtId="3" fontId="12" fillId="0" borderId="0" xfId="0" applyNumberFormat="1" applyFont="1" applyFill="1" applyBorder="1" applyAlignment="1">
      <alignment vertical="center"/>
    </xf>
    <xf numFmtId="3" fontId="10" fillId="0" borderId="0" xfId="0" applyNumberFormat="1" applyFont="1" applyFill="1" applyAlignment="1">
      <alignment vertical="top"/>
    </xf>
    <xf numFmtId="3" fontId="13" fillId="0" borderId="0" xfId="0" applyNumberFormat="1" applyFont="1" applyFill="1" applyAlignment="1">
      <alignment vertical="center"/>
    </xf>
    <xf numFmtId="3" fontId="13" fillId="0" borderId="0" xfId="0" applyNumberFormat="1" applyFont="1" applyFill="1" applyBorder="1" applyAlignment="1">
      <alignment vertical="center"/>
    </xf>
    <xf numFmtId="3" fontId="16"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3" fontId="6" fillId="0" borderId="0" xfId="0" applyNumberFormat="1" applyFont="1" applyFill="1" applyAlignment="1">
      <alignment horizontal="center" vertical="center"/>
    </xf>
    <xf numFmtId="3" fontId="10" fillId="0" borderId="0" xfId="0" applyNumberFormat="1" applyFont="1" applyFill="1" applyAlignment="1">
      <alignment horizontal="center" vertical="top"/>
    </xf>
    <xf numFmtId="3" fontId="10" fillId="0" borderId="11" xfId="87" applyNumberFormat="1" applyFont="1" applyFill="1" applyBorder="1" applyAlignment="1">
      <alignment horizontal="center" vertical="center" wrapText="1"/>
      <protection/>
    </xf>
    <xf numFmtId="3" fontId="4" fillId="0" borderId="0" xfId="87" applyNumberFormat="1" applyFont="1" applyFill="1" applyBorder="1" applyAlignment="1">
      <alignment horizontal="right" wrapText="1"/>
      <protection/>
    </xf>
    <xf numFmtId="0" fontId="4" fillId="0" borderId="0" xfId="0" applyFont="1" applyAlignment="1">
      <alignment/>
    </xf>
    <xf numFmtId="0" fontId="2" fillId="0" borderId="0" xfId="0" applyFont="1" applyFill="1" applyBorder="1" applyAlignment="1">
      <alignment horizontal="left" wrapText="1" indent="1"/>
    </xf>
    <xf numFmtId="3" fontId="4" fillId="0" borderId="0" xfId="0" applyNumberFormat="1" applyFont="1" applyFill="1" applyBorder="1" applyAlignment="1">
      <alignment/>
    </xf>
    <xf numFmtId="3" fontId="4" fillId="0" borderId="12" xfId="0" applyNumberFormat="1" applyFont="1" applyFill="1" applyBorder="1" applyAlignment="1">
      <alignment vertical="center"/>
    </xf>
    <xf numFmtId="3" fontId="2" fillId="0" borderId="13" xfId="0" applyNumberFormat="1" applyFont="1" applyFill="1" applyBorder="1" applyAlignment="1">
      <alignment/>
    </xf>
    <xf numFmtId="3" fontId="2" fillId="0" borderId="0" xfId="0" applyNumberFormat="1" applyFont="1" applyFill="1" applyAlignment="1">
      <alignment/>
    </xf>
    <xf numFmtId="3" fontId="2" fillId="0" borderId="0" xfId="87" applyNumberFormat="1" applyFont="1" applyFill="1">
      <alignment/>
      <protection/>
    </xf>
    <xf numFmtId="3" fontId="2" fillId="0" borderId="0" xfId="87" applyNumberFormat="1" applyFont="1" applyFill="1" applyAlignment="1">
      <alignment horizontal="right"/>
      <protection/>
    </xf>
    <xf numFmtId="3" fontId="2" fillId="0" borderId="0" xfId="87" applyNumberFormat="1" applyFont="1" applyFill="1" applyAlignment="1">
      <alignment/>
      <protection/>
    </xf>
    <xf numFmtId="3" fontId="2" fillId="0" borderId="0" xfId="87" applyNumberFormat="1" applyFont="1" applyFill="1" applyAlignment="1">
      <alignment vertical="center"/>
      <protection/>
    </xf>
    <xf numFmtId="3" fontId="2" fillId="0" borderId="0" xfId="87" applyNumberFormat="1" applyFont="1" applyFill="1" applyAlignment="1">
      <alignment horizontal="center" vertical="center"/>
      <protection/>
    </xf>
    <xf numFmtId="3" fontId="4" fillId="0" borderId="14" xfId="87" applyNumberFormat="1" applyFont="1" applyFill="1" applyBorder="1" applyAlignment="1">
      <alignment horizontal="center"/>
      <protection/>
    </xf>
    <xf numFmtId="3" fontId="2" fillId="0" borderId="14" xfId="87" applyNumberFormat="1" applyFont="1" applyFill="1" applyBorder="1" applyAlignment="1">
      <alignment horizontal="center"/>
      <protection/>
    </xf>
    <xf numFmtId="3" fontId="4" fillId="0" borderId="14" xfId="87" applyNumberFormat="1" applyFont="1" applyFill="1" applyBorder="1" applyAlignment="1">
      <alignment wrapText="1"/>
      <protection/>
    </xf>
    <xf numFmtId="3" fontId="4" fillId="0" borderId="14" xfId="87" applyNumberFormat="1" applyFont="1" applyFill="1" applyBorder="1">
      <alignment/>
      <protection/>
    </xf>
    <xf numFmtId="3" fontId="4" fillId="0" borderId="0" xfId="87" applyNumberFormat="1" applyFont="1" applyFill="1">
      <alignment/>
      <protection/>
    </xf>
    <xf numFmtId="49" fontId="2" fillId="0" borderId="10" xfId="87" applyNumberFormat="1" applyFont="1" applyFill="1" applyBorder="1" applyAlignment="1">
      <alignment horizontal="center"/>
      <protection/>
    </xf>
    <xf numFmtId="3" fontId="2" fillId="0" borderId="0" xfId="87" applyNumberFormat="1" applyFont="1" applyFill="1" applyBorder="1" applyAlignment="1">
      <alignment horizontal="center"/>
      <protection/>
    </xf>
    <xf numFmtId="3" fontId="2" fillId="0" borderId="0" xfId="87" applyNumberFormat="1" applyFont="1" applyFill="1" applyBorder="1">
      <alignment/>
      <protection/>
    </xf>
    <xf numFmtId="3" fontId="2" fillId="0" borderId="0" xfId="87" applyNumberFormat="1" applyFont="1" applyFill="1" applyBorder="1" applyAlignment="1">
      <alignment horizontal="left" indent="2"/>
      <protection/>
    </xf>
    <xf numFmtId="3" fontId="4" fillId="0" borderId="12" xfId="87" applyNumberFormat="1" applyFont="1" applyFill="1" applyBorder="1" applyAlignment="1">
      <alignment horizontal="center"/>
      <protection/>
    </xf>
    <xf numFmtId="3" fontId="2" fillId="0" borderId="12" xfId="87" applyNumberFormat="1" applyFont="1" applyFill="1" applyBorder="1" applyAlignment="1">
      <alignment horizontal="center"/>
      <protection/>
    </xf>
    <xf numFmtId="3" fontId="4" fillId="0" borderId="12" xfId="87" applyNumberFormat="1" applyFont="1" applyFill="1" applyBorder="1">
      <alignment/>
      <protection/>
    </xf>
    <xf numFmtId="3" fontId="4" fillId="0" borderId="0" xfId="87" applyNumberFormat="1" applyFont="1" applyFill="1" applyBorder="1" applyAlignment="1">
      <alignment horizontal="center"/>
      <protection/>
    </xf>
    <xf numFmtId="3" fontId="4" fillId="0" borderId="0" xfId="87" applyNumberFormat="1" applyFont="1" applyFill="1" applyBorder="1">
      <alignment/>
      <protection/>
    </xf>
    <xf numFmtId="3" fontId="5" fillId="0" borderId="0" xfId="87" applyNumberFormat="1" applyFont="1" applyFill="1" applyBorder="1" applyAlignment="1">
      <alignment horizontal="center"/>
      <protection/>
    </xf>
    <xf numFmtId="3" fontId="5" fillId="0" borderId="0" xfId="87" applyNumberFormat="1" applyFont="1" applyFill="1" applyBorder="1" applyAlignment="1">
      <alignment horizontal="left" indent="2"/>
      <protection/>
    </xf>
    <xf numFmtId="3" fontId="5" fillId="0" borderId="0" xfId="87" applyNumberFormat="1" applyFont="1" applyFill="1" applyBorder="1">
      <alignment/>
      <protection/>
    </xf>
    <xf numFmtId="3" fontId="5" fillId="0" borderId="0" xfId="87" applyNumberFormat="1" applyFont="1" applyFill="1">
      <alignment/>
      <protection/>
    </xf>
    <xf numFmtId="3" fontId="2" fillId="0" borderId="0" xfId="87" applyNumberFormat="1" applyFont="1" applyFill="1" applyBorder="1" applyAlignment="1">
      <alignment horizontal="left" indent="3"/>
      <protection/>
    </xf>
    <xf numFmtId="3" fontId="4" fillId="0" borderId="0" xfId="87" applyNumberFormat="1" applyFont="1" applyFill="1" applyBorder="1" applyAlignment="1">
      <alignment horizontal="center" vertical="center"/>
      <protection/>
    </xf>
    <xf numFmtId="3" fontId="4" fillId="0" borderId="0" xfId="87" applyNumberFormat="1" applyFont="1" applyFill="1" applyBorder="1" applyAlignment="1">
      <alignment vertical="center"/>
      <protection/>
    </xf>
    <xf numFmtId="3" fontId="2" fillId="0" borderId="0" xfId="87" applyNumberFormat="1" applyFont="1" applyFill="1" applyBorder="1" applyAlignment="1">
      <alignment horizontal="left"/>
      <protection/>
    </xf>
    <xf numFmtId="49" fontId="2" fillId="0" borderId="10" xfId="87" applyNumberFormat="1" applyFont="1" applyFill="1" applyBorder="1" applyAlignment="1">
      <alignment horizontal="center" vertical="top"/>
      <protection/>
    </xf>
    <xf numFmtId="3" fontId="2" fillId="0" borderId="0" xfId="87" applyNumberFormat="1" applyFont="1" applyFill="1" applyBorder="1" applyAlignment="1">
      <alignment horizontal="center" vertical="top"/>
      <protection/>
    </xf>
    <xf numFmtId="3" fontId="2" fillId="0" borderId="0" xfId="87" applyNumberFormat="1" applyFont="1" applyFill="1" applyBorder="1" applyAlignment="1">
      <alignment vertical="top"/>
      <protection/>
    </xf>
    <xf numFmtId="3" fontId="2" fillId="0" borderId="0" xfId="87" applyNumberFormat="1" applyFont="1" applyFill="1" applyAlignment="1">
      <alignment vertical="top"/>
      <protection/>
    </xf>
    <xf numFmtId="49" fontId="2" fillId="0" borderId="15" xfId="87" applyNumberFormat="1" applyFont="1" applyFill="1" applyBorder="1" applyAlignment="1">
      <alignment horizontal="center" vertical="center"/>
      <protection/>
    </xf>
    <xf numFmtId="3" fontId="4" fillId="0" borderId="16" xfId="87" applyNumberFormat="1" applyFont="1" applyFill="1" applyBorder="1" applyAlignment="1">
      <alignment horizontal="center" vertical="center"/>
      <protection/>
    </xf>
    <xf numFmtId="3" fontId="2" fillId="0" borderId="16" xfId="87" applyNumberFormat="1" applyFont="1" applyFill="1" applyBorder="1" applyAlignment="1">
      <alignment horizontal="center" vertical="center"/>
      <protection/>
    </xf>
    <xf numFmtId="3" fontId="4" fillId="0" borderId="16" xfId="87" applyNumberFormat="1" applyFont="1" applyFill="1" applyBorder="1" applyAlignment="1">
      <alignment vertical="center"/>
      <protection/>
    </xf>
    <xf numFmtId="3" fontId="2" fillId="0" borderId="0" xfId="87" applyNumberFormat="1" applyFont="1" applyFill="1" applyBorder="1" applyAlignment="1">
      <alignment/>
      <protection/>
    </xf>
    <xf numFmtId="3" fontId="2" fillId="0" borderId="0" xfId="87" applyNumberFormat="1" applyFont="1" applyFill="1" applyBorder="1" applyAlignment="1">
      <alignment horizontal="left" indent="1"/>
      <protection/>
    </xf>
    <xf numFmtId="3" fontId="2" fillId="0" borderId="0" xfId="87" applyNumberFormat="1" applyFont="1" applyFill="1" applyBorder="1" applyAlignment="1">
      <alignment horizontal="left" vertical="top" indent="1"/>
      <protection/>
    </xf>
    <xf numFmtId="49" fontId="2" fillId="0" borderId="0" xfId="87" applyNumberFormat="1" applyFont="1" applyFill="1" applyBorder="1" applyAlignment="1">
      <alignment horizontal="center"/>
      <protection/>
    </xf>
    <xf numFmtId="49" fontId="2" fillId="0" borderId="0" xfId="87" applyNumberFormat="1" applyFont="1" applyFill="1" applyAlignment="1">
      <alignment horizontal="center"/>
      <protection/>
    </xf>
    <xf numFmtId="3" fontId="4" fillId="0" borderId="0" xfId="87" applyNumberFormat="1" applyFont="1" applyFill="1" applyAlignment="1">
      <alignment horizontal="center"/>
      <protection/>
    </xf>
    <xf numFmtId="3" fontId="2" fillId="0" borderId="0" xfId="87" applyNumberFormat="1" applyFont="1" applyFill="1" applyAlignment="1">
      <alignment horizontal="center"/>
      <protection/>
    </xf>
    <xf numFmtId="3" fontId="10" fillId="0" borderId="0" xfId="0" applyNumberFormat="1" applyFont="1" applyFill="1" applyBorder="1" applyAlignment="1">
      <alignment horizontal="right"/>
    </xf>
    <xf numFmtId="3" fontId="6" fillId="0" borderId="0" xfId="88" applyNumberFormat="1" applyFont="1" applyFill="1" applyAlignment="1">
      <alignment horizontal="center" vertical="center"/>
      <protection/>
    </xf>
    <xf numFmtId="3" fontId="10" fillId="0" borderId="17" xfId="0" applyNumberFormat="1" applyFont="1" applyFill="1" applyBorder="1" applyAlignment="1">
      <alignment horizontal="center" wrapText="1"/>
    </xf>
    <xf numFmtId="3" fontId="10" fillId="0" borderId="18" xfId="0" applyNumberFormat="1" applyFont="1" applyFill="1" applyBorder="1" applyAlignment="1">
      <alignment horizontal="center" wrapText="1"/>
    </xf>
    <xf numFmtId="3" fontId="10" fillId="0" borderId="19" xfId="0" applyNumberFormat="1" applyFont="1" applyFill="1" applyBorder="1" applyAlignment="1">
      <alignment horizontal="center" wrapText="1"/>
    </xf>
    <xf numFmtId="3" fontId="10" fillId="0" borderId="20" xfId="0" applyNumberFormat="1" applyFont="1" applyFill="1" applyBorder="1" applyAlignment="1">
      <alignment horizontal="center" wrapText="1"/>
    </xf>
    <xf numFmtId="3" fontId="10" fillId="0" borderId="20" xfId="0" applyNumberFormat="1" applyFont="1" applyFill="1" applyBorder="1" applyAlignment="1">
      <alignment/>
    </xf>
    <xf numFmtId="0" fontId="2" fillId="0" borderId="10" xfId="0" applyFont="1" applyFill="1" applyBorder="1" applyAlignment="1">
      <alignment horizontal="center"/>
    </xf>
    <xf numFmtId="0" fontId="2" fillId="0" borderId="10" xfId="0" applyFont="1" applyFill="1" applyBorder="1" applyAlignment="1">
      <alignment horizontal="center" vertical="top"/>
    </xf>
    <xf numFmtId="3" fontId="6" fillId="0" borderId="0" xfId="0"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xf>
    <xf numFmtId="0" fontId="6" fillId="0" borderId="0" xfId="0" applyFont="1" applyFill="1" applyAlignment="1">
      <alignment vertical="center"/>
    </xf>
    <xf numFmtId="3" fontId="10" fillId="0" borderId="21" xfId="0" applyNumberFormat="1" applyFont="1" applyFill="1" applyBorder="1" applyAlignment="1">
      <alignment/>
    </xf>
    <xf numFmtId="0" fontId="14" fillId="0" borderId="0" xfId="0" applyFont="1" applyFill="1" applyAlignment="1">
      <alignment/>
    </xf>
    <xf numFmtId="0" fontId="2" fillId="0" borderId="0" xfId="0" applyFont="1" applyFill="1" applyBorder="1" applyAlignment="1">
      <alignment horizontal="center"/>
    </xf>
    <xf numFmtId="0" fontId="2" fillId="0" borderId="0" xfId="0" applyFont="1" applyFill="1" applyAlignment="1">
      <alignment/>
    </xf>
    <xf numFmtId="0" fontId="2" fillId="0" borderId="0" xfId="0" applyFont="1" applyFill="1" applyBorder="1" applyAlignment="1">
      <alignment/>
    </xf>
    <xf numFmtId="0" fontId="4" fillId="0" borderId="0" xfId="0" applyFont="1" applyFill="1" applyAlignment="1">
      <alignment/>
    </xf>
    <xf numFmtId="0" fontId="2" fillId="0" borderId="0" xfId="0" applyFont="1" applyFill="1" applyBorder="1" applyAlignment="1">
      <alignment vertical="top"/>
    </xf>
    <xf numFmtId="3" fontId="13" fillId="0" borderId="0" xfId="0" applyNumberFormat="1" applyFont="1" applyFill="1" applyBorder="1" applyAlignment="1">
      <alignment vertical="top"/>
    </xf>
    <xf numFmtId="3" fontId="13" fillId="0" borderId="0" xfId="0" applyNumberFormat="1" applyFont="1" applyFill="1" applyAlignment="1">
      <alignment vertical="top"/>
    </xf>
    <xf numFmtId="3" fontId="12" fillId="0" borderId="0" xfId="0" applyNumberFormat="1" applyFont="1" applyFill="1" applyAlignment="1">
      <alignment vertical="top"/>
    </xf>
    <xf numFmtId="3" fontId="13" fillId="0" borderId="0" xfId="0" applyNumberFormat="1" applyFont="1" applyFill="1" applyAlignment="1">
      <alignment/>
    </xf>
    <xf numFmtId="3" fontId="12" fillId="0" borderId="0" xfId="0" applyNumberFormat="1" applyFont="1" applyFill="1" applyBorder="1" applyAlignment="1">
      <alignment horizontal="right" vertical="center"/>
    </xf>
    <xf numFmtId="3" fontId="13" fillId="0" borderId="0" xfId="0" applyNumberFormat="1" applyFont="1" applyFill="1" applyAlignment="1">
      <alignment horizontal="right"/>
    </xf>
    <xf numFmtId="3" fontId="17" fillId="0" borderId="0" xfId="88" applyNumberFormat="1" applyFont="1" applyFill="1" applyAlignment="1">
      <alignment horizontal="center" vertical="center"/>
      <protection/>
    </xf>
    <xf numFmtId="3" fontId="12" fillId="0" borderId="20" xfId="0" applyNumberFormat="1" applyFont="1" applyFill="1" applyBorder="1" applyAlignment="1">
      <alignment/>
    </xf>
    <xf numFmtId="3" fontId="6" fillId="0" borderId="0" xfId="0" applyNumberFormat="1" applyFont="1" applyFill="1" applyBorder="1" applyAlignment="1">
      <alignment/>
    </xf>
    <xf numFmtId="3" fontId="11" fillId="0" borderId="0" xfId="0" applyNumberFormat="1" applyFont="1" applyFill="1" applyBorder="1" applyAlignment="1">
      <alignment/>
    </xf>
    <xf numFmtId="3" fontId="10" fillId="0" borderId="19" xfId="88" applyNumberFormat="1" applyFont="1" applyFill="1" applyBorder="1" applyAlignment="1">
      <alignment horizontal="center"/>
      <protection/>
    </xf>
    <xf numFmtId="3" fontId="10" fillId="0" borderId="20" xfId="88" applyNumberFormat="1" applyFont="1" applyFill="1" applyBorder="1" applyAlignment="1">
      <alignment horizontal="center"/>
      <protection/>
    </xf>
    <xf numFmtId="3" fontId="10" fillId="0" borderId="20" xfId="88" applyNumberFormat="1" applyFont="1" applyFill="1" applyBorder="1" applyAlignment="1">
      <alignment wrapText="1"/>
      <protection/>
    </xf>
    <xf numFmtId="3" fontId="10" fillId="0" borderId="20" xfId="88" applyNumberFormat="1" applyFont="1" applyFill="1" applyBorder="1" applyAlignment="1">
      <alignment horizontal="right"/>
      <protection/>
    </xf>
    <xf numFmtId="3" fontId="10" fillId="0" borderId="19" xfId="88" applyNumberFormat="1" applyFont="1" applyFill="1" applyBorder="1" applyAlignment="1">
      <alignment horizontal="center" vertical="center"/>
      <protection/>
    </xf>
    <xf numFmtId="3" fontId="10" fillId="0" borderId="20" xfId="88" applyNumberFormat="1" applyFont="1" applyFill="1" applyBorder="1" applyAlignment="1">
      <alignment horizontal="center" vertical="center"/>
      <protection/>
    </xf>
    <xf numFmtId="3" fontId="10" fillId="0" borderId="22" xfId="88" applyNumberFormat="1" applyFont="1" applyFill="1" applyBorder="1" applyAlignment="1">
      <alignment wrapText="1"/>
      <protection/>
    </xf>
    <xf numFmtId="3" fontId="10" fillId="0" borderId="20" xfId="0" applyNumberFormat="1" applyFont="1" applyFill="1" applyBorder="1" applyAlignment="1">
      <alignment horizontal="right" wrapText="1"/>
    </xf>
    <xf numFmtId="3" fontId="10" fillId="0" borderId="21" xfId="0" applyNumberFormat="1" applyFont="1" applyFill="1" applyBorder="1" applyAlignment="1">
      <alignment horizontal="right" wrapText="1"/>
    </xf>
    <xf numFmtId="3" fontId="12" fillId="0" borderId="22" xfId="88" applyNumberFormat="1" applyFont="1" applyFill="1" applyBorder="1" applyAlignment="1">
      <alignment horizontal="right"/>
      <protection/>
    </xf>
    <xf numFmtId="3" fontId="10" fillId="0" borderId="20" xfId="0" applyNumberFormat="1" applyFont="1" applyFill="1" applyBorder="1" applyAlignment="1">
      <alignment horizontal="right" vertical="center" wrapText="1"/>
    </xf>
    <xf numFmtId="3" fontId="10" fillId="0" borderId="21" xfId="0" applyNumberFormat="1" applyFont="1" applyFill="1" applyBorder="1" applyAlignment="1">
      <alignment horizontal="right" vertical="center" wrapText="1"/>
    </xf>
    <xf numFmtId="3" fontId="12" fillId="0" borderId="19" xfId="88" applyNumberFormat="1" applyFont="1" applyFill="1" applyBorder="1" applyAlignment="1">
      <alignment horizontal="center" vertical="center"/>
      <protection/>
    </xf>
    <xf numFmtId="3" fontId="12" fillId="0" borderId="20" xfId="88" applyNumberFormat="1" applyFont="1" applyFill="1" applyBorder="1" applyAlignment="1">
      <alignment horizontal="right"/>
      <protection/>
    </xf>
    <xf numFmtId="3" fontId="12" fillId="0" borderId="20" xfId="0" applyNumberFormat="1" applyFont="1" applyFill="1" applyBorder="1" applyAlignment="1">
      <alignment horizontal="right" vertical="center" wrapText="1"/>
    </xf>
    <xf numFmtId="3" fontId="12" fillId="0" borderId="21" xfId="0" applyNumberFormat="1" applyFont="1" applyFill="1" applyBorder="1" applyAlignment="1">
      <alignment horizontal="right" vertical="center" wrapText="1"/>
    </xf>
    <xf numFmtId="3" fontId="12" fillId="0" borderId="20" xfId="88" applyNumberFormat="1" applyFont="1" applyFill="1" applyBorder="1" applyAlignment="1">
      <alignment vertical="center" wrapText="1"/>
      <protection/>
    </xf>
    <xf numFmtId="3" fontId="10" fillId="0" borderId="20" xfId="88" applyNumberFormat="1" applyFont="1" applyFill="1" applyBorder="1" applyAlignment="1">
      <alignment/>
      <protection/>
    </xf>
    <xf numFmtId="3" fontId="10" fillId="0" borderId="19" xfId="88" applyNumberFormat="1" applyFont="1" applyFill="1" applyBorder="1" applyAlignment="1">
      <alignment horizontal="center" vertical="top"/>
      <protection/>
    </xf>
    <xf numFmtId="49" fontId="12" fillId="0" borderId="20" xfId="88" applyNumberFormat="1" applyFont="1" applyFill="1" applyBorder="1" applyAlignment="1">
      <alignment horizontal="left" vertical="center" wrapText="1" indent="4"/>
      <protection/>
    </xf>
    <xf numFmtId="3" fontId="22" fillId="0" borderId="20" xfId="88" applyNumberFormat="1" applyFont="1" applyFill="1" applyBorder="1" applyAlignment="1">
      <alignment wrapText="1"/>
      <protection/>
    </xf>
    <xf numFmtId="3" fontId="10" fillId="0" borderId="23" xfId="88" applyNumberFormat="1" applyFont="1" applyFill="1" applyBorder="1" applyAlignment="1">
      <alignment horizontal="center" vertical="center"/>
      <protection/>
    </xf>
    <xf numFmtId="3" fontId="16" fillId="0" borderId="23" xfId="88" applyNumberFormat="1" applyFont="1" applyFill="1" applyBorder="1" applyAlignment="1">
      <alignment horizontal="center"/>
      <protection/>
    </xf>
    <xf numFmtId="3" fontId="17" fillId="0" borderId="0" xfId="88" applyNumberFormat="1" applyFont="1" applyFill="1" applyAlignment="1">
      <alignment horizontal="center"/>
      <protection/>
    </xf>
    <xf numFmtId="3" fontId="12" fillId="0" borderId="20" xfId="0" applyNumberFormat="1" applyFont="1" applyFill="1" applyBorder="1" applyAlignment="1">
      <alignment horizontal="right" wrapText="1"/>
    </xf>
    <xf numFmtId="3" fontId="12" fillId="0" borderId="21" xfId="0" applyNumberFormat="1" applyFont="1" applyFill="1" applyBorder="1" applyAlignment="1">
      <alignment horizontal="right" wrapText="1"/>
    </xf>
    <xf numFmtId="3" fontId="12" fillId="0" borderId="20" xfId="88" applyNumberFormat="1" applyFont="1" applyFill="1" applyBorder="1" applyAlignment="1">
      <alignment horizontal="left" wrapText="1" indent="2"/>
      <protection/>
    </xf>
    <xf numFmtId="0" fontId="4" fillId="0" borderId="0" xfId="0" applyFont="1" applyFill="1" applyBorder="1" applyAlignment="1">
      <alignment horizontal="center"/>
    </xf>
    <xf numFmtId="0" fontId="4" fillId="0" borderId="0" xfId="0" applyFont="1" applyFill="1" applyBorder="1" applyAlignment="1">
      <alignment/>
    </xf>
    <xf numFmtId="3" fontId="10" fillId="0" borderId="23" xfId="88" applyNumberFormat="1" applyFont="1" applyFill="1" applyBorder="1" applyAlignment="1">
      <alignment horizontal="center"/>
      <protection/>
    </xf>
    <xf numFmtId="3" fontId="2" fillId="0" borderId="19" xfId="88" applyNumberFormat="1" applyFont="1" applyFill="1" applyBorder="1" applyAlignment="1">
      <alignment vertical="center" wrapText="1"/>
      <protection/>
    </xf>
    <xf numFmtId="3" fontId="2" fillId="0" borderId="21" xfId="0" applyNumberFormat="1" applyFont="1" applyFill="1" applyBorder="1" applyAlignment="1">
      <alignment horizontal="right" vertical="center" wrapText="1"/>
    </xf>
    <xf numFmtId="3" fontId="4" fillId="0" borderId="24" xfId="88" applyNumberFormat="1" applyFont="1" applyFill="1" applyBorder="1" applyAlignment="1">
      <alignment horizontal="center" vertical="center" wrapText="1"/>
      <protection/>
    </xf>
    <xf numFmtId="3" fontId="4" fillId="0" borderId="25" xfId="88" applyNumberFormat="1" applyFont="1" applyFill="1" applyBorder="1" applyAlignment="1">
      <alignment vertical="center"/>
      <protection/>
    </xf>
    <xf numFmtId="3" fontId="10" fillId="0" borderId="22" xfId="0" applyNumberFormat="1" applyFont="1" applyFill="1" applyBorder="1" applyAlignment="1">
      <alignment horizontal="right" wrapText="1"/>
    </xf>
    <xf numFmtId="3" fontId="10" fillId="0" borderId="22" xfId="88" applyNumberFormat="1" applyFont="1" applyFill="1" applyBorder="1" applyAlignment="1">
      <alignment horizontal="right"/>
      <protection/>
    </xf>
    <xf numFmtId="0" fontId="9" fillId="0" borderId="0" xfId="88" applyNumberFormat="1" applyFont="1" applyFill="1" applyBorder="1" applyAlignment="1">
      <alignment horizontal="center" vertical="center"/>
      <protection/>
    </xf>
    <xf numFmtId="0" fontId="19" fillId="0" borderId="0" xfId="88" applyNumberFormat="1" applyFont="1" applyFill="1" applyBorder="1" applyAlignment="1">
      <alignment horizontal="center" vertical="center"/>
      <protection/>
    </xf>
    <xf numFmtId="0" fontId="4" fillId="0" borderId="0" xfId="0" applyFont="1" applyFill="1" applyBorder="1" applyAlignment="1">
      <alignment vertical="center"/>
    </xf>
    <xf numFmtId="3" fontId="16" fillId="0" borderId="0" xfId="0" applyNumberFormat="1" applyFont="1" applyFill="1" applyBorder="1" applyAlignment="1">
      <alignment vertical="top"/>
    </xf>
    <xf numFmtId="3" fontId="10" fillId="0" borderId="26" xfId="0" applyNumberFormat="1" applyFont="1" applyFill="1" applyBorder="1" applyAlignment="1">
      <alignment horizontal="right" wrapText="1"/>
    </xf>
    <xf numFmtId="0" fontId="2" fillId="0" borderId="0" xfId="89" applyFont="1" applyAlignment="1">
      <alignment vertical="center"/>
      <protection/>
    </xf>
    <xf numFmtId="3" fontId="4" fillId="0" borderId="0" xfId="89" applyNumberFormat="1" applyFont="1" applyAlignment="1">
      <alignment horizontal="center"/>
      <protection/>
    </xf>
    <xf numFmtId="3" fontId="4" fillId="0" borderId="0" xfId="89" applyNumberFormat="1" applyFont="1" applyAlignment="1">
      <alignment horizontal="center" vertical="center"/>
      <protection/>
    </xf>
    <xf numFmtId="0" fontId="4" fillId="0" borderId="10" xfId="0" applyFont="1" applyBorder="1" applyAlignment="1">
      <alignment horizontal="left" vertical="center" wrapText="1"/>
    </xf>
    <xf numFmtId="3" fontId="4" fillId="0" borderId="0" xfId="112" applyNumberFormat="1" applyFont="1" applyBorder="1" applyAlignment="1">
      <alignment vertical="center"/>
    </xf>
    <xf numFmtId="3" fontId="4" fillId="0" borderId="0" xfId="0" applyNumberFormat="1" applyFont="1" applyAlignment="1">
      <alignment/>
    </xf>
    <xf numFmtId="0" fontId="4" fillId="0" borderId="10" xfId="89" applyFont="1" applyBorder="1" applyAlignment="1">
      <alignment vertical="center" wrapText="1"/>
      <protection/>
    </xf>
    <xf numFmtId="0" fontId="2" fillId="0" borderId="10" xfId="89" applyFont="1" applyBorder="1" applyAlignment="1">
      <alignment horizontal="left" vertical="center" wrapText="1" indent="2"/>
      <protection/>
    </xf>
    <xf numFmtId="3" fontId="2" fillId="0" borderId="0" xfId="112" applyNumberFormat="1" applyFont="1" applyBorder="1" applyAlignment="1">
      <alignment vertical="center"/>
    </xf>
    <xf numFmtId="0" fontId="4" fillId="0" borderId="15" xfId="89" applyFont="1" applyBorder="1" applyAlignment="1">
      <alignment horizontal="center" vertical="center" wrapText="1"/>
      <protection/>
    </xf>
    <xf numFmtId="3" fontId="4" fillId="0" borderId="16" xfId="89" applyNumberFormat="1" applyFont="1" applyBorder="1" applyAlignment="1">
      <alignment vertical="center"/>
      <protection/>
    </xf>
    <xf numFmtId="0" fontId="4" fillId="0" borderId="0" xfId="89" applyFont="1" applyAlignment="1">
      <alignment vertical="center"/>
      <protection/>
    </xf>
    <xf numFmtId="0" fontId="2" fillId="0" borderId="0" xfId="89" applyFont="1" applyAlignment="1">
      <alignment wrapText="1"/>
      <protection/>
    </xf>
    <xf numFmtId="3" fontId="2" fillId="0" borderId="0" xfId="89" applyNumberFormat="1" applyFont="1">
      <alignment/>
      <protection/>
    </xf>
    <xf numFmtId="0" fontId="2" fillId="0" borderId="0" xfId="89" applyFont="1">
      <alignment/>
      <protection/>
    </xf>
    <xf numFmtId="3" fontId="10" fillId="0" borderId="0" xfId="0" applyNumberFormat="1" applyFont="1" applyFill="1" applyAlignment="1">
      <alignment horizontal="right" vertical="center"/>
    </xf>
    <xf numFmtId="0" fontId="2" fillId="0" borderId="0" xfId="0" applyFont="1" applyAlignment="1">
      <alignment vertical="top"/>
    </xf>
    <xf numFmtId="0" fontId="2" fillId="0" borderId="0" xfId="0" applyFont="1" applyAlignment="1">
      <alignment horizontal="center" vertical="top"/>
    </xf>
    <xf numFmtId="0" fontId="2" fillId="0" borderId="0" xfId="0" applyFont="1" applyFill="1" applyBorder="1" applyAlignment="1">
      <alignment horizontal="center" vertical="center"/>
    </xf>
    <xf numFmtId="3" fontId="4" fillId="0" borderId="14" xfId="87" applyNumberFormat="1" applyFont="1" applyFill="1" applyBorder="1" applyAlignment="1">
      <alignment horizontal="left" textRotation="90" wrapText="1"/>
      <protection/>
    </xf>
    <xf numFmtId="3" fontId="2" fillId="0" borderId="14" xfId="87" applyNumberFormat="1" applyFont="1" applyFill="1" applyBorder="1" applyAlignment="1">
      <alignment horizontal="center" wrapText="1"/>
      <protection/>
    </xf>
    <xf numFmtId="3" fontId="4" fillId="0" borderId="14" xfId="87" applyNumberFormat="1" applyFont="1" applyFill="1" applyBorder="1" applyAlignment="1">
      <alignment horizontal="left" wrapText="1"/>
      <protection/>
    </xf>
    <xf numFmtId="3" fontId="4" fillId="0" borderId="0" xfId="87" applyNumberFormat="1" applyFont="1" applyFill="1" applyBorder="1" applyAlignment="1">
      <alignment horizontal="left"/>
      <protection/>
    </xf>
    <xf numFmtId="3" fontId="4" fillId="0" borderId="0" xfId="87" applyNumberFormat="1" applyFont="1" applyFill="1" applyAlignment="1">
      <alignment horizontal="left"/>
      <protection/>
    </xf>
    <xf numFmtId="3" fontId="4" fillId="0" borderId="0" xfId="87" applyNumberFormat="1" applyFont="1" applyFill="1" applyBorder="1" applyAlignment="1">
      <alignment horizontal="left" wrapText="1"/>
      <protection/>
    </xf>
    <xf numFmtId="3" fontId="2" fillId="0" borderId="0" xfId="87" applyNumberFormat="1" applyFont="1" applyFill="1" applyBorder="1" applyAlignment="1">
      <alignment horizontal="center" wrapText="1"/>
      <protection/>
    </xf>
    <xf numFmtId="0" fontId="4" fillId="0" borderId="0" xfId="0" applyFont="1" applyFill="1" applyAlignment="1">
      <alignment/>
    </xf>
    <xf numFmtId="0" fontId="2" fillId="0" borderId="0" xfId="0" applyFont="1" applyFill="1" applyBorder="1" applyAlignment="1">
      <alignment horizontal="center" vertical="top"/>
    </xf>
    <xf numFmtId="0" fontId="4" fillId="0" borderId="0" xfId="0" applyFont="1" applyFill="1" applyBorder="1" applyAlignment="1">
      <alignment horizontal="center" vertical="top"/>
    </xf>
    <xf numFmtId="0" fontId="4" fillId="0" borderId="13" xfId="0" applyFont="1" applyFill="1" applyBorder="1" applyAlignment="1">
      <alignment horizontal="center"/>
    </xf>
    <xf numFmtId="0" fontId="2" fillId="0" borderId="13" xfId="0" applyFont="1" applyFill="1" applyBorder="1" applyAlignment="1">
      <alignment horizontal="center" vertical="top"/>
    </xf>
    <xf numFmtId="0" fontId="4" fillId="0" borderId="13" xfId="0" applyFont="1" applyFill="1" applyBorder="1" applyAlignment="1">
      <alignment wrapText="1"/>
    </xf>
    <xf numFmtId="3" fontId="4" fillId="0" borderId="13" xfId="87" applyNumberFormat="1" applyFont="1" applyFill="1" applyBorder="1" applyAlignment="1">
      <alignment horizontal="left" textRotation="90" wrapText="1"/>
      <protection/>
    </xf>
    <xf numFmtId="3" fontId="2" fillId="0" borderId="13" xfId="87" applyNumberFormat="1" applyFont="1" applyFill="1" applyBorder="1" applyAlignment="1">
      <alignment horizontal="center" wrapText="1"/>
      <protection/>
    </xf>
    <xf numFmtId="3" fontId="4" fillId="0" borderId="13" xfId="87" applyNumberFormat="1" applyFont="1" applyFill="1" applyBorder="1" applyAlignment="1">
      <alignment horizontal="left" wrapText="1"/>
      <protection/>
    </xf>
    <xf numFmtId="0" fontId="4" fillId="0" borderId="0" xfId="0" applyFont="1" applyFill="1" applyBorder="1" applyAlignment="1">
      <alignment vertical="top" wrapText="1"/>
    </xf>
    <xf numFmtId="0" fontId="4"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xf>
    <xf numFmtId="0" fontId="4" fillId="0" borderId="27" xfId="0" applyFont="1" applyFill="1" applyBorder="1" applyAlignment="1">
      <alignment horizontal="center" vertical="center"/>
    </xf>
    <xf numFmtId="0" fontId="2" fillId="0" borderId="27" xfId="0" applyFont="1" applyFill="1" applyBorder="1" applyAlignment="1">
      <alignment horizontal="center" vertical="center"/>
    </xf>
    <xf numFmtId="0" fontId="4" fillId="0" borderId="27" xfId="0" applyFont="1" applyFill="1" applyBorder="1" applyAlignment="1">
      <alignment vertical="center"/>
    </xf>
    <xf numFmtId="0" fontId="4" fillId="0" borderId="28" xfId="0" applyFont="1" applyFill="1" applyBorder="1" applyAlignment="1">
      <alignment horizontal="center" vertical="center"/>
    </xf>
    <xf numFmtId="0" fontId="2" fillId="0" borderId="28" xfId="0" applyFont="1" applyFill="1" applyBorder="1" applyAlignment="1">
      <alignment horizontal="center" vertical="center"/>
    </xf>
    <xf numFmtId="0" fontId="4" fillId="0" borderId="28" xfId="0" applyFont="1" applyFill="1" applyBorder="1" applyAlignment="1">
      <alignment vertical="center"/>
    </xf>
    <xf numFmtId="0" fontId="4" fillId="0" borderId="12" xfId="0" applyFont="1" applyFill="1" applyBorder="1" applyAlignment="1">
      <alignment vertical="center" shrinkToFit="1"/>
    </xf>
    <xf numFmtId="0" fontId="2" fillId="0" borderId="0" xfId="0" applyFont="1" applyFill="1" applyBorder="1" applyAlignment="1">
      <alignment horizontal="left" indent="1"/>
    </xf>
    <xf numFmtId="0" fontId="2" fillId="0" borderId="13" xfId="0" applyFont="1" applyFill="1" applyBorder="1" applyAlignment="1">
      <alignment horizontal="left" indent="1"/>
    </xf>
    <xf numFmtId="0" fontId="4" fillId="0" borderId="29" xfId="0" applyFont="1" applyFill="1" applyBorder="1" applyAlignment="1">
      <alignment horizontal="center" vertical="center"/>
    </xf>
    <xf numFmtId="0" fontId="2" fillId="0" borderId="29" xfId="0" applyFont="1" applyFill="1" applyBorder="1" applyAlignment="1">
      <alignment horizontal="center" vertical="center"/>
    </xf>
    <xf numFmtId="0" fontId="4" fillId="0" borderId="29" xfId="0" applyFont="1" applyFill="1" applyBorder="1" applyAlignment="1">
      <alignment vertical="center"/>
    </xf>
    <xf numFmtId="0" fontId="2" fillId="0" borderId="0" xfId="0" applyFont="1" applyFill="1" applyAlignment="1">
      <alignment horizontal="center"/>
    </xf>
    <xf numFmtId="0" fontId="0" fillId="0" borderId="0" xfId="0" applyFont="1" applyFill="1" applyAlignment="1">
      <alignment/>
    </xf>
    <xf numFmtId="0" fontId="21" fillId="0" borderId="0" xfId="0" applyFont="1" applyFill="1" applyAlignment="1">
      <alignment/>
    </xf>
    <xf numFmtId="0" fontId="20" fillId="0" borderId="0" xfId="0" applyFont="1" applyFill="1" applyAlignment="1">
      <alignment/>
    </xf>
    <xf numFmtId="0" fontId="0" fillId="0" borderId="0" xfId="0" applyFont="1" applyFill="1" applyAlignment="1">
      <alignment/>
    </xf>
    <xf numFmtId="3" fontId="13" fillId="0" borderId="0" xfId="0" applyNumberFormat="1" applyFont="1" applyFill="1" applyAlignment="1">
      <alignment horizontal="right" vertical="center"/>
    </xf>
    <xf numFmtId="3" fontId="10" fillId="0" borderId="0" xfId="0" applyNumberFormat="1" applyFont="1" applyFill="1" applyAlignment="1">
      <alignment horizontal="center"/>
    </xf>
    <xf numFmtId="3" fontId="10" fillId="0" borderId="0" xfId="0" applyNumberFormat="1" applyFont="1" applyFill="1" applyAlignment="1">
      <alignment horizontal="right"/>
    </xf>
    <xf numFmtId="3" fontId="10" fillId="0" borderId="0" xfId="0" applyNumberFormat="1" applyFont="1" applyFill="1" applyAlignment="1">
      <alignment/>
    </xf>
    <xf numFmtId="3" fontId="13" fillId="0" borderId="0" xfId="0" applyNumberFormat="1" applyFont="1" applyFill="1" applyBorder="1" applyAlignment="1">
      <alignment horizontal="right" vertical="center"/>
    </xf>
    <xf numFmtId="3" fontId="10" fillId="0" borderId="0" xfId="0" applyNumberFormat="1" applyFont="1" applyFill="1" applyAlignment="1">
      <alignment horizontal="right" vertical="top"/>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vertical="top"/>
    </xf>
    <xf numFmtId="0" fontId="23" fillId="0" borderId="0" xfId="0" applyFont="1" applyFill="1" applyAlignment="1">
      <alignment/>
    </xf>
    <xf numFmtId="0" fontId="23" fillId="0" borderId="0" xfId="0" applyFont="1" applyFill="1" applyAlignment="1">
      <alignment vertical="center"/>
    </xf>
    <xf numFmtId="0" fontId="23" fillId="0" borderId="0" xfId="0" applyFont="1" applyFill="1" applyBorder="1" applyAlignment="1">
      <alignment vertical="center"/>
    </xf>
    <xf numFmtId="3" fontId="2" fillId="0" borderId="0" xfId="88" applyNumberFormat="1" applyFont="1" applyFill="1" applyBorder="1" applyAlignment="1">
      <alignment vertical="center" wrapText="1"/>
      <protection/>
    </xf>
    <xf numFmtId="3" fontId="2" fillId="0" borderId="0" xfId="91" applyNumberFormat="1" applyFont="1">
      <alignment/>
      <protection/>
    </xf>
    <xf numFmtId="3" fontId="2" fillId="0" borderId="0" xfId="91" applyNumberFormat="1" applyFont="1" applyAlignment="1">
      <alignment horizontal="center"/>
      <protection/>
    </xf>
    <xf numFmtId="14" fontId="2" fillId="0" borderId="0" xfId="91" applyNumberFormat="1" applyFont="1" applyAlignment="1">
      <alignment horizontal="center"/>
      <protection/>
    </xf>
    <xf numFmtId="3" fontId="2" fillId="0" borderId="0" xfId="91" applyNumberFormat="1" applyFont="1" applyAlignment="1">
      <alignment horizontal="center" vertical="center" wrapText="1"/>
      <protection/>
    </xf>
    <xf numFmtId="3" fontId="4" fillId="0" borderId="30" xfId="91" applyNumberFormat="1" applyFont="1" applyBorder="1" applyAlignment="1">
      <alignment horizontal="right" vertical="center"/>
      <protection/>
    </xf>
    <xf numFmtId="3" fontId="2" fillId="0" borderId="31" xfId="91" applyNumberFormat="1" applyFont="1" applyBorder="1" applyAlignment="1">
      <alignment horizontal="right" vertical="center" wrapText="1"/>
      <protection/>
    </xf>
    <xf numFmtId="3" fontId="2" fillId="0" borderId="0" xfId="0" applyNumberFormat="1" applyFont="1" applyFill="1" applyAlignment="1">
      <alignment horizontal="right"/>
    </xf>
    <xf numFmtId="3" fontId="2" fillId="0" borderId="32" xfId="87" applyNumberFormat="1" applyFont="1" applyFill="1" applyBorder="1" applyAlignment="1">
      <alignment horizontal="center" vertical="center" wrapText="1"/>
      <protection/>
    </xf>
    <xf numFmtId="3" fontId="2" fillId="0" borderId="0" xfId="87" applyNumberFormat="1" applyFont="1" applyFill="1" applyBorder="1" applyAlignment="1">
      <alignment horizontal="center" vertical="top" wrapText="1"/>
      <protection/>
    </xf>
    <xf numFmtId="3" fontId="10" fillId="0" borderId="19" xfId="0" applyNumberFormat="1" applyFont="1" applyFill="1" applyBorder="1" applyAlignment="1">
      <alignment horizontal="center"/>
    </xf>
    <xf numFmtId="3" fontId="10" fillId="0" borderId="20" xfId="0" applyNumberFormat="1" applyFont="1" applyFill="1" applyBorder="1" applyAlignment="1">
      <alignment horizontal="center"/>
    </xf>
    <xf numFmtId="3" fontId="10" fillId="0" borderId="19" xfId="0" applyNumberFormat="1" applyFont="1" applyFill="1" applyBorder="1" applyAlignment="1">
      <alignment horizontal="center" vertical="center"/>
    </xf>
    <xf numFmtId="3" fontId="10" fillId="0" borderId="19" xfId="0" applyNumberFormat="1" applyFont="1" applyFill="1" applyBorder="1" applyAlignment="1">
      <alignment horizontal="center" vertical="top"/>
    </xf>
    <xf numFmtId="3" fontId="10" fillId="0" borderId="20" xfId="0" applyNumberFormat="1" applyFont="1" applyFill="1" applyBorder="1" applyAlignment="1">
      <alignment horizontal="center" vertical="top"/>
    </xf>
    <xf numFmtId="3" fontId="10" fillId="0" borderId="20" xfId="0" applyNumberFormat="1" applyFont="1" applyFill="1" applyBorder="1" applyAlignment="1">
      <alignment vertical="center"/>
    </xf>
    <xf numFmtId="3" fontId="12" fillId="0" borderId="20" xfId="0" applyNumberFormat="1" applyFont="1" applyFill="1" applyBorder="1" applyAlignment="1">
      <alignment vertical="center"/>
    </xf>
    <xf numFmtId="3" fontId="13" fillId="0" borderId="21" xfId="0" applyNumberFormat="1" applyFont="1" applyFill="1" applyBorder="1" applyAlignment="1">
      <alignment vertical="center"/>
    </xf>
    <xf numFmtId="3" fontId="10" fillId="0" borderId="20" xfId="0" applyNumberFormat="1" applyFont="1" applyFill="1" applyBorder="1" applyAlignment="1">
      <alignment vertical="top"/>
    </xf>
    <xf numFmtId="3" fontId="13" fillId="0" borderId="21" xfId="0" applyNumberFormat="1" applyFont="1" applyFill="1" applyBorder="1" applyAlignment="1">
      <alignment vertical="top"/>
    </xf>
    <xf numFmtId="0" fontId="0" fillId="0" borderId="20" xfId="0" applyFont="1" applyFill="1" applyBorder="1" applyAlignment="1">
      <alignment/>
    </xf>
    <xf numFmtId="3" fontId="10" fillId="0" borderId="23" xfId="0" applyNumberFormat="1" applyFont="1" applyFill="1" applyBorder="1" applyAlignment="1">
      <alignment horizontal="center"/>
    </xf>
    <xf numFmtId="3" fontId="10" fillId="0" borderId="22" xfId="0" applyNumberFormat="1" applyFont="1" applyFill="1" applyBorder="1" applyAlignment="1">
      <alignment horizontal="center"/>
    </xf>
    <xf numFmtId="3" fontId="10" fillId="0" borderId="22" xfId="0" applyNumberFormat="1" applyFont="1" applyFill="1" applyBorder="1" applyAlignment="1">
      <alignment vertical="center"/>
    </xf>
    <xf numFmtId="3" fontId="13" fillId="0" borderId="26" xfId="0" applyNumberFormat="1" applyFont="1" applyFill="1" applyBorder="1" applyAlignment="1">
      <alignment vertical="center"/>
    </xf>
    <xf numFmtId="3" fontId="10" fillId="0" borderId="21" xfId="0" applyNumberFormat="1" applyFont="1" applyFill="1" applyBorder="1" applyAlignment="1">
      <alignment vertical="center"/>
    </xf>
    <xf numFmtId="3" fontId="13" fillId="0" borderId="21" xfId="0" applyNumberFormat="1" applyFont="1" applyFill="1" applyBorder="1" applyAlignment="1">
      <alignment/>
    </xf>
    <xf numFmtId="3" fontId="10" fillId="0" borderId="20" xfId="96" applyNumberFormat="1" applyFont="1" applyFill="1" applyBorder="1" applyAlignment="1">
      <alignment wrapText="1"/>
      <protection/>
    </xf>
    <xf numFmtId="0" fontId="20" fillId="0" borderId="21" xfId="0" applyFont="1" applyFill="1" applyBorder="1" applyAlignment="1">
      <alignment/>
    </xf>
    <xf numFmtId="3" fontId="10" fillId="0" borderId="22" xfId="0" applyNumberFormat="1" applyFont="1" applyFill="1" applyBorder="1" applyAlignment="1">
      <alignment/>
    </xf>
    <xf numFmtId="3" fontId="13" fillId="0" borderId="26" xfId="0" applyNumberFormat="1" applyFont="1" applyFill="1" applyBorder="1" applyAlignment="1">
      <alignment/>
    </xf>
    <xf numFmtId="3" fontId="13" fillId="0" borderId="20" xfId="96" applyNumberFormat="1" applyFont="1" applyFill="1" applyBorder="1" applyAlignment="1">
      <alignment/>
      <protection/>
    </xf>
    <xf numFmtId="3" fontId="13" fillId="0" borderId="22" xfId="96" applyNumberFormat="1" applyFont="1" applyFill="1" applyBorder="1" applyAlignment="1">
      <alignment wrapText="1"/>
      <protection/>
    </xf>
    <xf numFmtId="3" fontId="13" fillId="0" borderId="22" xfId="96" applyNumberFormat="1" applyFont="1" applyFill="1" applyBorder="1" applyAlignment="1">
      <alignment/>
      <protection/>
    </xf>
    <xf numFmtId="3" fontId="10" fillId="0" borderId="20" xfId="0" applyNumberFormat="1" applyFont="1" applyFill="1" applyBorder="1" applyAlignment="1">
      <alignment horizontal="right"/>
    </xf>
    <xf numFmtId="3" fontId="10" fillId="0" borderId="21" xfId="0" applyNumberFormat="1" applyFont="1" applyFill="1" applyBorder="1" applyAlignment="1">
      <alignment horizontal="right"/>
    </xf>
    <xf numFmtId="3" fontId="10" fillId="0" borderId="20" xfId="0" applyNumberFormat="1" applyFont="1" applyFill="1" applyBorder="1" applyAlignment="1">
      <alignment horizontal="right" vertical="top"/>
    </xf>
    <xf numFmtId="3" fontId="10" fillId="0" borderId="20" xfId="0" applyNumberFormat="1" applyFont="1" applyFill="1" applyBorder="1" applyAlignment="1">
      <alignment horizontal="right" vertical="center"/>
    </xf>
    <xf numFmtId="3" fontId="10" fillId="0" borderId="33" xfId="0" applyNumberFormat="1" applyFont="1" applyFill="1" applyBorder="1" applyAlignment="1">
      <alignment/>
    </xf>
    <xf numFmtId="3" fontId="13" fillId="0" borderId="34" xfId="0" applyNumberFormat="1" applyFont="1" applyFill="1" applyBorder="1" applyAlignment="1">
      <alignment/>
    </xf>
    <xf numFmtId="3" fontId="16" fillId="0" borderId="19" xfId="0" applyNumberFormat="1" applyFont="1" applyFill="1" applyBorder="1" applyAlignment="1">
      <alignment horizontal="center" vertical="center"/>
    </xf>
    <xf numFmtId="3" fontId="16" fillId="0" borderId="0" xfId="0" applyNumberFormat="1" applyFont="1" applyFill="1" applyBorder="1" applyAlignment="1">
      <alignment horizontal="right" vertical="center"/>
    </xf>
    <xf numFmtId="3" fontId="10" fillId="0" borderId="26" xfId="0" applyNumberFormat="1" applyFont="1" applyFill="1" applyBorder="1" applyAlignment="1">
      <alignment/>
    </xf>
    <xf numFmtId="3" fontId="12" fillId="0" borderId="20" xfId="0" applyNumberFormat="1" applyFont="1" applyFill="1" applyBorder="1" applyAlignment="1">
      <alignment horizontal="right"/>
    </xf>
    <xf numFmtId="3" fontId="12" fillId="0" borderId="21" xfId="0" applyNumberFormat="1" applyFont="1" applyFill="1" applyBorder="1" applyAlignment="1">
      <alignment horizontal="right"/>
    </xf>
    <xf numFmtId="3" fontId="10" fillId="0" borderId="21" xfId="0" applyNumberFormat="1" applyFont="1" applyFill="1" applyBorder="1" applyAlignment="1">
      <alignment horizontal="right" vertical="center"/>
    </xf>
    <xf numFmtId="3" fontId="16" fillId="0" borderId="0" xfId="0" applyNumberFormat="1" applyFont="1" applyFill="1" applyBorder="1" applyAlignment="1">
      <alignment horizontal="right" vertical="top"/>
    </xf>
    <xf numFmtId="3" fontId="16" fillId="0" borderId="34" xfId="0" applyNumberFormat="1" applyFont="1" applyFill="1" applyBorder="1" applyAlignment="1">
      <alignment/>
    </xf>
    <xf numFmtId="3" fontId="13" fillId="0" borderId="20" xfId="0" applyNumberFormat="1" applyFont="1" applyFill="1" applyBorder="1" applyAlignment="1">
      <alignment horizontal="right" vertical="center"/>
    </xf>
    <xf numFmtId="3" fontId="13" fillId="0" borderId="21" xfId="0" applyNumberFormat="1" applyFont="1" applyFill="1" applyBorder="1" applyAlignment="1">
      <alignment horizontal="right" vertical="center"/>
    </xf>
    <xf numFmtId="3" fontId="13" fillId="0" borderId="35" xfId="0" applyNumberFormat="1" applyFont="1" applyFill="1" applyBorder="1" applyAlignment="1">
      <alignment horizontal="right" vertical="center"/>
    </xf>
    <xf numFmtId="3" fontId="13" fillId="0" borderId="36" xfId="0" applyNumberFormat="1" applyFont="1" applyFill="1" applyBorder="1" applyAlignment="1">
      <alignment horizontal="right" vertical="center"/>
    </xf>
    <xf numFmtId="3" fontId="13" fillId="0" borderId="34" xfId="0" applyNumberFormat="1" applyFont="1" applyFill="1" applyBorder="1" applyAlignment="1">
      <alignment horizontal="right" vertical="center"/>
    </xf>
    <xf numFmtId="3" fontId="13" fillId="0" borderId="37" xfId="0" applyNumberFormat="1" applyFont="1" applyFill="1" applyBorder="1" applyAlignment="1">
      <alignment horizontal="right" vertical="center"/>
    </xf>
    <xf numFmtId="3" fontId="16" fillId="0" borderId="34" xfId="0" applyNumberFormat="1" applyFont="1" applyFill="1" applyBorder="1" applyAlignment="1">
      <alignment horizontal="right" vertical="center"/>
    </xf>
    <xf numFmtId="0" fontId="2" fillId="0" borderId="38" xfId="91" applyNumberFormat="1" applyFont="1" applyBorder="1" applyAlignment="1">
      <alignment horizontal="center" vertical="center" wrapText="1"/>
      <protection/>
    </xf>
    <xf numFmtId="3" fontId="2" fillId="0" borderId="39" xfId="91" applyNumberFormat="1" applyFont="1" applyBorder="1" applyAlignment="1">
      <alignment horizontal="center" vertical="center" wrapText="1"/>
      <protection/>
    </xf>
    <xf numFmtId="3" fontId="2" fillId="0" borderId="38" xfId="91" applyNumberFormat="1" applyFont="1" applyBorder="1" applyAlignment="1">
      <alignment horizontal="center" vertical="center" wrapText="1"/>
      <protection/>
    </xf>
    <xf numFmtId="3" fontId="10" fillId="0" borderId="0" xfId="88" applyNumberFormat="1" applyFont="1" applyFill="1">
      <alignment/>
      <protection/>
    </xf>
    <xf numFmtId="3" fontId="25" fillId="0" borderId="20" xfId="88" applyNumberFormat="1" applyFont="1" applyFill="1" applyBorder="1" applyAlignment="1">
      <alignment wrapText="1"/>
      <protection/>
    </xf>
    <xf numFmtId="3" fontId="2" fillId="0" borderId="0" xfId="88" applyNumberFormat="1" applyFont="1" applyFill="1" applyBorder="1">
      <alignment/>
      <protection/>
    </xf>
    <xf numFmtId="3" fontId="2" fillId="0" borderId="40" xfId="87" applyNumberFormat="1" applyFont="1" applyFill="1" applyBorder="1" applyAlignment="1">
      <alignment horizontal="center" textRotation="90" wrapText="1"/>
      <protection/>
    </xf>
    <xf numFmtId="3" fontId="2" fillId="0" borderId="10" xfId="87" applyNumberFormat="1" applyFont="1" applyFill="1" applyBorder="1" applyAlignment="1">
      <alignment horizontal="center" wrapText="1"/>
      <protection/>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xf>
    <xf numFmtId="49" fontId="2" fillId="0" borderId="10" xfId="0" applyNumberFormat="1" applyFont="1" applyFill="1" applyBorder="1" applyAlignment="1">
      <alignment horizontal="center" vertical="top"/>
    </xf>
    <xf numFmtId="3" fontId="2" fillId="0" borderId="41" xfId="87" applyNumberFormat="1" applyFont="1" applyFill="1" applyBorder="1" applyAlignment="1">
      <alignment horizontal="center" textRotation="90" wrapText="1"/>
      <protection/>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4" xfId="0" applyFont="1" applyFill="1" applyBorder="1" applyAlignment="1">
      <alignment horizontal="center" vertical="center"/>
    </xf>
    <xf numFmtId="49" fontId="2" fillId="0" borderId="40" xfId="87" applyNumberFormat="1" applyFont="1" applyFill="1" applyBorder="1" applyAlignment="1">
      <alignment horizontal="center"/>
      <protection/>
    </xf>
    <xf numFmtId="49" fontId="2" fillId="0" borderId="41" xfId="87" applyNumberFormat="1" applyFont="1" applyFill="1" applyBorder="1" applyAlignment="1">
      <alignment horizontal="center"/>
      <protection/>
    </xf>
    <xf numFmtId="49" fontId="5" fillId="0" borderId="10" xfId="87" applyNumberFormat="1" applyFont="1" applyFill="1" applyBorder="1" applyAlignment="1">
      <alignment horizontal="center"/>
      <protection/>
    </xf>
    <xf numFmtId="49" fontId="2" fillId="0" borderId="10" xfId="87" applyNumberFormat="1" applyFont="1" applyFill="1" applyBorder="1" applyAlignment="1">
      <alignment horizontal="center" vertical="center"/>
      <protection/>
    </xf>
    <xf numFmtId="3" fontId="10" fillId="0" borderId="32" xfId="87" applyNumberFormat="1" applyFont="1" applyFill="1" applyBorder="1" applyAlignment="1">
      <alignment horizontal="center" vertical="center" wrapText="1"/>
      <protection/>
    </xf>
    <xf numFmtId="3" fontId="2" fillId="0" borderId="45" xfId="87" applyNumberFormat="1" applyFont="1" applyFill="1" applyBorder="1" applyAlignment="1">
      <alignment horizontal="center" vertical="center" textRotation="90" wrapText="1"/>
      <protection/>
    </xf>
    <xf numFmtId="3" fontId="2" fillId="0" borderId="32" xfId="87" applyNumberFormat="1" applyFont="1" applyFill="1" applyBorder="1" applyAlignment="1">
      <alignment horizontal="center" vertical="center" textRotation="90" wrapText="1"/>
      <protection/>
    </xf>
    <xf numFmtId="3" fontId="4" fillId="0" borderId="32" xfId="87" applyNumberFormat="1" applyFont="1" applyFill="1" applyBorder="1" applyAlignment="1">
      <alignment horizontal="center" vertical="center" wrapText="1"/>
      <protection/>
    </xf>
    <xf numFmtId="3" fontId="2" fillId="0" borderId="46" xfId="87" applyNumberFormat="1" applyFont="1" applyFill="1" applyBorder="1" applyAlignment="1">
      <alignment horizontal="center" vertical="center" wrapText="1"/>
      <protection/>
    </xf>
    <xf numFmtId="3" fontId="4" fillId="0" borderId="14" xfId="87" applyNumberFormat="1" applyFont="1" applyFill="1" applyBorder="1" applyAlignment="1">
      <alignment horizontal="right" wrapText="1"/>
      <protection/>
    </xf>
    <xf numFmtId="3" fontId="4" fillId="0" borderId="13" xfId="0" applyNumberFormat="1" applyFont="1" applyFill="1" applyBorder="1" applyAlignment="1">
      <alignment/>
    </xf>
    <xf numFmtId="3" fontId="4" fillId="0" borderId="13" xfId="87" applyNumberFormat="1" applyFont="1" applyFill="1" applyBorder="1" applyAlignment="1">
      <alignment horizontal="right" wrapText="1"/>
      <protection/>
    </xf>
    <xf numFmtId="3" fontId="4" fillId="0" borderId="27"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29" xfId="0" applyNumberFormat="1" applyFont="1" applyFill="1" applyBorder="1" applyAlignment="1">
      <alignment vertical="center"/>
    </xf>
    <xf numFmtId="3" fontId="5" fillId="0" borderId="0" xfId="87" applyNumberFormat="1" applyFont="1" applyFill="1" applyBorder="1" applyAlignment="1">
      <alignment horizontal="right"/>
      <protection/>
    </xf>
    <xf numFmtId="3" fontId="2" fillId="0" borderId="47" xfId="87" applyNumberFormat="1" applyFont="1" applyFill="1" applyBorder="1" applyAlignment="1">
      <alignment horizontal="center"/>
      <protection/>
    </xf>
    <xf numFmtId="49" fontId="2" fillId="0" borderId="45" xfId="87" applyNumberFormat="1" applyFont="1" applyFill="1" applyBorder="1" applyAlignment="1">
      <alignment horizontal="center" vertical="center" textRotation="90"/>
      <protection/>
    </xf>
    <xf numFmtId="3" fontId="2" fillId="0" borderId="32" xfId="87" applyNumberFormat="1" applyFont="1" applyFill="1" applyBorder="1" applyAlignment="1">
      <alignment horizontal="center" vertical="center" textRotation="90"/>
      <protection/>
    </xf>
    <xf numFmtId="3" fontId="4" fillId="0" borderId="32" xfId="87" applyNumberFormat="1" applyFont="1" applyFill="1" applyBorder="1" applyAlignment="1">
      <alignment horizontal="center" vertical="center"/>
      <protection/>
    </xf>
    <xf numFmtId="0" fontId="2" fillId="0" borderId="0" xfId="0" applyFont="1" applyAlignment="1">
      <alignment horizontal="center"/>
    </xf>
    <xf numFmtId="0" fontId="2" fillId="0" borderId="0" xfId="0" applyFont="1" applyAlignment="1">
      <alignment horizontal="center" vertical="center"/>
    </xf>
    <xf numFmtId="0" fontId="2" fillId="0" borderId="0" xfId="101" applyFont="1" applyFill="1" applyBorder="1">
      <alignment/>
      <protection/>
    </xf>
    <xf numFmtId="0" fontId="2" fillId="0" borderId="0" xfId="101" applyFont="1" applyFill="1" applyBorder="1" applyAlignment="1">
      <alignment/>
      <protection/>
    </xf>
    <xf numFmtId="0" fontId="2" fillId="0" borderId="20" xfId="101" applyFont="1" applyFill="1" applyBorder="1" applyAlignment="1">
      <alignment horizontal="center" vertical="top"/>
      <protection/>
    </xf>
    <xf numFmtId="0" fontId="2" fillId="0" borderId="20" xfId="90" applyFont="1" applyFill="1" applyBorder="1" applyAlignment="1">
      <alignment wrapText="1"/>
      <protection/>
    </xf>
    <xf numFmtId="0" fontId="2" fillId="0" borderId="20" xfId="90" applyFont="1" applyFill="1" applyBorder="1" applyAlignment="1">
      <alignment vertical="top" wrapText="1"/>
      <protection/>
    </xf>
    <xf numFmtId="0" fontId="2" fillId="0" borderId="0" xfId="101" applyFont="1" applyFill="1" applyBorder="1" applyAlignment="1">
      <alignment vertical="center"/>
      <protection/>
    </xf>
    <xf numFmtId="3" fontId="2" fillId="0" borderId="22" xfId="90" applyNumberFormat="1" applyFont="1" applyFill="1" applyBorder="1" applyAlignment="1">
      <alignment horizontal="right"/>
      <protection/>
    </xf>
    <xf numFmtId="3" fontId="2" fillId="0" borderId="48" xfId="101" applyNumberFormat="1" applyFont="1" applyFill="1" applyBorder="1" applyAlignment="1">
      <alignment horizontal="right"/>
      <protection/>
    </xf>
    <xf numFmtId="3" fontId="2" fillId="0" borderId="22" xfId="101" applyNumberFormat="1" applyFont="1" applyFill="1" applyBorder="1" applyAlignment="1">
      <alignment horizontal="right"/>
      <protection/>
    </xf>
    <xf numFmtId="0" fontId="2" fillId="0" borderId="0" xfId="101" applyFont="1" applyFill="1" applyBorder="1" applyAlignment="1">
      <alignment horizontal="left"/>
      <protection/>
    </xf>
    <xf numFmtId="3" fontId="2" fillId="0" borderId="20" xfId="101" applyNumberFormat="1" applyFont="1" applyFill="1" applyBorder="1" applyAlignment="1">
      <alignment horizontal="right"/>
      <protection/>
    </xf>
    <xf numFmtId="3" fontId="2" fillId="0" borderId="33" xfId="101" applyNumberFormat="1" applyFont="1" applyFill="1" applyBorder="1" applyAlignment="1">
      <alignment horizontal="right"/>
      <protection/>
    </xf>
    <xf numFmtId="3" fontId="2" fillId="0" borderId="0" xfId="102" applyNumberFormat="1" applyFont="1" applyFill="1" applyBorder="1" applyAlignment="1">
      <alignment horizontal="right"/>
      <protection/>
    </xf>
    <xf numFmtId="3" fontId="2" fillId="0" borderId="0" xfId="102" applyNumberFormat="1" applyFont="1" applyFill="1" applyBorder="1" applyAlignment="1">
      <alignment horizontal="right" wrapText="1"/>
      <protection/>
    </xf>
    <xf numFmtId="0" fontId="2" fillId="0" borderId="0" xfId="0" applyFont="1" applyFill="1" applyBorder="1" applyAlignment="1">
      <alignment horizontal="right"/>
    </xf>
    <xf numFmtId="3" fontId="16" fillId="0" borderId="49" xfId="0" applyNumberFormat="1" applyFont="1" applyFill="1" applyBorder="1" applyAlignment="1">
      <alignment/>
    </xf>
    <xf numFmtId="3" fontId="10" fillId="0" borderId="50" xfId="0" applyNumberFormat="1" applyFont="1" applyFill="1" applyBorder="1" applyAlignment="1">
      <alignment/>
    </xf>
    <xf numFmtId="3" fontId="13" fillId="0" borderId="21" xfId="0" applyNumberFormat="1" applyFont="1" applyFill="1" applyBorder="1" applyAlignment="1">
      <alignment horizontal="right" wrapText="1"/>
    </xf>
    <xf numFmtId="3" fontId="12" fillId="0" borderId="20" xfId="88" applyNumberFormat="1" applyFont="1" applyFill="1" applyBorder="1" applyAlignment="1">
      <alignment wrapText="1"/>
      <protection/>
    </xf>
    <xf numFmtId="3" fontId="12" fillId="0" borderId="20" xfId="88" applyNumberFormat="1" applyFont="1" applyFill="1" applyBorder="1" applyAlignment="1">
      <alignment horizontal="left" wrapText="1"/>
      <protection/>
    </xf>
    <xf numFmtId="3" fontId="12" fillId="0" borderId="20" xfId="88" applyNumberFormat="1" applyFont="1" applyFill="1" applyBorder="1" applyAlignment="1">
      <alignment horizontal="left" wrapText="1" indent="3"/>
      <protection/>
    </xf>
    <xf numFmtId="3" fontId="13" fillId="0" borderId="20" xfId="0" applyNumberFormat="1" applyFont="1" applyFill="1" applyBorder="1" applyAlignment="1">
      <alignment horizontal="right" wrapText="1"/>
    </xf>
    <xf numFmtId="3" fontId="10" fillId="0" borderId="51" xfId="88" applyNumberFormat="1" applyFont="1" applyFill="1" applyBorder="1" applyAlignment="1">
      <alignment horizontal="center" vertical="center"/>
      <protection/>
    </xf>
    <xf numFmtId="0" fontId="10" fillId="0" borderId="52" xfId="103" applyFont="1" applyFill="1" applyBorder="1" applyAlignment="1">
      <alignment wrapText="1"/>
      <protection/>
    </xf>
    <xf numFmtId="3" fontId="13" fillId="0" borderId="53" xfId="88" applyNumberFormat="1" applyFont="1" applyFill="1" applyBorder="1" applyAlignment="1">
      <alignment horizontal="right" vertical="center"/>
      <protection/>
    </xf>
    <xf numFmtId="3" fontId="10" fillId="0" borderId="52" xfId="0" applyNumberFormat="1" applyFont="1" applyFill="1" applyBorder="1" applyAlignment="1">
      <alignment horizontal="right" vertical="center" wrapText="1"/>
    </xf>
    <xf numFmtId="3" fontId="10" fillId="0" borderId="18" xfId="0" applyNumberFormat="1" applyFont="1" applyFill="1" applyBorder="1" applyAlignment="1">
      <alignment horizontal="right" wrapText="1"/>
    </xf>
    <xf numFmtId="3" fontId="2" fillId="0" borderId="0" xfId="0" applyNumberFormat="1" applyFont="1" applyFill="1" applyAlignment="1">
      <alignment horizontal="right" vertical="center"/>
    </xf>
    <xf numFmtId="3" fontId="10" fillId="0" borderId="0" xfId="0" applyNumberFormat="1" applyFont="1" applyFill="1" applyBorder="1" applyAlignment="1">
      <alignment horizontal="center"/>
    </xf>
    <xf numFmtId="3" fontId="10" fillId="0" borderId="20" xfId="96" applyNumberFormat="1" applyFont="1" applyFill="1" applyBorder="1" applyAlignment="1">
      <alignment/>
      <protection/>
    </xf>
    <xf numFmtId="3" fontId="10" fillId="0" borderId="20" xfId="96" applyNumberFormat="1" applyFont="1" applyFill="1" applyBorder="1" applyAlignment="1">
      <alignment horizontal="center"/>
      <protection/>
    </xf>
    <xf numFmtId="3" fontId="10" fillId="0" borderId="22" xfId="96" applyNumberFormat="1" applyFont="1" applyFill="1" applyBorder="1" applyAlignment="1">
      <alignment horizontal="center"/>
      <protection/>
    </xf>
    <xf numFmtId="3" fontId="10" fillId="0" borderId="48" xfId="0" applyNumberFormat="1" applyFont="1" applyFill="1" applyBorder="1" applyAlignment="1">
      <alignment/>
    </xf>
    <xf numFmtId="3" fontId="10" fillId="0" borderId="20" xfId="96" applyNumberFormat="1" applyFont="1" applyFill="1" applyBorder="1" applyAlignment="1">
      <alignment horizontal="center" vertical="top" wrapText="1"/>
      <protection/>
    </xf>
    <xf numFmtId="3" fontId="13" fillId="0" borderId="22" xfId="0" applyNumberFormat="1" applyFont="1" applyFill="1" applyBorder="1" applyAlignment="1">
      <alignment horizontal="left"/>
    </xf>
    <xf numFmtId="3" fontId="13" fillId="0" borderId="35" xfId="96" applyNumberFormat="1" applyFont="1" applyFill="1" applyBorder="1" applyAlignment="1">
      <alignment horizontal="center"/>
      <protection/>
    </xf>
    <xf numFmtId="3" fontId="13" fillId="0" borderId="35" xfId="0" applyNumberFormat="1" applyFont="1" applyFill="1" applyBorder="1" applyAlignment="1">
      <alignment vertical="center"/>
    </xf>
    <xf numFmtId="3" fontId="13" fillId="0" borderId="19" xfId="0" applyNumberFormat="1" applyFont="1" applyFill="1" applyBorder="1" applyAlignment="1">
      <alignment horizontal="center" vertical="center"/>
    </xf>
    <xf numFmtId="3" fontId="13" fillId="0" borderId="35" xfId="0" applyNumberFormat="1" applyFont="1" applyFill="1" applyBorder="1" applyAlignment="1">
      <alignment horizontal="center" vertical="center"/>
    </xf>
    <xf numFmtId="3" fontId="10" fillId="0" borderId="20" xfId="0" applyNumberFormat="1" applyFont="1" applyFill="1" applyBorder="1" applyAlignment="1">
      <alignment horizontal="center" vertical="center" wrapText="1"/>
    </xf>
    <xf numFmtId="0" fontId="23" fillId="0" borderId="0" xfId="0" applyFont="1" applyFill="1" applyAlignment="1">
      <alignment vertical="top"/>
    </xf>
    <xf numFmtId="0" fontId="2" fillId="0" borderId="20" xfId="101" applyFont="1" applyFill="1" applyBorder="1" applyAlignment="1">
      <alignment horizontal="center"/>
      <protection/>
    </xf>
    <xf numFmtId="0" fontId="4" fillId="0" borderId="40" xfId="0" applyFont="1" applyFill="1" applyBorder="1" applyAlignment="1">
      <alignment horizontal="left"/>
    </xf>
    <xf numFmtId="0" fontId="4" fillId="0" borderId="54" xfId="0" applyFont="1" applyFill="1" applyBorder="1" applyAlignment="1">
      <alignment horizontal="center"/>
    </xf>
    <xf numFmtId="3" fontId="4" fillId="0" borderId="55" xfId="0" applyNumberFormat="1" applyFont="1" applyFill="1" applyBorder="1" applyAlignment="1">
      <alignment horizontal="center" wrapText="1"/>
    </xf>
    <xf numFmtId="0" fontId="4" fillId="0" borderId="56" xfId="0" applyFont="1" applyFill="1" applyBorder="1" applyAlignment="1">
      <alignment horizontal="center"/>
    </xf>
    <xf numFmtId="0" fontId="4" fillId="0" borderId="14" xfId="0" applyFont="1" applyFill="1" applyBorder="1" applyAlignment="1">
      <alignment horizontal="center"/>
    </xf>
    <xf numFmtId="3" fontId="2" fillId="0" borderId="57" xfId="0" applyNumberFormat="1" applyFont="1" applyFill="1" applyBorder="1" applyAlignment="1">
      <alignment/>
    </xf>
    <xf numFmtId="0" fontId="2" fillId="0" borderId="58" xfId="0" applyFont="1" applyFill="1" applyBorder="1" applyAlignment="1">
      <alignment horizontal="center"/>
    </xf>
    <xf numFmtId="0" fontId="2" fillId="0" borderId="0" xfId="0" applyFont="1" applyFill="1" applyBorder="1" applyAlignment="1">
      <alignment wrapText="1"/>
    </xf>
    <xf numFmtId="0" fontId="2" fillId="0" borderId="58" xfId="0" applyFont="1" applyFill="1" applyBorder="1" applyAlignment="1">
      <alignment horizontal="center" vertical="top"/>
    </xf>
    <xf numFmtId="0" fontId="4" fillId="0" borderId="41" xfId="0" applyFont="1" applyFill="1" applyBorder="1" applyAlignment="1">
      <alignment horizontal="right" vertical="center"/>
    </xf>
    <xf numFmtId="0" fontId="4" fillId="0" borderId="12" xfId="0" applyFont="1" applyFill="1" applyBorder="1" applyAlignment="1">
      <alignment horizontal="left" vertical="center"/>
    </xf>
    <xf numFmtId="3" fontId="4" fillId="0" borderId="59" xfId="0" applyNumberFormat="1" applyFont="1" applyFill="1" applyBorder="1" applyAlignment="1">
      <alignment vertical="center"/>
    </xf>
    <xf numFmtId="3" fontId="4" fillId="0" borderId="60" xfId="0" applyNumberFormat="1" applyFont="1" applyFill="1" applyBorder="1" applyAlignment="1">
      <alignment horizontal="center" vertical="center"/>
    </xf>
    <xf numFmtId="0" fontId="4" fillId="0" borderId="10" xfId="0" applyFont="1" applyFill="1" applyBorder="1" applyAlignment="1">
      <alignment horizontal="left"/>
    </xf>
    <xf numFmtId="0" fontId="4" fillId="0" borderId="58" xfId="0" applyFont="1" applyFill="1" applyBorder="1" applyAlignment="1">
      <alignment horizontal="center"/>
    </xf>
    <xf numFmtId="3" fontId="2" fillId="0" borderId="57" xfId="0" applyNumberFormat="1" applyFont="1" applyFill="1" applyBorder="1" applyAlignment="1">
      <alignment horizontal="right"/>
    </xf>
    <xf numFmtId="1" fontId="2" fillId="0" borderId="58" xfId="0" applyNumberFormat="1" applyFont="1" applyFill="1" applyBorder="1" applyAlignment="1">
      <alignment horizontal="center"/>
    </xf>
    <xf numFmtId="0" fontId="4" fillId="0" borderId="42" xfId="0" applyFont="1" applyFill="1" applyBorder="1" applyAlignment="1">
      <alignment horizontal="right" vertical="center"/>
    </xf>
    <xf numFmtId="0" fontId="4" fillId="0" borderId="27" xfId="0" applyFont="1" applyFill="1" applyBorder="1" applyAlignment="1">
      <alignment horizontal="left" vertical="center"/>
    </xf>
    <xf numFmtId="3" fontId="4" fillId="0" borderId="61" xfId="0" applyNumberFormat="1" applyFont="1" applyFill="1" applyBorder="1" applyAlignment="1">
      <alignment horizontal="center" vertical="center"/>
    </xf>
    <xf numFmtId="0" fontId="4" fillId="0" borderId="62" xfId="0" applyFont="1" applyFill="1" applyBorder="1" applyAlignment="1">
      <alignment vertical="center"/>
    </xf>
    <xf numFmtId="0" fontId="4" fillId="0" borderId="63" xfId="0" applyFont="1" applyFill="1" applyBorder="1" applyAlignment="1">
      <alignment horizontal="center" vertical="center"/>
    </xf>
    <xf numFmtId="0" fontId="4" fillId="0" borderId="64" xfId="0" applyFont="1" applyFill="1" applyBorder="1" applyAlignment="1">
      <alignment vertical="center"/>
    </xf>
    <xf numFmtId="0" fontId="2" fillId="0" borderId="10" xfId="0" applyFont="1" applyFill="1" applyBorder="1" applyAlignment="1">
      <alignment horizontal="right" vertical="center"/>
    </xf>
    <xf numFmtId="0" fontId="2" fillId="0" borderId="58"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27" xfId="0" applyFont="1" applyFill="1" applyBorder="1" applyAlignment="1">
      <alignment vertical="center"/>
    </xf>
    <xf numFmtId="0" fontId="2" fillId="0" borderId="42" xfId="0" applyFont="1" applyFill="1" applyBorder="1" applyAlignment="1">
      <alignment horizontal="right" vertical="center"/>
    </xf>
    <xf numFmtId="0" fontId="4" fillId="0" borderId="61" xfId="0" applyFont="1" applyFill="1" applyBorder="1" applyAlignment="1">
      <alignment horizontal="right" vertical="center"/>
    </xf>
    <xf numFmtId="0" fontId="4" fillId="0" borderId="65" xfId="0" applyFont="1" applyFill="1" applyBorder="1" applyAlignment="1">
      <alignment horizontal="right" vertical="center"/>
    </xf>
    <xf numFmtId="0" fontId="4" fillId="0" borderId="66" xfId="0" applyFont="1" applyFill="1" applyBorder="1" applyAlignment="1">
      <alignment horizontal="left" vertical="center"/>
    </xf>
    <xf numFmtId="3" fontId="4" fillId="0" borderId="58"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10" xfId="0" applyFont="1" applyFill="1" applyBorder="1" applyAlignment="1">
      <alignment horizontal="right" vertical="center"/>
    </xf>
    <xf numFmtId="0" fontId="2" fillId="0" borderId="0" xfId="0" applyFont="1" applyFill="1" applyBorder="1" applyAlignment="1">
      <alignment horizontal="left" indent="2"/>
    </xf>
    <xf numFmtId="0" fontId="4" fillId="0" borderId="67"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68" xfId="0" applyFont="1" applyFill="1" applyBorder="1" applyAlignment="1">
      <alignment horizontal="right" vertical="center"/>
    </xf>
    <xf numFmtId="0" fontId="4" fillId="0" borderId="13" xfId="0" applyFont="1" applyFill="1" applyBorder="1" applyAlignment="1">
      <alignment horizontal="left" vertical="center" wrapText="1"/>
    </xf>
    <xf numFmtId="3" fontId="4" fillId="0" borderId="69" xfId="0" applyNumberFormat="1" applyFont="1" applyFill="1" applyBorder="1" applyAlignment="1">
      <alignment horizontal="center" vertical="center"/>
    </xf>
    <xf numFmtId="0" fontId="4" fillId="0" borderId="13" xfId="0" applyFont="1" applyFill="1" applyBorder="1" applyAlignment="1">
      <alignment horizontal="left" vertical="center"/>
    </xf>
    <xf numFmtId="0" fontId="2" fillId="0" borderId="10" xfId="0" applyFont="1" applyFill="1" applyBorder="1" applyAlignment="1">
      <alignment horizontal="right"/>
    </xf>
    <xf numFmtId="0" fontId="2" fillId="0" borderId="58" xfId="0" applyFont="1" applyFill="1" applyBorder="1" applyAlignment="1">
      <alignment horizontal="right"/>
    </xf>
    <xf numFmtId="0" fontId="2" fillId="0" borderId="70" xfId="0" applyFont="1" applyFill="1" applyBorder="1" applyAlignment="1">
      <alignment horizontal="right"/>
    </xf>
    <xf numFmtId="0" fontId="2" fillId="0" borderId="47" xfId="0" applyFont="1" applyFill="1" applyBorder="1" applyAlignment="1">
      <alignment/>
    </xf>
    <xf numFmtId="0" fontId="2" fillId="0" borderId="71" xfId="0" applyFont="1" applyFill="1" applyBorder="1" applyAlignment="1">
      <alignment horizontal="right"/>
    </xf>
    <xf numFmtId="3" fontId="4" fillId="0" borderId="57" xfId="0" applyNumberFormat="1" applyFont="1" applyFill="1" applyBorder="1" applyAlignment="1">
      <alignment horizontal="right"/>
    </xf>
    <xf numFmtId="3" fontId="4" fillId="0" borderId="72" xfId="0" applyNumberFormat="1" applyFont="1" applyFill="1" applyBorder="1" applyAlignment="1">
      <alignment horizontal="right" vertical="center"/>
    </xf>
    <xf numFmtId="3" fontId="4" fillId="0" borderId="73" xfId="0" applyNumberFormat="1" applyFont="1" applyFill="1" applyBorder="1" applyAlignment="1">
      <alignment horizontal="right" vertical="center"/>
    </xf>
    <xf numFmtId="3" fontId="2" fillId="0" borderId="57" xfId="0" applyNumberFormat="1" applyFont="1" applyFill="1" applyBorder="1" applyAlignment="1">
      <alignment horizontal="right" vertical="center"/>
    </xf>
    <xf numFmtId="3" fontId="2" fillId="0" borderId="72" xfId="0" applyNumberFormat="1" applyFont="1" applyFill="1" applyBorder="1" applyAlignment="1">
      <alignment horizontal="right" vertical="center"/>
    </xf>
    <xf numFmtId="3" fontId="4" fillId="0" borderId="74" xfId="0" applyNumberFormat="1" applyFont="1" applyFill="1" applyBorder="1" applyAlignment="1">
      <alignment horizontal="right" vertical="center"/>
    </xf>
    <xf numFmtId="3" fontId="4" fillId="0" borderId="57" xfId="0" applyNumberFormat="1" applyFont="1" applyFill="1" applyBorder="1" applyAlignment="1">
      <alignment horizontal="right" vertical="center"/>
    </xf>
    <xf numFmtId="3" fontId="4" fillId="0" borderId="75" xfId="0" applyNumberFormat="1" applyFont="1" applyFill="1" applyBorder="1" applyAlignment="1">
      <alignment horizontal="right" vertical="center"/>
    </xf>
    <xf numFmtId="164" fontId="2" fillId="0" borderId="57" xfId="110" applyNumberFormat="1" applyFont="1" applyFill="1" applyBorder="1" applyAlignment="1">
      <alignment horizontal="right"/>
    </xf>
    <xf numFmtId="164" fontId="2" fillId="0" borderId="76" xfId="110" applyNumberFormat="1" applyFont="1" applyFill="1" applyBorder="1" applyAlignment="1">
      <alignment horizontal="right"/>
    </xf>
    <xf numFmtId="3" fontId="10" fillId="0" borderId="77" xfId="0" applyNumberFormat="1" applyFont="1" applyFill="1" applyBorder="1" applyAlignment="1">
      <alignment horizontal="right" vertical="center" wrapText="1"/>
    </xf>
    <xf numFmtId="3" fontId="10" fillId="0" borderId="78" xfId="0" applyNumberFormat="1" applyFont="1" applyFill="1" applyBorder="1" applyAlignment="1">
      <alignment horizontal="center"/>
    </xf>
    <xf numFmtId="3" fontId="10" fillId="0" borderId="78" xfId="0" applyNumberFormat="1" applyFont="1" applyFill="1" applyBorder="1" applyAlignment="1">
      <alignment horizontal="right"/>
    </xf>
    <xf numFmtId="3" fontId="13" fillId="0" borderId="78" xfId="0" applyNumberFormat="1" applyFont="1" applyFill="1" applyBorder="1" applyAlignment="1">
      <alignment horizontal="right"/>
    </xf>
    <xf numFmtId="3" fontId="23" fillId="0" borderId="0" xfId="0" applyNumberFormat="1" applyFont="1" applyFill="1" applyBorder="1" applyAlignment="1">
      <alignment vertical="center"/>
    </xf>
    <xf numFmtId="3" fontId="10" fillId="0" borderId="20" xfId="88" applyNumberFormat="1" applyFont="1" applyFill="1" applyBorder="1" applyAlignment="1">
      <alignment horizontal="center" vertical="top"/>
      <protection/>
    </xf>
    <xf numFmtId="3" fontId="10" fillId="0" borderId="20" xfId="88" applyNumberFormat="1" applyFont="1" applyFill="1" applyBorder="1" applyAlignment="1">
      <alignment shrinkToFit="1"/>
      <protection/>
    </xf>
    <xf numFmtId="3" fontId="13" fillId="0" borderId="79" xfId="88" applyNumberFormat="1" applyFont="1" applyFill="1" applyBorder="1" applyAlignment="1">
      <alignment horizontal="right"/>
      <protection/>
    </xf>
    <xf numFmtId="3" fontId="13" fillId="0" borderId="80" xfId="88" applyNumberFormat="1" applyFont="1" applyFill="1" applyBorder="1" applyAlignment="1">
      <alignment horizontal="right"/>
      <protection/>
    </xf>
    <xf numFmtId="3" fontId="13" fillId="0" borderId="80" xfId="88" applyNumberFormat="1" applyFont="1" applyFill="1" applyBorder="1" applyAlignment="1">
      <alignment horizontal="right" vertical="center"/>
      <protection/>
    </xf>
    <xf numFmtId="3" fontId="16" fillId="0" borderId="80" xfId="88" applyNumberFormat="1" applyFont="1" applyFill="1" applyBorder="1" applyAlignment="1">
      <alignment horizontal="right"/>
      <protection/>
    </xf>
    <xf numFmtId="3" fontId="16" fillId="0" borderId="80" xfId="88" applyNumberFormat="1" applyFont="1" applyFill="1" applyBorder="1" applyAlignment="1">
      <alignment horizontal="right" vertical="center"/>
      <protection/>
    </xf>
    <xf numFmtId="3" fontId="13" fillId="0" borderId="81" xfId="0" applyNumberFormat="1" applyFont="1" applyFill="1" applyBorder="1" applyAlignment="1">
      <alignment horizontal="right"/>
    </xf>
    <xf numFmtId="0" fontId="4" fillId="0" borderId="12" xfId="0" applyFont="1" applyFill="1" applyBorder="1" applyAlignment="1">
      <alignment vertical="center"/>
    </xf>
    <xf numFmtId="0" fontId="2" fillId="0" borderId="13" xfId="0" applyFont="1" applyFill="1" applyBorder="1" applyAlignment="1">
      <alignment horizontal="left" wrapText="1" indent="1"/>
    </xf>
    <xf numFmtId="3" fontId="6" fillId="0" borderId="0" xfId="0" applyNumberFormat="1" applyFont="1" applyFill="1" applyBorder="1" applyAlignment="1">
      <alignment horizontal="center"/>
    </xf>
    <xf numFmtId="3" fontId="13" fillId="0" borderId="79" xfId="0" applyNumberFormat="1" applyFont="1" applyFill="1" applyBorder="1" applyAlignment="1">
      <alignment horizontal="right"/>
    </xf>
    <xf numFmtId="3" fontId="13" fillId="0" borderId="19" xfId="88" applyNumberFormat="1" applyFont="1" applyFill="1" applyBorder="1" applyAlignment="1">
      <alignment horizontal="center" vertical="center"/>
      <protection/>
    </xf>
    <xf numFmtId="3" fontId="13" fillId="0" borderId="22" xfId="88" applyNumberFormat="1" applyFont="1" applyFill="1" applyBorder="1" applyAlignment="1">
      <alignment wrapText="1"/>
      <protection/>
    </xf>
    <xf numFmtId="3" fontId="13" fillId="0" borderId="20" xfId="88" applyNumberFormat="1" applyFont="1" applyFill="1" applyBorder="1" applyAlignment="1">
      <alignment wrapText="1"/>
      <protection/>
    </xf>
    <xf numFmtId="3" fontId="13" fillId="0" borderId="19" xfId="88" applyNumberFormat="1" applyFont="1" applyFill="1" applyBorder="1" applyAlignment="1">
      <alignment horizontal="center"/>
      <protection/>
    </xf>
    <xf numFmtId="3" fontId="16" fillId="0" borderId="19" xfId="88" applyNumberFormat="1" applyFont="1" applyFill="1" applyBorder="1" applyAlignment="1">
      <alignment horizontal="center" vertical="center"/>
      <protection/>
    </xf>
    <xf numFmtId="3" fontId="4" fillId="0" borderId="20" xfId="88" applyNumberFormat="1" applyFont="1" applyFill="1" applyBorder="1" applyAlignment="1">
      <alignment shrinkToFit="1"/>
      <protection/>
    </xf>
    <xf numFmtId="3" fontId="13" fillId="0" borderId="20" xfId="88" applyNumberFormat="1" applyFont="1" applyFill="1" applyBorder="1" applyAlignment="1">
      <alignment horizontal="left" wrapText="1"/>
      <protection/>
    </xf>
    <xf numFmtId="3" fontId="13" fillId="0" borderId="22" xfId="88" applyNumberFormat="1" applyFont="1" applyFill="1" applyBorder="1" applyAlignment="1">
      <alignment horizontal="right" vertical="center"/>
      <protection/>
    </xf>
    <xf numFmtId="1" fontId="18" fillId="0" borderId="0" xfId="88" applyNumberFormat="1" applyFont="1" applyFill="1" applyBorder="1" applyAlignment="1">
      <alignment horizontal="center" vertical="center"/>
      <protection/>
    </xf>
    <xf numFmtId="1" fontId="18" fillId="0" borderId="0" xfId="88" applyNumberFormat="1" applyFont="1" applyFill="1" applyBorder="1" applyAlignment="1">
      <alignment horizontal="left" vertical="center"/>
      <protection/>
    </xf>
    <xf numFmtId="3" fontId="10" fillId="0" borderId="34" xfId="88" applyNumberFormat="1" applyFont="1" applyFill="1" applyBorder="1" applyAlignment="1">
      <alignment horizontal="center"/>
      <protection/>
    </xf>
    <xf numFmtId="3" fontId="12" fillId="0" borderId="34" xfId="88" applyNumberFormat="1" applyFont="1" applyFill="1" applyBorder="1" applyAlignment="1">
      <alignment horizontal="center"/>
      <protection/>
    </xf>
    <xf numFmtId="3" fontId="10" fillId="0" borderId="49" xfId="88" applyNumberFormat="1" applyFont="1" applyFill="1" applyBorder="1" applyAlignment="1">
      <alignment horizontal="center"/>
      <protection/>
    </xf>
    <xf numFmtId="3" fontId="10" fillId="0" borderId="82" xfId="0" applyNumberFormat="1" applyFont="1" applyFill="1" applyBorder="1" applyAlignment="1">
      <alignment horizontal="center" wrapText="1"/>
    </xf>
    <xf numFmtId="3" fontId="10" fillId="0" borderId="34" xfId="0" applyNumberFormat="1" applyFont="1" applyFill="1" applyBorder="1" applyAlignment="1">
      <alignment horizontal="center" wrapText="1"/>
    </xf>
    <xf numFmtId="3" fontId="10" fillId="0" borderId="83" xfId="0" applyNumberFormat="1" applyFont="1" applyFill="1" applyBorder="1" applyAlignment="1">
      <alignment horizontal="right" wrapText="1"/>
    </xf>
    <xf numFmtId="3" fontId="0" fillId="0" borderId="0" xfId="0" applyNumberFormat="1" applyFont="1" applyFill="1" applyAlignment="1">
      <alignment/>
    </xf>
    <xf numFmtId="3" fontId="10" fillId="0" borderId="20" xfId="96" applyNumberFormat="1" applyFont="1" applyFill="1" applyBorder="1" applyAlignment="1">
      <alignment horizontal="center" vertical="center" wrapText="1"/>
      <protection/>
    </xf>
    <xf numFmtId="3" fontId="12" fillId="0" borderId="0" xfId="88" applyNumberFormat="1" applyFont="1" applyFill="1" applyAlignment="1">
      <alignment horizontal="center" vertical="center"/>
      <protection/>
    </xf>
    <xf numFmtId="3" fontId="10" fillId="0" borderId="0" xfId="88" applyNumberFormat="1" applyFont="1" applyFill="1" applyAlignment="1">
      <alignment horizontal="center" vertical="center"/>
      <protection/>
    </xf>
    <xf numFmtId="0" fontId="2" fillId="0" borderId="19" xfId="101" applyFont="1" applyFill="1" applyBorder="1" applyAlignment="1">
      <alignment horizontal="center"/>
      <protection/>
    </xf>
    <xf numFmtId="3" fontId="12" fillId="0" borderId="23" xfId="88" applyNumberFormat="1" applyFont="1" applyFill="1" applyBorder="1" applyAlignment="1">
      <alignment horizontal="center" vertical="center"/>
      <protection/>
    </xf>
    <xf numFmtId="3" fontId="12" fillId="0" borderId="49" xfId="88" applyNumberFormat="1" applyFont="1" applyFill="1" applyBorder="1" applyAlignment="1">
      <alignment horizontal="center"/>
      <protection/>
    </xf>
    <xf numFmtId="3" fontId="12" fillId="0" borderId="22" xfId="0" applyNumberFormat="1" applyFont="1" applyFill="1" applyBorder="1" applyAlignment="1">
      <alignment horizontal="right" wrapText="1"/>
    </xf>
    <xf numFmtId="3" fontId="12" fillId="0" borderId="26" xfId="0" applyNumberFormat="1" applyFont="1" applyFill="1" applyBorder="1" applyAlignment="1">
      <alignment horizontal="right" wrapText="1"/>
    </xf>
    <xf numFmtId="3" fontId="10" fillId="0" borderId="49" xfId="88" applyNumberFormat="1" applyFont="1" applyFill="1" applyBorder="1" applyAlignment="1">
      <alignment horizontal="center" vertical="center"/>
      <protection/>
    </xf>
    <xf numFmtId="3" fontId="10" fillId="0" borderId="22" xfId="0" applyNumberFormat="1" applyFont="1" applyFill="1" applyBorder="1" applyAlignment="1">
      <alignment horizontal="right" vertical="center" wrapText="1"/>
    </xf>
    <xf numFmtId="3" fontId="13" fillId="0" borderId="20" xfId="88" applyNumberFormat="1" applyFont="1" applyFill="1" applyBorder="1" applyAlignment="1">
      <alignment horizontal="right" vertical="center"/>
      <protection/>
    </xf>
    <xf numFmtId="3" fontId="10" fillId="0" borderId="34" xfId="88" applyNumberFormat="1" applyFont="1" applyFill="1" applyBorder="1" applyAlignment="1">
      <alignment horizontal="center" vertical="center"/>
      <protection/>
    </xf>
    <xf numFmtId="3" fontId="6" fillId="0" borderId="0" xfId="0" applyNumberFormat="1" applyFont="1" applyFill="1" applyBorder="1" applyAlignment="1">
      <alignment vertical="top"/>
    </xf>
    <xf numFmtId="3" fontId="10" fillId="0" borderId="26" xfId="0" applyNumberFormat="1" applyFont="1" applyFill="1" applyBorder="1" applyAlignment="1">
      <alignment horizontal="right" vertical="center" wrapText="1"/>
    </xf>
    <xf numFmtId="3" fontId="2" fillId="0" borderId="0" xfId="71" applyNumberFormat="1" applyFont="1" applyFill="1" applyBorder="1" applyAlignment="1">
      <alignment horizontal="right"/>
      <protection/>
    </xf>
    <xf numFmtId="3" fontId="2" fillId="0" borderId="84" xfId="91" applyNumberFormat="1" applyFont="1" applyBorder="1" applyAlignment="1">
      <alignment horizontal="center" vertical="center" wrapText="1"/>
      <protection/>
    </xf>
    <xf numFmtId="3" fontId="2" fillId="0" borderId="85" xfId="91" applyNumberFormat="1" applyFont="1" applyBorder="1" applyAlignment="1">
      <alignment horizontal="right" vertical="center" wrapText="1"/>
      <protection/>
    </xf>
    <xf numFmtId="3" fontId="2" fillId="0" borderId="0" xfId="87" applyNumberFormat="1" applyFont="1" applyFill="1" applyBorder="1" applyAlignment="1">
      <alignment horizontal="left" wrapText="1" indent="3"/>
      <protection/>
    </xf>
    <xf numFmtId="3" fontId="2" fillId="0" borderId="0" xfId="87" applyNumberFormat="1" applyFont="1" applyFill="1" applyBorder="1" applyAlignment="1">
      <alignment vertical="center"/>
      <protection/>
    </xf>
    <xf numFmtId="3" fontId="12" fillId="0" borderId="23" xfId="88" applyNumberFormat="1" applyFont="1" applyFill="1" applyBorder="1" applyAlignment="1">
      <alignment horizontal="center"/>
      <protection/>
    </xf>
    <xf numFmtId="3" fontId="5" fillId="0" borderId="0" xfId="88" applyNumberFormat="1" applyFont="1" applyFill="1" applyAlignment="1">
      <alignment horizontal="center"/>
      <protection/>
    </xf>
    <xf numFmtId="3" fontId="10" fillId="0" borderId="86" xfId="88" applyNumberFormat="1" applyFont="1" applyFill="1" applyBorder="1" applyAlignment="1">
      <alignment horizontal="center" vertical="center"/>
      <protection/>
    </xf>
    <xf numFmtId="3" fontId="10" fillId="0" borderId="87" xfId="88" applyNumberFormat="1" applyFont="1" applyFill="1" applyBorder="1" applyAlignment="1">
      <alignment horizontal="center"/>
      <protection/>
    </xf>
    <xf numFmtId="0" fontId="6" fillId="0" borderId="0" xfId="88" applyNumberFormat="1" applyFont="1" applyFill="1" applyBorder="1" applyAlignment="1">
      <alignment horizontal="center" vertical="center"/>
      <protection/>
    </xf>
    <xf numFmtId="0" fontId="7" fillId="0" borderId="0" xfId="0" applyFont="1" applyFill="1" applyAlignment="1">
      <alignment vertical="center"/>
    </xf>
    <xf numFmtId="3" fontId="10" fillId="0" borderId="52" xfId="88" applyNumberFormat="1" applyFont="1" applyFill="1" applyBorder="1" applyAlignment="1">
      <alignment horizontal="right"/>
      <protection/>
    </xf>
    <xf numFmtId="3" fontId="10" fillId="0" borderId="88" xfId="88" applyNumberFormat="1" applyFont="1" applyFill="1" applyBorder="1" applyAlignment="1">
      <alignment horizontal="right"/>
      <protection/>
    </xf>
    <xf numFmtId="3" fontId="10" fillId="0" borderId="89" xfId="88" applyNumberFormat="1" applyFont="1" applyFill="1" applyBorder="1" applyAlignment="1">
      <alignment horizontal="right"/>
      <protection/>
    </xf>
    <xf numFmtId="3" fontId="13" fillId="0" borderId="79" xfId="96" applyNumberFormat="1" applyFont="1" applyFill="1" applyBorder="1" applyAlignment="1">
      <alignment horizontal="left"/>
      <protection/>
    </xf>
    <xf numFmtId="3" fontId="10" fillId="0" borderId="80" xfId="96" applyNumberFormat="1" applyFont="1" applyFill="1" applyBorder="1" applyAlignment="1">
      <alignment/>
      <protection/>
    </xf>
    <xf numFmtId="3" fontId="13" fillId="0" borderId="80" xfId="96" applyNumberFormat="1" applyFont="1" applyFill="1" applyBorder="1" applyAlignment="1">
      <alignment horizontal="left"/>
      <protection/>
    </xf>
    <xf numFmtId="3" fontId="13" fillId="0" borderId="80" xfId="96" applyNumberFormat="1" applyFont="1" applyFill="1" applyBorder="1" applyAlignment="1">
      <alignment/>
      <protection/>
    </xf>
    <xf numFmtId="3" fontId="13" fillId="0" borderId="79" xfId="96" applyNumberFormat="1" applyFont="1" applyFill="1" applyBorder="1" applyAlignment="1">
      <alignment/>
      <protection/>
    </xf>
    <xf numFmtId="3" fontId="13" fillId="0" borderId="79" xfId="96" applyNumberFormat="1" applyFont="1" applyFill="1" applyBorder="1" applyAlignment="1">
      <alignment wrapText="1"/>
      <protection/>
    </xf>
    <xf numFmtId="3" fontId="13" fillId="0" borderId="80" xfId="96" applyNumberFormat="1" applyFont="1" applyFill="1" applyBorder="1" applyAlignment="1">
      <alignment wrapText="1"/>
      <protection/>
    </xf>
    <xf numFmtId="3" fontId="13" fillId="0" borderId="90" xfId="96" applyNumberFormat="1" applyFont="1" applyFill="1" applyBorder="1" applyAlignment="1">
      <alignment horizontal="left"/>
      <protection/>
    </xf>
    <xf numFmtId="3" fontId="10" fillId="0" borderId="91" xfId="96" applyNumberFormat="1" applyFont="1" applyFill="1" applyBorder="1" applyAlignment="1">
      <alignment horizontal="left"/>
      <protection/>
    </xf>
    <xf numFmtId="3" fontId="10" fillId="0" borderId="80" xfId="0" applyNumberFormat="1" applyFont="1" applyFill="1" applyBorder="1" applyAlignment="1">
      <alignment horizontal="center"/>
    </xf>
    <xf numFmtId="3" fontId="10" fillId="0" borderId="80" xfId="0" applyNumberFormat="1" applyFont="1" applyFill="1" applyBorder="1" applyAlignment="1">
      <alignment horizontal="center" vertical="top"/>
    </xf>
    <xf numFmtId="3" fontId="10" fillId="0" borderId="79" xfId="0" applyNumberFormat="1" applyFont="1" applyFill="1" applyBorder="1" applyAlignment="1">
      <alignment horizontal="center"/>
    </xf>
    <xf numFmtId="3" fontId="13" fillId="0" borderId="49" xfId="0" applyNumberFormat="1" applyFont="1" applyFill="1" applyBorder="1" applyAlignment="1">
      <alignment/>
    </xf>
    <xf numFmtId="3" fontId="10" fillId="0" borderId="33" xfId="96" applyNumberFormat="1" applyFont="1" applyFill="1" applyBorder="1" applyAlignment="1">
      <alignment/>
      <protection/>
    </xf>
    <xf numFmtId="3" fontId="10" fillId="0" borderId="20" xfId="96" applyNumberFormat="1" applyFont="1" applyFill="1" applyBorder="1" applyAlignment="1">
      <alignment vertical="top" wrapText="1"/>
      <protection/>
    </xf>
    <xf numFmtId="3" fontId="2" fillId="0" borderId="0" xfId="0" applyNumberFormat="1" applyFont="1" applyFill="1" applyAlignment="1">
      <alignment vertical="center"/>
    </xf>
    <xf numFmtId="0" fontId="14" fillId="0" borderId="0" xfId="0" applyFont="1" applyFill="1" applyAlignment="1">
      <alignment horizontal="center" vertical="center"/>
    </xf>
    <xf numFmtId="3" fontId="10" fillId="0" borderId="0" xfId="101" applyNumberFormat="1" applyFont="1" applyFill="1" applyBorder="1" applyAlignment="1">
      <alignment horizontal="right"/>
      <protection/>
    </xf>
    <xf numFmtId="0" fontId="10" fillId="0" borderId="0" xfId="101" applyFont="1" applyFill="1" applyBorder="1">
      <alignment/>
      <protection/>
    </xf>
    <xf numFmtId="0" fontId="10" fillId="0" borderId="0" xfId="101" applyFont="1" applyFill="1" applyBorder="1" applyAlignment="1">
      <alignment horizontal="center" vertical="center"/>
      <protection/>
    </xf>
    <xf numFmtId="0" fontId="10" fillId="0" borderId="0" xfId="101" applyFont="1" applyFill="1" applyBorder="1" applyAlignment="1">
      <alignment horizontal="center" vertical="top"/>
      <protection/>
    </xf>
    <xf numFmtId="0" fontId="10" fillId="0" borderId="0" xfId="101" applyFont="1" applyFill="1" applyBorder="1" applyAlignment="1">
      <alignment wrapText="1"/>
      <protection/>
    </xf>
    <xf numFmtId="3" fontId="10" fillId="0" borderId="0" xfId="101" applyNumberFormat="1" applyFont="1" applyFill="1" applyBorder="1" applyAlignment="1">
      <alignment horizontal="center" vertical="center" wrapText="1"/>
      <protection/>
    </xf>
    <xf numFmtId="3" fontId="12" fillId="0" borderId="0" xfId="101" applyNumberFormat="1" applyFont="1" applyFill="1" applyBorder="1" applyAlignment="1">
      <alignment horizontal="right"/>
      <protection/>
    </xf>
    <xf numFmtId="3" fontId="10" fillId="0" borderId="22" xfId="101" applyNumberFormat="1" applyFont="1" applyFill="1" applyBorder="1" applyAlignment="1">
      <alignment horizontal="right" vertical="center"/>
      <protection/>
    </xf>
    <xf numFmtId="3" fontId="10" fillId="0" borderId="0" xfId="102" applyNumberFormat="1" applyFont="1" applyFill="1" applyBorder="1" applyAlignment="1">
      <alignment horizontal="right"/>
      <protection/>
    </xf>
    <xf numFmtId="3" fontId="10" fillId="0" borderId="0" xfId="102" applyNumberFormat="1" applyFont="1" applyFill="1" applyBorder="1" applyAlignment="1">
      <alignment horizontal="right" wrapText="1"/>
      <protection/>
    </xf>
    <xf numFmtId="3" fontId="10" fillId="0" borderId="0" xfId="101" applyNumberFormat="1" applyFont="1" applyFill="1" applyBorder="1" applyAlignment="1">
      <alignment horizontal="right" vertical="center"/>
      <protection/>
    </xf>
    <xf numFmtId="0" fontId="6" fillId="0" borderId="0" xfId="101" applyFont="1" applyFill="1" applyBorder="1" applyAlignment="1">
      <alignment horizontal="center" vertical="center"/>
      <protection/>
    </xf>
    <xf numFmtId="3" fontId="6" fillId="0" borderId="0" xfId="101" applyNumberFormat="1" applyFont="1" applyFill="1" applyBorder="1" applyAlignment="1">
      <alignment horizontal="center" vertical="center"/>
      <protection/>
    </xf>
    <xf numFmtId="0" fontId="10" fillId="0" borderId="0" xfId="101" applyFont="1" applyFill="1" applyBorder="1" applyAlignment="1">
      <alignment vertical="center"/>
      <protection/>
    </xf>
    <xf numFmtId="3" fontId="16" fillId="0" borderId="18" xfId="0" applyNumberFormat="1" applyFont="1" applyFill="1" applyBorder="1" applyAlignment="1">
      <alignment vertical="center"/>
    </xf>
    <xf numFmtId="3" fontId="16" fillId="0" borderId="83" xfId="0" applyNumberFormat="1" applyFont="1" applyFill="1" applyBorder="1" applyAlignment="1">
      <alignment vertical="center"/>
    </xf>
    <xf numFmtId="3" fontId="16" fillId="0" borderId="92" xfId="0" applyNumberFormat="1" applyFont="1" applyFill="1" applyBorder="1" applyAlignment="1">
      <alignment vertical="center"/>
    </xf>
    <xf numFmtId="3" fontId="16" fillId="0" borderId="82" xfId="0" applyNumberFormat="1" applyFont="1" applyFill="1" applyBorder="1" applyAlignment="1">
      <alignment vertical="center"/>
    </xf>
    <xf numFmtId="3" fontId="16" fillId="0" borderId="18" xfId="0" applyNumberFormat="1" applyFont="1" applyFill="1" applyBorder="1" applyAlignment="1">
      <alignment horizontal="center" vertical="center"/>
    </xf>
    <xf numFmtId="3" fontId="16" fillId="0" borderId="18" xfId="0" applyNumberFormat="1" applyFont="1" applyFill="1" applyBorder="1" applyAlignment="1">
      <alignment horizontal="right" vertical="center"/>
    </xf>
    <xf numFmtId="3" fontId="16" fillId="0" borderId="83" xfId="0" applyNumberFormat="1" applyFont="1" applyFill="1" applyBorder="1" applyAlignment="1">
      <alignment horizontal="right" vertical="center"/>
    </xf>
    <xf numFmtId="3" fontId="16" fillId="0" borderId="18" xfId="96" applyNumberFormat="1" applyFont="1" applyFill="1" applyBorder="1" applyAlignment="1">
      <alignment horizontal="center" vertical="center"/>
      <protection/>
    </xf>
    <xf numFmtId="3" fontId="16" fillId="0" borderId="81" xfId="0" applyNumberFormat="1" applyFont="1" applyFill="1" applyBorder="1" applyAlignment="1">
      <alignment horizontal="right" vertical="center"/>
    </xf>
    <xf numFmtId="3" fontId="10" fillId="0" borderId="22" xfId="90" applyNumberFormat="1" applyFont="1" applyFill="1" applyBorder="1" applyAlignment="1">
      <alignment horizontal="right" vertical="center"/>
      <protection/>
    </xf>
    <xf numFmtId="3" fontId="10" fillId="0" borderId="93" xfId="101" applyNumberFormat="1" applyFont="1" applyFill="1" applyBorder="1" applyAlignment="1">
      <alignment horizontal="right" vertical="center"/>
      <protection/>
    </xf>
    <xf numFmtId="0" fontId="10" fillId="0" borderId="19" xfId="101" applyFont="1" applyFill="1" applyBorder="1" applyAlignment="1">
      <alignment horizontal="center" vertical="center"/>
      <protection/>
    </xf>
    <xf numFmtId="0" fontId="10" fillId="0" borderId="20" xfId="101" applyFont="1" applyFill="1" applyBorder="1" applyAlignment="1">
      <alignment horizontal="center"/>
      <protection/>
    </xf>
    <xf numFmtId="3" fontId="10" fillId="0" borderId="20" xfId="101" applyNumberFormat="1" applyFont="1" applyFill="1" applyBorder="1" applyAlignment="1">
      <alignment horizontal="right" vertical="center"/>
      <protection/>
    </xf>
    <xf numFmtId="3" fontId="10" fillId="0" borderId="20" xfId="90" applyNumberFormat="1" applyFont="1" applyFill="1" applyBorder="1" applyAlignment="1">
      <alignment horizontal="right" vertical="center"/>
      <protection/>
    </xf>
    <xf numFmtId="3" fontId="10" fillId="0" borderId="94" xfId="101" applyNumberFormat="1" applyFont="1" applyFill="1" applyBorder="1" applyAlignment="1">
      <alignment horizontal="right" vertical="center"/>
      <protection/>
    </xf>
    <xf numFmtId="0" fontId="10" fillId="0" borderId="20" xfId="101" applyFont="1" applyFill="1" applyBorder="1" applyAlignment="1">
      <alignment horizontal="center" vertical="top"/>
      <protection/>
    </xf>
    <xf numFmtId="0" fontId="10" fillId="33" borderId="0" xfId="101" applyFont="1" applyFill="1" applyBorder="1" applyAlignment="1">
      <alignment vertical="center"/>
      <protection/>
    </xf>
    <xf numFmtId="3" fontId="10" fillId="0" borderId="0" xfId="101" applyNumberFormat="1" applyFont="1" applyFill="1" applyBorder="1" applyAlignment="1">
      <alignment vertical="center"/>
      <protection/>
    </xf>
    <xf numFmtId="0" fontId="6" fillId="0" borderId="0" xfId="102" applyFont="1" applyFill="1" applyBorder="1" applyAlignment="1">
      <alignment horizontal="center" vertical="center" wrapText="1"/>
      <protection/>
    </xf>
    <xf numFmtId="3" fontId="6" fillId="0" borderId="0" xfId="102" applyNumberFormat="1" applyFont="1" applyFill="1" applyBorder="1" applyAlignment="1">
      <alignment horizontal="center" vertical="center"/>
      <protection/>
    </xf>
    <xf numFmtId="3" fontId="10" fillId="0" borderId="11" xfId="101" applyNumberFormat="1" applyFont="1" applyFill="1" applyBorder="1" applyAlignment="1">
      <alignment horizontal="center" vertical="center" wrapText="1"/>
      <protection/>
    </xf>
    <xf numFmtId="3" fontId="10" fillId="0" borderId="35" xfId="90" applyNumberFormat="1" applyFont="1" applyFill="1" applyBorder="1" applyAlignment="1">
      <alignment horizontal="right" vertical="center" wrapText="1"/>
      <protection/>
    </xf>
    <xf numFmtId="3" fontId="10" fillId="0" borderId="95" xfId="90" applyNumberFormat="1" applyFont="1" applyFill="1" applyBorder="1" applyAlignment="1">
      <alignment horizontal="right" vertical="center" wrapText="1"/>
      <protection/>
    </xf>
    <xf numFmtId="3" fontId="10" fillId="0" borderId="20" xfId="90" applyNumberFormat="1" applyFont="1" applyFill="1" applyBorder="1" applyAlignment="1">
      <alignment horizontal="right" vertical="center" wrapText="1"/>
      <protection/>
    </xf>
    <xf numFmtId="3" fontId="10" fillId="0" borderId="96" xfId="90" applyNumberFormat="1" applyFont="1" applyFill="1" applyBorder="1" applyAlignment="1">
      <alignment horizontal="right" vertical="center" wrapText="1"/>
      <protection/>
    </xf>
    <xf numFmtId="3" fontId="10" fillId="0" borderId="96" xfId="101" applyNumberFormat="1" applyFont="1" applyFill="1" applyBorder="1" applyAlignment="1">
      <alignment horizontal="right" vertical="center"/>
      <protection/>
    </xf>
    <xf numFmtId="0" fontId="10" fillId="0" borderId="0" xfId="101" applyFont="1" applyFill="1" applyBorder="1" applyAlignment="1">
      <alignment horizontal="center"/>
      <protection/>
    </xf>
    <xf numFmtId="3" fontId="2" fillId="0" borderId="0" xfId="71" applyNumberFormat="1" applyFont="1" applyFill="1" applyBorder="1" applyAlignment="1">
      <alignment horizontal="center"/>
      <protection/>
    </xf>
    <xf numFmtId="0" fontId="2" fillId="0" borderId="0" xfId="71" applyFont="1" applyFill="1" applyBorder="1" applyAlignment="1">
      <alignment/>
      <protection/>
    </xf>
    <xf numFmtId="3" fontId="2" fillId="0" borderId="0" xfId="101" applyNumberFormat="1" applyFont="1" applyFill="1" applyBorder="1" applyAlignment="1">
      <alignment horizontal="center" wrapText="1"/>
      <protection/>
    </xf>
    <xf numFmtId="3" fontId="2" fillId="0" borderId="11" xfId="101" applyNumberFormat="1" applyFont="1" applyFill="1" applyBorder="1" applyAlignment="1">
      <alignment horizontal="center" vertical="center" wrapText="1"/>
      <protection/>
    </xf>
    <xf numFmtId="3" fontId="2" fillId="0" borderId="70" xfId="101" applyNumberFormat="1" applyFont="1" applyFill="1" applyBorder="1" applyAlignment="1">
      <alignment horizontal="center" vertical="center" wrapText="1"/>
      <protection/>
    </xf>
    <xf numFmtId="0" fontId="4" fillId="0" borderId="23" xfId="101" applyFont="1" applyFill="1" applyBorder="1" applyAlignment="1">
      <alignment horizontal="center"/>
      <protection/>
    </xf>
    <xf numFmtId="3" fontId="4" fillId="0" borderId="97" xfId="90" applyNumberFormat="1" applyFont="1" applyFill="1" applyBorder="1" applyAlignment="1">
      <alignment horizontal="right" wrapText="1"/>
      <protection/>
    </xf>
    <xf numFmtId="0" fontId="4" fillId="0" borderId="0" xfId="101" applyFont="1" applyFill="1" applyBorder="1" applyAlignment="1">
      <alignment/>
      <protection/>
    </xf>
    <xf numFmtId="3" fontId="2" fillId="0" borderId="20" xfId="90" applyNumberFormat="1" applyFont="1" applyFill="1" applyBorder="1" applyAlignment="1">
      <alignment horizontal="right" wrapText="1"/>
      <protection/>
    </xf>
    <xf numFmtId="3" fontId="2" fillId="0" borderId="93" xfId="101" applyNumberFormat="1" applyFont="1" applyFill="1" applyBorder="1" applyAlignment="1">
      <alignment horizontal="right"/>
      <protection/>
    </xf>
    <xf numFmtId="0" fontId="2" fillId="0" borderId="20" xfId="90" applyFont="1" applyFill="1" applyBorder="1" applyAlignment="1">
      <alignment horizontal="left"/>
      <protection/>
    </xf>
    <xf numFmtId="3" fontId="2" fillId="0" borderId="20" xfId="90" applyNumberFormat="1" applyFont="1" applyFill="1" applyBorder="1" applyAlignment="1">
      <alignment horizontal="right"/>
      <protection/>
    </xf>
    <xf numFmtId="3" fontId="2" fillId="0" borderId="94" xfId="101" applyNumberFormat="1" applyFont="1" applyFill="1" applyBorder="1" applyAlignment="1">
      <alignment horizontal="right"/>
      <protection/>
    </xf>
    <xf numFmtId="3" fontId="2" fillId="0" borderId="0" xfId="71" applyNumberFormat="1" applyFont="1" applyFill="1" applyBorder="1" applyAlignment="1">
      <alignment horizontal="left"/>
      <protection/>
    </xf>
    <xf numFmtId="3" fontId="85" fillId="0" borderId="0" xfId="71" applyNumberFormat="1" applyFont="1" applyFill="1" applyBorder="1" applyAlignment="1">
      <alignment horizontal="left"/>
      <protection/>
    </xf>
    <xf numFmtId="0" fontId="4" fillId="0" borderId="19" xfId="101" applyFont="1" applyFill="1" applyBorder="1" applyAlignment="1">
      <alignment horizontal="center"/>
      <protection/>
    </xf>
    <xf numFmtId="3" fontId="4" fillId="0" borderId="96" xfId="90" applyNumberFormat="1" applyFont="1" applyFill="1" applyBorder="1" applyAlignment="1">
      <alignment horizontal="right" wrapText="1"/>
      <protection/>
    </xf>
    <xf numFmtId="0" fontId="26" fillId="0" borderId="22" xfId="101" applyFont="1" applyFill="1" applyBorder="1" applyAlignment="1">
      <alignment horizontal="left"/>
      <protection/>
    </xf>
    <xf numFmtId="0" fontId="2" fillId="0" borderId="20" xfId="90" applyFont="1" applyFill="1" applyBorder="1" applyAlignment="1">
      <alignment/>
      <protection/>
    </xf>
    <xf numFmtId="0" fontId="2" fillId="0" borderId="91" xfId="90" applyFont="1" applyFill="1" applyBorder="1" applyAlignment="1">
      <alignment/>
      <protection/>
    </xf>
    <xf numFmtId="0" fontId="2" fillId="0" borderId="91" xfId="90" applyFont="1" applyFill="1" applyBorder="1" applyAlignment="1">
      <alignment horizontal="left"/>
      <protection/>
    </xf>
    <xf numFmtId="3" fontId="4" fillId="0" borderId="96" xfId="101" applyNumberFormat="1" applyFont="1" applyFill="1" applyBorder="1" applyAlignment="1">
      <alignment horizontal="right"/>
      <protection/>
    </xf>
    <xf numFmtId="3" fontId="10" fillId="0" borderId="0" xfId="101" applyNumberFormat="1" applyFont="1" applyFill="1" applyBorder="1" applyAlignment="1">
      <alignment horizontal="center" vertical="center"/>
      <protection/>
    </xf>
    <xf numFmtId="3" fontId="4" fillId="0" borderId="0" xfId="101" applyNumberFormat="1" applyFont="1" applyFill="1" applyBorder="1" applyAlignment="1">
      <alignment horizontal="right"/>
      <protection/>
    </xf>
    <xf numFmtId="3" fontId="4" fillId="0" borderId="0" xfId="102" applyNumberFormat="1" applyFont="1" applyFill="1" applyBorder="1" applyAlignment="1">
      <alignment horizontal="right"/>
      <protection/>
    </xf>
    <xf numFmtId="3" fontId="2" fillId="0" borderId="98" xfId="90" applyNumberFormat="1" applyFont="1" applyFill="1" applyBorder="1" applyAlignment="1">
      <alignment horizontal="right" wrapText="1"/>
      <protection/>
    </xf>
    <xf numFmtId="3" fontId="2" fillId="0" borderId="91" xfId="91" applyNumberFormat="1" applyFont="1" applyFill="1" applyBorder="1" applyAlignment="1">
      <alignment horizontal="left"/>
      <protection/>
    </xf>
    <xf numFmtId="3" fontId="2" fillId="0" borderId="0" xfId="87" applyNumberFormat="1" applyFont="1" applyFill="1" applyBorder="1" applyAlignment="1">
      <alignment wrapText="1"/>
      <protection/>
    </xf>
    <xf numFmtId="0" fontId="10" fillId="0" borderId="0" xfId="0" applyFont="1" applyFill="1" applyBorder="1" applyAlignment="1">
      <alignment horizontal="center"/>
    </xf>
    <xf numFmtId="0" fontId="10" fillId="0" borderId="0" xfId="0" applyFont="1" applyFill="1" applyAlignment="1">
      <alignment/>
    </xf>
    <xf numFmtId="0" fontId="6" fillId="0" borderId="47" xfId="0" applyFont="1" applyFill="1" applyBorder="1" applyAlignment="1">
      <alignment horizontal="center"/>
    </xf>
    <xf numFmtId="3" fontId="6" fillId="0" borderId="47" xfId="0" applyNumberFormat="1" applyFont="1" applyFill="1" applyBorder="1" applyAlignment="1">
      <alignment horizontal="center"/>
    </xf>
    <xf numFmtId="0" fontId="6" fillId="0" borderId="0" xfId="0" applyFont="1" applyFill="1" applyAlignment="1">
      <alignment/>
    </xf>
    <xf numFmtId="3" fontId="13" fillId="0" borderId="18" xfId="0" applyNumberFormat="1" applyFont="1" applyFill="1" applyBorder="1" applyAlignment="1">
      <alignment vertical="center"/>
    </xf>
    <xf numFmtId="3" fontId="13" fillId="0" borderId="83" xfId="0" applyNumberFormat="1" applyFont="1" applyFill="1" applyBorder="1" applyAlignment="1">
      <alignment vertical="center"/>
    </xf>
    <xf numFmtId="3" fontId="86" fillId="0" borderId="19" xfId="0" applyNumberFormat="1" applyFont="1" applyFill="1" applyBorder="1" applyAlignment="1">
      <alignment horizontal="center" vertical="center"/>
    </xf>
    <xf numFmtId="3" fontId="86" fillId="0" borderId="20" xfId="0" applyNumberFormat="1" applyFont="1" applyFill="1" applyBorder="1" applyAlignment="1">
      <alignment horizontal="center"/>
    </xf>
    <xf numFmtId="3" fontId="86" fillId="0" borderId="91" xfId="0" applyNumberFormat="1" applyFont="1" applyFill="1" applyBorder="1" applyAlignment="1">
      <alignment horizontal="center"/>
    </xf>
    <xf numFmtId="3" fontId="86" fillId="0" borderId="80" xfId="96" applyNumberFormat="1" applyFont="1" applyFill="1" applyBorder="1" applyAlignment="1">
      <alignment/>
      <protection/>
    </xf>
    <xf numFmtId="3" fontId="86" fillId="0" borderId="20" xfId="0" applyNumberFormat="1" applyFont="1" applyFill="1" applyBorder="1" applyAlignment="1">
      <alignment/>
    </xf>
    <xf numFmtId="3" fontId="87" fillId="0" borderId="20" xfId="0" applyNumberFormat="1" applyFont="1" applyFill="1" applyBorder="1" applyAlignment="1">
      <alignment/>
    </xf>
    <xf numFmtId="3" fontId="86" fillId="0" borderId="21" xfId="0" applyNumberFormat="1" applyFont="1" applyFill="1" applyBorder="1" applyAlignment="1">
      <alignment/>
    </xf>
    <xf numFmtId="3" fontId="86" fillId="0" borderId="0" xfId="0" applyNumberFormat="1" applyFont="1" applyFill="1" applyAlignment="1">
      <alignment vertical="center"/>
    </xf>
    <xf numFmtId="0" fontId="88" fillId="0" borderId="0" xfId="0" applyFont="1" applyFill="1" applyAlignment="1">
      <alignment/>
    </xf>
    <xf numFmtId="3" fontId="86" fillId="0" borderId="0" xfId="0" applyNumberFormat="1" applyFont="1" applyFill="1" applyAlignment="1">
      <alignment vertical="top"/>
    </xf>
    <xf numFmtId="3" fontId="86" fillId="0" borderId="0" xfId="0" applyNumberFormat="1" applyFont="1" applyFill="1" applyAlignment="1">
      <alignment/>
    </xf>
    <xf numFmtId="3" fontId="87" fillId="0" borderId="0" xfId="0" applyNumberFormat="1" applyFont="1" applyFill="1" applyAlignment="1">
      <alignment vertical="top"/>
    </xf>
    <xf numFmtId="3" fontId="86" fillId="0" borderId="19" xfId="0" applyNumberFormat="1" applyFont="1" applyFill="1" applyBorder="1" applyAlignment="1">
      <alignment horizontal="center" vertical="top"/>
    </xf>
    <xf numFmtId="3" fontId="86" fillId="0" borderId="99" xfId="0" applyNumberFormat="1" applyFont="1" applyFill="1" applyBorder="1" applyAlignment="1">
      <alignment horizontal="center"/>
    </xf>
    <xf numFmtId="3" fontId="86" fillId="0" borderId="100" xfId="0" applyNumberFormat="1" applyFont="1" applyFill="1" applyBorder="1" applyAlignment="1">
      <alignment horizontal="center"/>
    </xf>
    <xf numFmtId="3" fontId="86" fillId="0" borderId="101" xfId="96" applyNumberFormat="1" applyFont="1" applyFill="1" applyBorder="1" applyAlignment="1">
      <alignment horizontal="left"/>
      <protection/>
    </xf>
    <xf numFmtId="3" fontId="86" fillId="0" borderId="99" xfId="0" applyNumberFormat="1" applyFont="1" applyFill="1" applyBorder="1" applyAlignment="1">
      <alignment vertical="top"/>
    </xf>
    <xf numFmtId="3" fontId="86" fillId="0" borderId="102" xfId="0" applyNumberFormat="1" applyFont="1" applyFill="1" applyBorder="1" applyAlignment="1">
      <alignment vertical="top"/>
    </xf>
    <xf numFmtId="3" fontId="86" fillId="0" borderId="21" xfId="0" applyNumberFormat="1" applyFont="1" applyFill="1" applyBorder="1" applyAlignment="1">
      <alignment vertical="center"/>
    </xf>
    <xf numFmtId="3" fontId="86" fillId="0" borderId="102" xfId="0" applyNumberFormat="1" applyFont="1" applyFill="1" applyBorder="1" applyAlignment="1">
      <alignment vertical="center"/>
    </xf>
    <xf numFmtId="3" fontId="86" fillId="0" borderId="20" xfId="0" applyNumberFormat="1" applyFont="1" applyFill="1" applyBorder="1" applyAlignment="1">
      <alignment vertical="center"/>
    </xf>
    <xf numFmtId="3" fontId="87" fillId="0" borderId="20" xfId="0" applyNumberFormat="1" applyFont="1" applyFill="1" applyBorder="1" applyAlignment="1">
      <alignment vertical="center"/>
    </xf>
    <xf numFmtId="3" fontId="87" fillId="0" borderId="0" xfId="0" applyNumberFormat="1" applyFont="1" applyFill="1" applyAlignment="1">
      <alignment vertical="center"/>
    </xf>
    <xf numFmtId="0" fontId="89" fillId="0" borderId="0" xfId="0" applyFont="1" applyFill="1" applyAlignment="1">
      <alignment/>
    </xf>
    <xf numFmtId="3" fontId="86" fillId="0" borderId="101" xfId="96" applyNumberFormat="1" applyFont="1" applyFill="1" applyBorder="1" applyAlignment="1">
      <alignment/>
      <protection/>
    </xf>
    <xf numFmtId="3" fontId="86" fillId="0" borderId="99" xfId="0" applyNumberFormat="1" applyFont="1" applyFill="1" applyBorder="1" applyAlignment="1">
      <alignment vertical="center"/>
    </xf>
    <xf numFmtId="3" fontId="10" fillId="0" borderId="35" xfId="0" applyNumberFormat="1" applyFont="1" applyFill="1" applyBorder="1" applyAlignment="1">
      <alignment vertical="center"/>
    </xf>
    <xf numFmtId="3" fontId="13" fillId="0" borderId="36" xfId="0" applyNumberFormat="1" applyFont="1" applyFill="1" applyBorder="1" applyAlignment="1">
      <alignment vertical="center"/>
    </xf>
    <xf numFmtId="3" fontId="16" fillId="0" borderId="35" xfId="0" applyNumberFormat="1" applyFont="1" applyFill="1" applyBorder="1" applyAlignment="1">
      <alignment vertical="center"/>
    </xf>
    <xf numFmtId="3" fontId="86" fillId="0" borderId="50" xfId="0" applyNumberFormat="1" applyFont="1" applyFill="1" applyBorder="1" applyAlignment="1">
      <alignment horizontal="center" vertical="center"/>
    </xf>
    <xf numFmtId="3" fontId="86" fillId="0" borderId="99" xfId="96" applyNumberFormat="1" applyFont="1" applyFill="1" applyBorder="1" applyAlignment="1">
      <alignment/>
      <protection/>
    </xf>
    <xf numFmtId="3" fontId="86" fillId="0" borderId="99" xfId="96" applyNumberFormat="1" applyFont="1" applyFill="1" applyBorder="1" applyAlignment="1">
      <alignment horizontal="left"/>
      <protection/>
    </xf>
    <xf numFmtId="3" fontId="86" fillId="0" borderId="80" xfId="0" applyNumberFormat="1" applyFont="1" applyFill="1" applyBorder="1" applyAlignment="1">
      <alignment horizontal="center" vertical="center"/>
    </xf>
    <xf numFmtId="3" fontId="86" fillId="0" borderId="20" xfId="96" applyNumberFormat="1" applyFont="1" applyFill="1" applyBorder="1" applyAlignment="1">
      <alignment/>
      <protection/>
    </xf>
    <xf numFmtId="3" fontId="86" fillId="0" borderId="33" xfId="0" applyNumberFormat="1" applyFont="1" applyFill="1" applyBorder="1" applyAlignment="1">
      <alignment vertical="center"/>
    </xf>
    <xf numFmtId="3" fontId="86" fillId="0" borderId="34" xfId="0" applyNumberFormat="1" applyFont="1" applyFill="1" applyBorder="1" applyAlignment="1">
      <alignment/>
    </xf>
    <xf numFmtId="3" fontId="86" fillId="0" borderId="20" xfId="0" applyNumberFormat="1" applyFont="1" applyFill="1" applyBorder="1" applyAlignment="1">
      <alignment horizontal="right"/>
    </xf>
    <xf numFmtId="3" fontId="86" fillId="0" borderId="21" xfId="0" applyNumberFormat="1" applyFont="1" applyFill="1" applyBorder="1" applyAlignment="1">
      <alignment horizontal="right"/>
    </xf>
    <xf numFmtId="3" fontId="86" fillId="0" borderId="0" xfId="0" applyNumberFormat="1" applyFont="1" applyFill="1" applyBorder="1" applyAlignment="1">
      <alignment horizontal="right" vertical="center"/>
    </xf>
    <xf numFmtId="3" fontId="86" fillId="0" borderId="0" xfId="0" applyNumberFormat="1" applyFont="1" applyFill="1" applyBorder="1" applyAlignment="1">
      <alignment vertical="center"/>
    </xf>
    <xf numFmtId="3" fontId="86" fillId="0" borderId="0" xfId="0" applyNumberFormat="1" applyFont="1" applyFill="1" applyBorder="1" applyAlignment="1">
      <alignment horizontal="right"/>
    </xf>
    <xf numFmtId="3" fontId="86" fillId="0" borderId="0" xfId="0" applyNumberFormat="1" applyFont="1" applyFill="1" applyBorder="1" applyAlignment="1">
      <alignment/>
    </xf>
    <xf numFmtId="3" fontId="86" fillId="0" borderId="101" xfId="0" applyNumberFormat="1" applyFont="1" applyFill="1" applyBorder="1" applyAlignment="1">
      <alignment horizontal="center" vertical="center"/>
    </xf>
    <xf numFmtId="3" fontId="86" fillId="0" borderId="103" xfId="0" applyNumberFormat="1" applyFont="1" applyFill="1" applyBorder="1" applyAlignment="1">
      <alignment vertical="center"/>
    </xf>
    <xf numFmtId="3" fontId="86" fillId="0" borderId="104" xfId="0" applyNumberFormat="1" applyFont="1" applyFill="1" applyBorder="1" applyAlignment="1">
      <alignment/>
    </xf>
    <xf numFmtId="3" fontId="86" fillId="0" borderId="99" xfId="0" applyNumberFormat="1" applyFont="1" applyFill="1" applyBorder="1" applyAlignment="1">
      <alignment horizontal="right"/>
    </xf>
    <xf numFmtId="3" fontId="86" fillId="0" borderId="102" xfId="0" applyNumberFormat="1" applyFont="1" applyFill="1" applyBorder="1" applyAlignment="1">
      <alignment horizontal="right"/>
    </xf>
    <xf numFmtId="3" fontId="86" fillId="0" borderId="0" xfId="0" applyNumberFormat="1" applyFont="1" applyFill="1" applyAlignment="1">
      <alignment horizontal="right"/>
    </xf>
    <xf numFmtId="3" fontId="87" fillId="0" borderId="0" xfId="0" applyNumberFormat="1" applyFont="1" applyFill="1" applyBorder="1" applyAlignment="1">
      <alignment horizontal="right" vertical="center"/>
    </xf>
    <xf numFmtId="3" fontId="87" fillId="0" borderId="0" xfId="0" applyNumberFormat="1" applyFont="1" applyFill="1" applyBorder="1" applyAlignment="1">
      <alignment vertical="center"/>
    </xf>
    <xf numFmtId="3" fontId="13" fillId="0" borderId="37" xfId="0" applyNumberFormat="1" applyFont="1" applyFill="1" applyBorder="1" applyAlignment="1">
      <alignment vertical="center"/>
    </xf>
    <xf numFmtId="3" fontId="13" fillId="0" borderId="18" xfId="96" applyNumberFormat="1" applyFont="1" applyFill="1" applyBorder="1" applyAlignment="1">
      <alignment horizontal="center" vertical="center"/>
      <protection/>
    </xf>
    <xf numFmtId="3" fontId="10" fillId="0" borderId="35" xfId="96" applyNumberFormat="1" applyFont="1" applyFill="1" applyBorder="1" applyAlignment="1">
      <alignment horizontal="center" vertical="center"/>
      <protection/>
    </xf>
    <xf numFmtId="3" fontId="16" fillId="0" borderId="37" xfId="0" applyNumberFormat="1" applyFont="1" applyFill="1" applyBorder="1" applyAlignment="1">
      <alignment vertical="center"/>
    </xf>
    <xf numFmtId="3" fontId="16" fillId="0" borderId="36" xfId="0" applyNumberFormat="1" applyFont="1" applyFill="1" applyBorder="1" applyAlignment="1">
      <alignment vertical="center"/>
    </xf>
    <xf numFmtId="3" fontId="86" fillId="0" borderId="20" xfId="0" applyNumberFormat="1" applyFont="1" applyFill="1" applyBorder="1" applyAlignment="1">
      <alignment horizontal="right" vertical="center"/>
    </xf>
    <xf numFmtId="3" fontId="86" fillId="0" borderId="21" xfId="0" applyNumberFormat="1" applyFont="1" applyFill="1" applyBorder="1" applyAlignment="1">
      <alignment horizontal="right" vertical="center"/>
    </xf>
    <xf numFmtId="3" fontId="86" fillId="0" borderId="33" xfId="96" applyNumberFormat="1" applyFont="1" applyFill="1" applyBorder="1" applyAlignment="1">
      <alignment/>
      <protection/>
    </xf>
    <xf numFmtId="3" fontId="86" fillId="0" borderId="20" xfId="96" applyNumberFormat="1" applyFont="1" applyFill="1" applyBorder="1" applyAlignment="1">
      <alignment horizontal="center"/>
      <protection/>
    </xf>
    <xf numFmtId="3" fontId="86" fillId="0" borderId="0" xfId="0" applyNumberFormat="1" applyFont="1" applyFill="1" applyAlignment="1">
      <alignment horizontal="right" vertical="center"/>
    </xf>
    <xf numFmtId="3" fontId="87" fillId="0" borderId="19" xfId="0" applyNumberFormat="1" applyFont="1" applyFill="1" applyBorder="1" applyAlignment="1">
      <alignment horizontal="left" vertical="center" wrapText="1"/>
    </xf>
    <xf numFmtId="3" fontId="87" fillId="0" borderId="80" xfId="0" applyNumberFormat="1" applyFont="1" applyFill="1" applyBorder="1" applyAlignment="1">
      <alignment horizontal="left" vertical="center" wrapText="1"/>
    </xf>
    <xf numFmtId="3" fontId="87" fillId="0" borderId="20" xfId="0" applyNumberFormat="1" applyFont="1" applyFill="1" applyBorder="1" applyAlignment="1">
      <alignment horizontal="left" vertical="center" wrapText="1"/>
    </xf>
    <xf numFmtId="3" fontId="87" fillId="0" borderId="20" xfId="0" applyNumberFormat="1" applyFont="1" applyFill="1" applyBorder="1" applyAlignment="1">
      <alignment horizontal="right" vertical="center"/>
    </xf>
    <xf numFmtId="3" fontId="86" fillId="0" borderId="34" xfId="0" applyNumberFormat="1" applyFont="1" applyFill="1" applyBorder="1" applyAlignment="1">
      <alignment horizontal="right" vertical="center"/>
    </xf>
    <xf numFmtId="3" fontId="86" fillId="0" borderId="0" xfId="0" applyNumberFormat="1" applyFont="1" applyFill="1" applyAlignment="1">
      <alignment/>
    </xf>
    <xf numFmtId="3" fontId="6" fillId="0" borderId="0" xfId="0" applyNumberFormat="1" applyFont="1" applyFill="1" applyAlignment="1">
      <alignment horizontal="center"/>
    </xf>
    <xf numFmtId="3" fontId="10" fillId="0" borderId="78" xfId="0" applyNumberFormat="1" applyFont="1" applyFill="1" applyBorder="1" applyAlignment="1">
      <alignment/>
    </xf>
    <xf numFmtId="3" fontId="12" fillId="0" borderId="0" xfId="0" applyNumberFormat="1" applyFont="1" applyFill="1" applyAlignment="1">
      <alignment/>
    </xf>
    <xf numFmtId="3" fontId="6" fillId="0" borderId="0" xfId="0" applyNumberFormat="1" applyFont="1" applyFill="1" applyBorder="1" applyAlignment="1">
      <alignment/>
    </xf>
    <xf numFmtId="3" fontId="6" fillId="0" borderId="78" xfId="0" applyNumberFormat="1" applyFont="1" applyFill="1" applyBorder="1" applyAlignment="1">
      <alignment/>
    </xf>
    <xf numFmtId="3" fontId="10" fillId="0" borderId="33" xfId="96" applyNumberFormat="1" applyFont="1" applyFill="1" applyBorder="1" applyAlignment="1">
      <alignment wrapText="1"/>
      <protection/>
    </xf>
    <xf numFmtId="3" fontId="6" fillId="0" borderId="0" xfId="87" applyNumberFormat="1" applyFont="1" applyFill="1" applyAlignment="1">
      <alignment horizontal="center" vertical="center"/>
      <protection/>
    </xf>
    <xf numFmtId="3" fontId="6" fillId="0" borderId="0" xfId="87" applyNumberFormat="1" applyFont="1" applyFill="1" applyAlignment="1">
      <alignment horizontal="center"/>
      <protection/>
    </xf>
    <xf numFmtId="3" fontId="11" fillId="0" borderId="0" xfId="87" applyNumberFormat="1" applyFont="1" applyFill="1" applyAlignment="1">
      <alignment horizontal="center" vertical="center"/>
      <protection/>
    </xf>
    <xf numFmtId="3" fontId="10" fillId="0" borderId="0" xfId="88" applyNumberFormat="1" applyFont="1" applyFill="1" applyAlignment="1">
      <alignment horizontal="right"/>
      <protection/>
    </xf>
    <xf numFmtId="3" fontId="2" fillId="0" borderId="0" xfId="101" applyNumberFormat="1" applyFont="1" applyFill="1" applyBorder="1" applyAlignment="1">
      <alignment horizontal="right"/>
      <protection/>
    </xf>
    <xf numFmtId="0" fontId="2" fillId="0" borderId="0" xfId="101" applyFont="1" applyFill="1" applyBorder="1" applyAlignment="1">
      <alignment horizontal="center"/>
      <protection/>
    </xf>
    <xf numFmtId="0" fontId="2" fillId="0" borderId="0" xfId="101" applyFont="1" applyFill="1" applyBorder="1" applyProtection="1">
      <alignment/>
      <protection locked="0"/>
    </xf>
    <xf numFmtId="0" fontId="2" fillId="0" borderId="0" xfId="101" applyFont="1" applyFill="1" applyBorder="1" applyAlignment="1" applyProtection="1">
      <alignment horizontal="center" vertical="center"/>
      <protection locked="0"/>
    </xf>
    <xf numFmtId="0" fontId="10" fillId="0" borderId="0" xfId="101" applyFont="1" applyFill="1" applyBorder="1" applyAlignment="1" applyProtection="1">
      <alignment horizontal="center" vertical="center"/>
      <protection locked="0"/>
    </xf>
    <xf numFmtId="0" fontId="10" fillId="0" borderId="0" xfId="101" applyFont="1" applyFill="1" applyBorder="1" applyAlignment="1" applyProtection="1">
      <alignment horizontal="center" vertical="top"/>
      <protection locked="0"/>
    </xf>
    <xf numFmtId="0" fontId="10" fillId="0" borderId="0" xfId="101" applyFont="1" applyFill="1" applyBorder="1" applyAlignment="1" applyProtection="1">
      <alignment wrapText="1"/>
      <protection locked="0"/>
    </xf>
    <xf numFmtId="3" fontId="10" fillId="0" borderId="0" xfId="101" applyNumberFormat="1" applyFont="1" applyFill="1" applyBorder="1" applyAlignment="1" applyProtection="1">
      <alignment horizontal="center" vertical="center" wrapText="1"/>
      <protection locked="0"/>
    </xf>
    <xf numFmtId="3" fontId="10" fillId="0" borderId="0" xfId="101" applyNumberFormat="1" applyFont="1" applyFill="1" applyBorder="1" applyAlignment="1" applyProtection="1">
      <alignment horizontal="right"/>
      <protection locked="0"/>
    </xf>
    <xf numFmtId="0" fontId="10" fillId="0" borderId="0" xfId="101" applyFont="1" applyFill="1" applyBorder="1" applyProtection="1">
      <alignment/>
      <protection locked="0"/>
    </xf>
    <xf numFmtId="0" fontId="6" fillId="0" borderId="0" xfId="101" applyFont="1" applyFill="1" applyBorder="1" applyAlignment="1" applyProtection="1">
      <alignment horizontal="center"/>
      <protection locked="0"/>
    </xf>
    <xf numFmtId="0" fontId="6" fillId="0" borderId="0" xfId="102" applyFont="1" applyFill="1" applyBorder="1" applyAlignment="1" applyProtection="1">
      <alignment horizontal="center" wrapText="1"/>
      <protection locked="0"/>
    </xf>
    <xf numFmtId="3" fontId="6" fillId="0" borderId="0" xfId="102" applyNumberFormat="1" applyFont="1" applyFill="1" applyBorder="1" applyAlignment="1" applyProtection="1">
      <alignment horizontal="center"/>
      <protection locked="0"/>
    </xf>
    <xf numFmtId="0" fontId="6" fillId="0" borderId="0" xfId="0" applyFont="1" applyFill="1" applyAlignment="1" applyProtection="1">
      <alignment/>
      <protection locked="0"/>
    </xf>
    <xf numFmtId="0" fontId="6" fillId="0" borderId="0" xfId="101" applyFont="1" applyFill="1" applyBorder="1" applyAlignment="1" applyProtection="1">
      <alignment horizontal="center" vertical="center"/>
      <protection locked="0"/>
    </xf>
    <xf numFmtId="3" fontId="10" fillId="0" borderId="0" xfId="101" applyNumberFormat="1" applyFont="1" applyFill="1" applyBorder="1" applyAlignment="1" applyProtection="1">
      <alignment horizontal="center" vertical="center"/>
      <protection locked="0"/>
    </xf>
    <xf numFmtId="0" fontId="10" fillId="0" borderId="23" xfId="102" applyFont="1" applyFill="1" applyBorder="1" applyAlignment="1" applyProtection="1">
      <alignment horizontal="center"/>
      <protection locked="0"/>
    </xf>
    <xf numFmtId="3" fontId="25" fillId="0" borderId="22" xfId="96" applyNumberFormat="1" applyFont="1" applyFill="1" applyBorder="1" applyAlignment="1" applyProtection="1">
      <alignment horizontal="left"/>
      <protection locked="0"/>
    </xf>
    <xf numFmtId="0" fontId="10" fillId="0" borderId="22" xfId="102" applyFont="1" applyFill="1" applyBorder="1" applyAlignment="1" applyProtection="1">
      <alignment horizontal="center"/>
      <protection locked="0"/>
    </xf>
    <xf numFmtId="0" fontId="25" fillId="0" borderId="22" xfId="101" applyFont="1" applyFill="1" applyBorder="1" applyAlignment="1" applyProtection="1">
      <alignment horizontal="left" wrapText="1"/>
      <protection locked="0"/>
    </xf>
    <xf numFmtId="0" fontId="10" fillId="0" borderId="0" xfId="101" applyFont="1" applyFill="1" applyBorder="1" applyAlignment="1" applyProtection="1">
      <alignment horizontal="left"/>
      <protection locked="0"/>
    </xf>
    <xf numFmtId="3" fontId="10" fillId="0" borderId="20" xfId="96" applyNumberFormat="1" applyFont="1" applyFill="1" applyBorder="1" applyAlignment="1" applyProtection="1">
      <alignment horizontal="center"/>
      <protection locked="0"/>
    </xf>
    <xf numFmtId="0" fontId="10" fillId="0" borderId="0" xfId="101" applyFont="1" applyFill="1" applyBorder="1" applyAlignment="1" applyProtection="1">
      <alignment/>
      <protection locked="0"/>
    </xf>
    <xf numFmtId="0" fontId="16" fillId="0" borderId="20" xfId="101" applyFont="1" applyFill="1" applyBorder="1" applyAlignment="1" applyProtection="1">
      <alignment/>
      <protection locked="0"/>
    </xf>
    <xf numFmtId="0" fontId="16" fillId="0" borderId="22" xfId="102" applyFont="1" applyFill="1" applyBorder="1" applyAlignment="1" applyProtection="1">
      <alignment horizontal="left"/>
      <protection locked="0"/>
    </xf>
    <xf numFmtId="3" fontId="25" fillId="0" borderId="20" xfId="96" applyNumberFormat="1" applyFont="1" applyFill="1" applyBorder="1" applyAlignment="1" applyProtection="1">
      <alignment horizontal="left"/>
      <protection locked="0"/>
    </xf>
    <xf numFmtId="0" fontId="16" fillId="0" borderId="20" xfId="101" applyFont="1" applyFill="1" applyBorder="1" applyAlignment="1" applyProtection="1">
      <alignment horizontal="left"/>
      <protection locked="0"/>
    </xf>
    <xf numFmtId="0" fontId="13" fillId="0" borderId="20" xfId="101" applyFont="1" applyFill="1" applyBorder="1" applyAlignment="1" applyProtection="1">
      <alignment wrapText="1"/>
      <protection locked="0"/>
    </xf>
    <xf numFmtId="0" fontId="10" fillId="0" borderId="20" xfId="101" applyFont="1" applyFill="1" applyBorder="1" applyAlignment="1" applyProtection="1">
      <alignment horizontal="left" wrapText="1"/>
      <protection locked="0"/>
    </xf>
    <xf numFmtId="3" fontId="10" fillId="0" borderId="20" xfId="96" applyNumberFormat="1" applyFont="1" applyFill="1" applyBorder="1" applyAlignment="1" applyProtection="1">
      <alignment horizontal="center" vertical="top"/>
      <protection locked="0"/>
    </xf>
    <xf numFmtId="3" fontId="25" fillId="0" borderId="22" xfId="0" applyNumberFormat="1" applyFont="1" applyFill="1" applyBorder="1" applyAlignment="1" applyProtection="1">
      <alignment horizontal="left"/>
      <protection locked="0"/>
    </xf>
    <xf numFmtId="0" fontId="13" fillId="0" borderId="0" xfId="101" applyFont="1" applyFill="1" applyBorder="1" applyAlignment="1" applyProtection="1">
      <alignment horizontal="left" vertical="center"/>
      <protection locked="0"/>
    </xf>
    <xf numFmtId="3" fontId="25" fillId="0" borderId="48" xfId="0" applyNumberFormat="1" applyFont="1" applyFill="1" applyBorder="1" applyAlignment="1" applyProtection="1">
      <alignment horizontal="left"/>
      <protection locked="0"/>
    </xf>
    <xf numFmtId="0" fontId="10" fillId="0" borderId="22" xfId="102" applyFont="1" applyFill="1" applyBorder="1" applyAlignment="1" applyProtection="1">
      <alignment horizontal="center" vertical="top"/>
      <protection locked="0"/>
    </xf>
    <xf numFmtId="3" fontId="10" fillId="0" borderId="0" xfId="102" applyNumberFormat="1" applyFont="1" applyFill="1" applyBorder="1" applyAlignment="1" applyProtection="1">
      <alignment horizontal="right"/>
      <protection locked="0"/>
    </xf>
    <xf numFmtId="3" fontId="10" fillId="0" borderId="0" xfId="101" applyNumberFormat="1" applyFont="1" applyFill="1" applyBorder="1" applyAlignment="1" applyProtection="1">
      <alignment horizontal="right" vertical="center"/>
      <protection locked="0"/>
    </xf>
    <xf numFmtId="3" fontId="10" fillId="0" borderId="22" xfId="88" applyNumberFormat="1" applyFont="1" applyFill="1" applyBorder="1" applyAlignment="1">
      <alignment horizontal="center"/>
      <protection/>
    </xf>
    <xf numFmtId="3" fontId="10" fillId="0" borderId="105" xfId="0" applyNumberFormat="1" applyFont="1" applyFill="1" applyBorder="1" applyAlignment="1">
      <alignment horizontal="center" vertical="center" wrapText="1"/>
    </xf>
    <xf numFmtId="1" fontId="10" fillId="0" borderId="0" xfId="88" applyNumberFormat="1" applyFont="1" applyFill="1" applyBorder="1" applyAlignment="1">
      <alignment horizontal="center" vertical="center"/>
      <protection/>
    </xf>
    <xf numFmtId="1" fontId="2" fillId="0" borderId="0" xfId="88" applyNumberFormat="1" applyFont="1" applyFill="1" applyBorder="1" applyAlignment="1">
      <alignment horizontal="center" vertical="center"/>
      <protection/>
    </xf>
    <xf numFmtId="3" fontId="10" fillId="0" borderId="0" xfId="88" applyNumberFormat="1" applyFont="1" applyFill="1" applyAlignment="1">
      <alignment horizontal="center"/>
      <protection/>
    </xf>
    <xf numFmtId="3" fontId="10" fillId="0" borderId="0" xfId="88" applyNumberFormat="1" applyFont="1" applyFill="1" applyAlignment="1">
      <alignment horizontal="center" vertical="top"/>
      <protection/>
    </xf>
    <xf numFmtId="0" fontId="13" fillId="0" borderId="0" xfId="88" applyFont="1" applyFill="1" applyBorder="1" applyAlignment="1">
      <alignment vertical="top" wrapText="1"/>
      <protection/>
    </xf>
    <xf numFmtId="0" fontId="10" fillId="0" borderId="0" xfId="88" applyFont="1" applyFill="1" applyBorder="1" applyAlignment="1">
      <alignment horizontal="center"/>
      <protection/>
    </xf>
    <xf numFmtId="3" fontId="13" fillId="0" borderId="0" xfId="88" applyNumberFormat="1" applyFont="1" applyFill="1" applyAlignment="1">
      <alignment/>
      <protection/>
    </xf>
    <xf numFmtId="1" fontId="6" fillId="0" borderId="0" xfId="88" applyNumberFormat="1" applyFont="1" applyFill="1" applyBorder="1" applyAlignment="1">
      <alignment horizontal="center" vertical="center"/>
      <protection/>
    </xf>
    <xf numFmtId="3" fontId="6" fillId="0" borderId="0" xfId="88" applyNumberFormat="1" applyFont="1" applyFill="1" applyBorder="1" applyAlignment="1">
      <alignment horizontal="center" vertical="center"/>
      <protection/>
    </xf>
    <xf numFmtId="3" fontId="6" fillId="0" borderId="0" xfId="88" applyNumberFormat="1" applyFont="1" applyFill="1" applyBorder="1" applyAlignment="1">
      <alignment horizontal="center" vertical="center" wrapText="1"/>
      <protection/>
    </xf>
    <xf numFmtId="3" fontId="6" fillId="0" borderId="0" xfId="88" applyNumberFormat="1" applyFont="1" applyFill="1" applyBorder="1" applyAlignment="1">
      <alignment horizontal="center"/>
      <protection/>
    </xf>
    <xf numFmtId="3" fontId="10" fillId="0" borderId="106" xfId="88" applyNumberFormat="1" applyFont="1" applyFill="1" applyBorder="1" applyAlignment="1">
      <alignment horizontal="center"/>
      <protection/>
    </xf>
    <xf numFmtId="3" fontId="25" fillId="0" borderId="35" xfId="88" applyNumberFormat="1" applyFont="1" applyFill="1" applyBorder="1" applyAlignment="1">
      <alignment horizontal="left"/>
      <protection/>
    </xf>
    <xf numFmtId="0" fontId="13" fillId="0" borderId="35" xfId="88" applyFont="1" applyFill="1" applyBorder="1" applyAlignment="1">
      <alignment horizontal="center" vertical="center" wrapText="1"/>
      <protection/>
    </xf>
    <xf numFmtId="3" fontId="10" fillId="0" borderId="35" xfId="88" applyNumberFormat="1" applyFont="1" applyFill="1" applyBorder="1" applyAlignment="1">
      <alignment horizontal="center" vertical="center" wrapText="1"/>
      <protection/>
    </xf>
    <xf numFmtId="3" fontId="13" fillId="0" borderId="35" xfId="88" applyNumberFormat="1" applyFont="1" applyFill="1" applyBorder="1" applyAlignment="1">
      <alignment horizontal="center" vertical="center" wrapText="1"/>
      <protection/>
    </xf>
    <xf numFmtId="3" fontId="10" fillId="0" borderId="35" xfId="0" applyNumberFormat="1" applyFont="1" applyFill="1" applyBorder="1" applyAlignment="1">
      <alignment horizontal="center" vertical="center" wrapText="1"/>
    </xf>
    <xf numFmtId="3" fontId="10" fillId="0" borderId="36" xfId="0" applyNumberFormat="1" applyFont="1" applyFill="1" applyBorder="1" applyAlignment="1">
      <alignment horizontal="center" vertical="center" wrapText="1"/>
    </xf>
    <xf numFmtId="0" fontId="10" fillId="0" borderId="107" xfId="0" applyFont="1" applyFill="1" applyBorder="1" applyAlignment="1">
      <alignment horizontal="center" vertical="center" textRotation="90" wrapText="1"/>
    </xf>
    <xf numFmtId="0" fontId="10" fillId="0" borderId="23" xfId="101" applyFont="1" applyFill="1" applyBorder="1" applyAlignment="1">
      <alignment horizontal="center"/>
      <protection/>
    </xf>
    <xf numFmtId="3" fontId="10" fillId="0" borderId="47" xfId="101" applyNumberFormat="1" applyFont="1" applyFill="1" applyBorder="1" applyAlignment="1">
      <alignment horizontal="center" vertical="center" wrapText="1"/>
      <protection/>
    </xf>
    <xf numFmtId="3" fontId="10" fillId="0" borderId="107" xfId="90" applyNumberFormat="1" applyFont="1" applyFill="1" applyBorder="1" applyAlignment="1">
      <alignment horizontal="right" vertical="center" wrapText="1"/>
      <protection/>
    </xf>
    <xf numFmtId="3" fontId="10" fillId="0" borderId="80" xfId="90" applyNumberFormat="1" applyFont="1" applyFill="1" applyBorder="1" applyAlignment="1">
      <alignment horizontal="right" vertical="center" wrapText="1"/>
      <protection/>
    </xf>
    <xf numFmtId="3" fontId="10" fillId="0" borderId="80" xfId="101" applyNumberFormat="1" applyFont="1" applyFill="1" applyBorder="1" applyAlignment="1">
      <alignment horizontal="right" vertical="center"/>
      <protection/>
    </xf>
    <xf numFmtId="3" fontId="10" fillId="0" borderId="0" xfId="101" applyNumberFormat="1" applyFont="1" applyFill="1" applyBorder="1" applyAlignment="1" applyProtection="1">
      <alignment/>
      <protection locked="0"/>
    </xf>
    <xf numFmtId="3" fontId="13" fillId="0" borderId="22" xfId="102" applyNumberFormat="1" applyFont="1" applyFill="1" applyBorder="1" applyAlignment="1" applyProtection="1">
      <alignment/>
      <protection locked="0"/>
    </xf>
    <xf numFmtId="3" fontId="10" fillId="0" borderId="22" xfId="101" applyNumberFormat="1" applyFont="1" applyFill="1" applyBorder="1" applyAlignment="1" applyProtection="1">
      <alignment/>
      <protection locked="0"/>
    </xf>
    <xf numFmtId="3" fontId="10" fillId="0" borderId="22" xfId="102" applyNumberFormat="1" applyFont="1" applyFill="1" applyBorder="1" applyAlignment="1" applyProtection="1">
      <alignment vertical="center"/>
      <protection locked="0"/>
    </xf>
    <xf numFmtId="3" fontId="10" fillId="0" borderId="22" xfId="101" applyNumberFormat="1" applyFont="1" applyFill="1" applyBorder="1" applyAlignment="1" applyProtection="1">
      <alignment vertical="center"/>
      <protection locked="0"/>
    </xf>
    <xf numFmtId="3" fontId="10" fillId="0" borderId="0" xfId="102" applyNumberFormat="1" applyFont="1" applyFill="1" applyBorder="1" applyAlignment="1" applyProtection="1">
      <alignment/>
      <protection locked="0"/>
    </xf>
    <xf numFmtId="3" fontId="10" fillId="0" borderId="0" xfId="102" applyNumberFormat="1" applyFont="1" applyFill="1" applyBorder="1" applyAlignment="1" applyProtection="1">
      <alignment wrapText="1"/>
      <protection locked="0"/>
    </xf>
    <xf numFmtId="3" fontId="10" fillId="0" borderId="22" xfId="102" applyNumberFormat="1" applyFont="1" applyFill="1" applyBorder="1" applyAlignment="1" applyProtection="1">
      <alignment/>
      <protection locked="0"/>
    </xf>
    <xf numFmtId="0" fontId="13" fillId="0" borderId="108" xfId="102" applyFont="1" applyFill="1" applyBorder="1" applyAlignment="1" applyProtection="1">
      <alignment horizontal="center" vertical="center"/>
      <protection locked="0"/>
    </xf>
    <xf numFmtId="3" fontId="13" fillId="0" borderId="108" xfId="102" applyNumberFormat="1" applyFont="1" applyFill="1" applyBorder="1" applyAlignment="1" applyProtection="1">
      <alignment vertical="center"/>
      <protection locked="0"/>
    </xf>
    <xf numFmtId="3" fontId="13" fillId="0" borderId="108" xfId="101" applyNumberFormat="1" applyFont="1" applyFill="1" applyBorder="1" applyAlignment="1" applyProtection="1">
      <alignment vertical="center"/>
      <protection locked="0"/>
    </xf>
    <xf numFmtId="0" fontId="13" fillId="0" borderId="109" xfId="102" applyFont="1" applyFill="1" applyBorder="1" applyAlignment="1" applyProtection="1">
      <alignment horizontal="center" vertical="center"/>
      <protection locked="0"/>
    </xf>
    <xf numFmtId="3" fontId="13" fillId="0" borderId="109" xfId="102" applyNumberFormat="1" applyFont="1" applyFill="1" applyBorder="1" applyAlignment="1" applyProtection="1">
      <alignment vertical="center"/>
      <protection locked="0"/>
    </xf>
    <xf numFmtId="3" fontId="13" fillId="0" borderId="109" xfId="101" applyNumberFormat="1" applyFont="1" applyFill="1" applyBorder="1" applyAlignment="1" applyProtection="1">
      <alignment vertical="center"/>
      <protection locked="0"/>
    </xf>
    <xf numFmtId="0" fontId="10" fillId="0" borderId="22" xfId="101" applyFont="1" applyFill="1" applyBorder="1" applyAlignment="1" applyProtection="1">
      <alignment horizontal="left" wrapText="1"/>
      <protection locked="0"/>
    </xf>
    <xf numFmtId="0" fontId="10" fillId="0" borderId="22" xfId="101" applyFont="1" applyFill="1" applyBorder="1" applyAlignment="1" applyProtection="1">
      <alignment horizontal="left" vertical="top" wrapText="1"/>
      <protection locked="0"/>
    </xf>
    <xf numFmtId="0" fontId="10" fillId="0" borderId="0" xfId="88" applyNumberFormat="1" applyFont="1" applyFill="1" applyBorder="1" applyAlignment="1">
      <alignment horizontal="center" vertical="center"/>
      <protection/>
    </xf>
    <xf numFmtId="0" fontId="2" fillId="0" borderId="0" xfId="88" applyNumberFormat="1" applyFont="1" applyFill="1" applyBorder="1" applyAlignment="1">
      <alignment horizontal="center" vertical="center"/>
      <protection/>
    </xf>
    <xf numFmtId="0" fontId="0" fillId="0" borderId="0" xfId="0" applyFont="1" applyFill="1" applyAlignment="1">
      <alignment/>
    </xf>
    <xf numFmtId="0" fontId="10" fillId="0" borderId="0" xfId="101" applyFont="1" applyFill="1" applyBorder="1" applyAlignment="1">
      <alignment/>
      <protection/>
    </xf>
    <xf numFmtId="3" fontId="10" fillId="0" borderId="0" xfId="101" applyNumberFormat="1" applyFont="1" applyFill="1" applyBorder="1" applyAlignment="1">
      <alignment horizontal="center" wrapText="1"/>
      <protection/>
    </xf>
    <xf numFmtId="3" fontId="13" fillId="0" borderId="0" xfId="101" applyNumberFormat="1" applyFont="1" applyFill="1" applyBorder="1" applyAlignment="1">
      <alignment horizontal="right"/>
      <protection/>
    </xf>
    <xf numFmtId="0" fontId="6" fillId="0" borderId="0" xfId="101" applyFont="1" applyFill="1" applyBorder="1" applyAlignment="1">
      <alignment horizontal="center"/>
      <protection/>
    </xf>
    <xf numFmtId="0" fontId="6" fillId="0" borderId="0" xfId="102" applyFont="1" applyFill="1" applyBorder="1" applyAlignment="1">
      <alignment horizontal="center" wrapText="1"/>
      <protection/>
    </xf>
    <xf numFmtId="3" fontId="6" fillId="0" borderId="0" xfId="102" applyNumberFormat="1" applyFont="1" applyFill="1" applyBorder="1" applyAlignment="1">
      <alignment horizontal="center"/>
      <protection/>
    </xf>
    <xf numFmtId="0" fontId="6" fillId="0" borderId="0" xfId="0" applyFont="1" applyFill="1" applyAlignment="1">
      <alignment/>
    </xf>
    <xf numFmtId="0" fontId="10" fillId="0" borderId="49" xfId="101" applyFont="1" applyFill="1" applyBorder="1" applyAlignment="1">
      <alignment horizontal="center" vertical="center" wrapText="1"/>
      <protection/>
    </xf>
    <xf numFmtId="0" fontId="10" fillId="0" borderId="34" xfId="101" applyFont="1" applyFill="1" applyBorder="1" applyAlignment="1">
      <alignment horizontal="center" vertical="center" wrapText="1"/>
      <protection/>
    </xf>
    <xf numFmtId="3" fontId="10" fillId="0" borderId="34" xfId="90" applyNumberFormat="1" applyFont="1" applyFill="1" applyBorder="1" applyAlignment="1">
      <alignment horizontal="center" vertical="center" wrapText="1"/>
      <protection/>
    </xf>
    <xf numFmtId="0" fontId="2" fillId="0" borderId="91" xfId="90" applyFont="1" applyFill="1" applyBorder="1" applyAlignment="1">
      <alignment vertical="top" wrapText="1"/>
      <protection/>
    </xf>
    <xf numFmtId="3" fontId="2" fillId="0" borderId="91" xfId="91" applyNumberFormat="1" applyFont="1" applyFill="1" applyBorder="1" applyAlignment="1">
      <alignment horizontal="left" vertical="top" wrapText="1"/>
      <protection/>
    </xf>
    <xf numFmtId="0" fontId="2" fillId="0" borderId="20" xfId="90" applyFont="1" applyFill="1" applyBorder="1" applyAlignment="1">
      <alignment horizontal="left" vertical="top" wrapText="1"/>
      <protection/>
    </xf>
    <xf numFmtId="3" fontId="2" fillId="0" borderId="90" xfId="91" applyNumberFormat="1" applyFont="1" applyFill="1" applyBorder="1" applyAlignment="1">
      <alignment horizontal="left"/>
      <protection/>
    </xf>
    <xf numFmtId="3" fontId="90" fillId="0" borderId="96" xfId="90" applyNumberFormat="1" applyFont="1" applyFill="1" applyBorder="1" applyAlignment="1">
      <alignment horizontal="right" wrapText="1"/>
      <protection/>
    </xf>
    <xf numFmtId="0" fontId="90" fillId="0" borderId="19" xfId="101" applyFont="1" applyFill="1" applyBorder="1" applyAlignment="1">
      <alignment horizontal="center"/>
      <protection/>
    </xf>
    <xf numFmtId="0" fontId="90" fillId="0" borderId="20" xfId="101" applyFont="1" applyFill="1" applyBorder="1" applyAlignment="1">
      <alignment horizontal="center"/>
      <protection/>
    </xf>
    <xf numFmtId="0" fontId="90" fillId="0" borderId="20" xfId="90" applyFont="1" applyFill="1" applyBorder="1" applyAlignment="1">
      <alignment horizontal="left"/>
      <protection/>
    </xf>
    <xf numFmtId="3" fontId="90" fillId="0" borderId="20" xfId="101" applyNumberFormat="1" applyFont="1" applyFill="1" applyBorder="1" applyAlignment="1">
      <alignment horizontal="right"/>
      <protection/>
    </xf>
    <xf numFmtId="3" fontId="90" fillId="0" borderId="20" xfId="90" applyNumberFormat="1" applyFont="1" applyFill="1" applyBorder="1" applyAlignment="1">
      <alignment horizontal="right"/>
      <protection/>
    </xf>
    <xf numFmtId="3" fontId="90" fillId="0" borderId="33" xfId="101" applyNumberFormat="1" applyFont="1" applyFill="1" applyBorder="1" applyAlignment="1">
      <alignment horizontal="right"/>
      <protection/>
    </xf>
    <xf numFmtId="3" fontId="90" fillId="0" borderId="20" xfId="90" applyNumberFormat="1" applyFont="1" applyFill="1" applyBorder="1" applyAlignment="1">
      <alignment horizontal="right" wrapText="1"/>
      <protection/>
    </xf>
    <xf numFmtId="3" fontId="90" fillId="0" borderId="94" xfId="101" applyNumberFormat="1" applyFont="1" applyFill="1" applyBorder="1" applyAlignment="1">
      <alignment horizontal="right"/>
      <protection/>
    </xf>
    <xf numFmtId="0" fontId="90" fillId="0" borderId="0" xfId="101" applyFont="1" applyFill="1" applyBorder="1" applyAlignment="1">
      <alignment/>
      <protection/>
    </xf>
    <xf numFmtId="0" fontId="90" fillId="0" borderId="91" xfId="90" applyFont="1" applyFill="1" applyBorder="1" applyAlignment="1">
      <alignment/>
      <protection/>
    </xf>
    <xf numFmtId="3" fontId="2" fillId="0" borderId="110" xfId="101" applyNumberFormat="1" applyFont="1" applyFill="1" applyBorder="1" applyAlignment="1">
      <alignment horizontal="center" vertical="center" wrapText="1"/>
      <protection/>
    </xf>
    <xf numFmtId="3" fontId="2" fillId="0" borderId="111" xfId="90" applyNumberFormat="1" applyFont="1" applyFill="1" applyBorder="1" applyAlignment="1">
      <alignment horizontal="right" wrapText="1"/>
      <protection/>
    </xf>
    <xf numFmtId="3" fontId="2" fillId="0" borderId="80" xfId="90" applyNumberFormat="1" applyFont="1" applyFill="1" applyBorder="1" applyAlignment="1">
      <alignment horizontal="right" wrapText="1"/>
      <protection/>
    </xf>
    <xf numFmtId="3" fontId="90" fillId="0" borderId="80" xfId="90" applyNumberFormat="1" applyFont="1" applyFill="1" applyBorder="1" applyAlignment="1">
      <alignment horizontal="right" wrapText="1"/>
      <protection/>
    </xf>
    <xf numFmtId="3" fontId="2" fillId="0" borderId="80" xfId="101" applyNumberFormat="1" applyFont="1" applyFill="1" applyBorder="1" applyAlignment="1">
      <alignment horizontal="right"/>
      <protection/>
    </xf>
    <xf numFmtId="0" fontId="2" fillId="0" borderId="49" xfId="101" applyFont="1" applyFill="1" applyBorder="1" applyAlignment="1">
      <alignment horizontal="center" wrapText="1"/>
      <protection/>
    </xf>
    <xf numFmtId="0" fontId="2" fillId="0" borderId="34" xfId="101" applyFont="1" applyFill="1" applyBorder="1" applyAlignment="1">
      <alignment horizontal="center" wrapText="1"/>
      <protection/>
    </xf>
    <xf numFmtId="0" fontId="90" fillId="0" borderId="34" xfId="101" applyFont="1" applyFill="1" applyBorder="1" applyAlignment="1">
      <alignment horizontal="center" wrapText="1"/>
      <protection/>
    </xf>
    <xf numFmtId="0" fontId="6"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0" fillId="0" borderId="0" xfId="0" applyFont="1" applyFill="1" applyBorder="1" applyAlignment="1">
      <alignment vertical="center"/>
    </xf>
    <xf numFmtId="3" fontId="10" fillId="0" borderId="0" xfId="91" applyNumberFormat="1" applyFont="1">
      <alignment/>
      <protection/>
    </xf>
    <xf numFmtId="3" fontId="10" fillId="0" borderId="0" xfId="91" applyNumberFormat="1" applyFont="1" applyAlignment="1">
      <alignment horizontal="center"/>
      <protection/>
    </xf>
    <xf numFmtId="3" fontId="10" fillId="0" borderId="0" xfId="91" applyNumberFormat="1" applyFont="1" applyAlignment="1">
      <alignment horizontal="left" wrapText="1"/>
      <protection/>
    </xf>
    <xf numFmtId="14" fontId="10" fillId="0" borderId="0" xfId="91" applyNumberFormat="1" applyFont="1" applyAlignment="1">
      <alignment horizontal="center"/>
      <protection/>
    </xf>
    <xf numFmtId="3" fontId="91" fillId="0" borderId="20" xfId="101" applyNumberFormat="1" applyFont="1" applyFill="1" applyBorder="1" applyAlignment="1">
      <alignment horizontal="right"/>
      <protection/>
    </xf>
    <xf numFmtId="3" fontId="91" fillId="0" borderId="20" xfId="90" applyNumberFormat="1" applyFont="1" applyFill="1" applyBorder="1" applyAlignment="1">
      <alignment horizontal="right" wrapText="1"/>
      <protection/>
    </xf>
    <xf numFmtId="3" fontId="91" fillId="0" borderId="111" xfId="90" applyNumberFormat="1" applyFont="1" applyFill="1" applyBorder="1" applyAlignment="1">
      <alignment horizontal="right" wrapText="1"/>
      <protection/>
    </xf>
    <xf numFmtId="3" fontId="91" fillId="0" borderId="98" xfId="90" applyNumberFormat="1" applyFont="1" applyFill="1" applyBorder="1" applyAlignment="1">
      <alignment horizontal="right" wrapText="1"/>
      <protection/>
    </xf>
    <xf numFmtId="3" fontId="90" fillId="0" borderId="97" xfId="90" applyNumberFormat="1" applyFont="1" applyFill="1" applyBorder="1" applyAlignment="1">
      <alignment horizontal="right" wrapText="1"/>
      <protection/>
    </xf>
    <xf numFmtId="3" fontId="91" fillId="0" borderId="80" xfId="90" applyNumberFormat="1" applyFont="1" applyFill="1" applyBorder="1" applyAlignment="1">
      <alignment horizontal="right" wrapText="1"/>
      <protection/>
    </xf>
    <xf numFmtId="3" fontId="91" fillId="0" borderId="80" xfId="101" applyNumberFormat="1" applyFont="1" applyFill="1" applyBorder="1" applyAlignment="1">
      <alignment horizontal="right"/>
      <protection/>
    </xf>
    <xf numFmtId="3" fontId="90" fillId="0" borderId="96" xfId="101" applyNumberFormat="1" applyFont="1" applyFill="1" applyBorder="1" applyAlignment="1">
      <alignment horizontal="right"/>
      <protection/>
    </xf>
    <xf numFmtId="2" fontId="2" fillId="0" borderId="20" xfId="90" applyNumberFormat="1" applyFont="1" applyFill="1" applyBorder="1" applyAlignment="1">
      <alignment wrapText="1"/>
      <protection/>
    </xf>
    <xf numFmtId="0" fontId="91" fillId="0" borderId="0" xfId="101" applyFont="1" applyFill="1" applyBorder="1" applyAlignment="1">
      <alignment/>
      <protection/>
    </xf>
    <xf numFmtId="3" fontId="2" fillId="0" borderId="0" xfId="101" applyNumberFormat="1" applyFont="1" applyFill="1" applyBorder="1" applyAlignment="1">
      <alignment horizontal="right"/>
      <protection/>
    </xf>
    <xf numFmtId="0" fontId="27" fillId="0" borderId="20" xfId="90" applyFont="1" applyFill="1" applyBorder="1" applyAlignment="1">
      <alignment horizontal="left"/>
      <protection/>
    </xf>
    <xf numFmtId="0" fontId="2" fillId="0" borderId="34" xfId="101" applyFont="1" applyFill="1" applyBorder="1" applyAlignment="1">
      <alignment horizontal="center" vertical="top" wrapText="1"/>
      <protection/>
    </xf>
    <xf numFmtId="3" fontId="91" fillId="0" borderId="20" xfId="90" applyNumberFormat="1" applyFont="1" applyFill="1" applyBorder="1" applyAlignment="1">
      <alignment horizontal="right"/>
      <protection/>
    </xf>
    <xf numFmtId="0" fontId="2" fillId="0" borderId="20" xfId="101" applyFont="1" applyFill="1" applyBorder="1" applyAlignment="1">
      <alignment wrapText="1"/>
      <protection/>
    </xf>
    <xf numFmtId="0" fontId="26" fillId="0" borderId="20" xfId="101" applyFont="1" applyFill="1" applyBorder="1" applyAlignment="1">
      <alignment/>
      <protection/>
    </xf>
    <xf numFmtId="0" fontId="2" fillId="0" borderId="20" xfId="101" applyFont="1" applyFill="1" applyBorder="1" applyAlignment="1">
      <alignment horizontal="left" wrapText="1" indent="1"/>
      <protection/>
    </xf>
    <xf numFmtId="0" fontId="26" fillId="0" borderId="20" xfId="101" applyFont="1" applyFill="1" applyBorder="1" applyAlignment="1">
      <alignment wrapText="1"/>
      <protection/>
    </xf>
    <xf numFmtId="0" fontId="17" fillId="0" borderId="20" xfId="101" applyFont="1" applyFill="1" applyBorder="1" applyAlignment="1">
      <alignment wrapText="1"/>
      <protection/>
    </xf>
    <xf numFmtId="0" fontId="26" fillId="0" borderId="20" xfId="101" applyFont="1" applyFill="1" applyBorder="1" applyAlignment="1">
      <alignment horizontal="left" wrapText="1"/>
      <protection/>
    </xf>
    <xf numFmtId="0" fontId="17" fillId="0" borderId="20" xfId="101" applyFont="1" applyFill="1" applyBorder="1" applyAlignment="1">
      <alignment shrinkToFit="1"/>
      <protection/>
    </xf>
    <xf numFmtId="0" fontId="26" fillId="0" borderId="20" xfId="101" applyFont="1" applyFill="1" applyBorder="1" applyAlignment="1">
      <alignment horizontal="left"/>
      <protection/>
    </xf>
    <xf numFmtId="0" fontId="2" fillId="0" borderId="20" xfId="101" applyFont="1" applyFill="1" applyBorder="1" applyAlignment="1">
      <alignment vertical="top" wrapText="1"/>
      <protection/>
    </xf>
    <xf numFmtId="0" fontId="2" fillId="0" borderId="112" xfId="90" applyFont="1" applyFill="1" applyBorder="1" applyAlignment="1">
      <alignment wrapText="1"/>
      <protection/>
    </xf>
    <xf numFmtId="0" fontId="2" fillId="0" borderId="20" xfId="90" applyFont="1" applyFill="1" applyBorder="1" applyAlignment="1">
      <alignment shrinkToFit="1"/>
      <protection/>
    </xf>
    <xf numFmtId="0" fontId="92" fillId="0" borderId="20" xfId="101" applyFont="1" applyFill="1" applyBorder="1" applyAlignment="1">
      <alignment wrapText="1"/>
      <protection/>
    </xf>
    <xf numFmtId="0" fontId="38" fillId="0" borderId="20" xfId="90" applyFont="1" applyFill="1" applyBorder="1" applyAlignment="1">
      <alignment horizontal="left"/>
      <protection/>
    </xf>
    <xf numFmtId="3" fontId="5" fillId="0" borderId="113" xfId="0" applyNumberFormat="1" applyFont="1" applyFill="1" applyBorder="1" applyAlignment="1">
      <alignment vertical="center"/>
    </xf>
    <xf numFmtId="3" fontId="10" fillId="0" borderId="20" xfId="96" applyNumberFormat="1" applyFont="1" applyFill="1" applyBorder="1" applyAlignment="1">
      <alignment horizontal="left"/>
      <protection/>
    </xf>
    <xf numFmtId="3" fontId="10" fillId="0" borderId="33" xfId="96" applyNumberFormat="1" applyFont="1" applyFill="1" applyBorder="1" applyAlignment="1">
      <alignment vertical="top" wrapText="1"/>
      <protection/>
    </xf>
    <xf numFmtId="0" fontId="39" fillId="0" borderId="20" xfId="101" applyFont="1" applyFill="1" applyBorder="1" applyAlignment="1" applyProtection="1">
      <alignment horizontal="left"/>
      <protection locked="0"/>
    </xf>
    <xf numFmtId="0" fontId="10" fillId="0" borderId="23" xfId="102" applyFont="1" applyFill="1" applyBorder="1" applyAlignment="1" applyProtection="1">
      <alignment horizontal="center" vertical="top"/>
      <protection locked="0"/>
    </xf>
    <xf numFmtId="0" fontId="10" fillId="0" borderId="20" xfId="101" applyFont="1" applyFill="1" applyBorder="1" applyAlignment="1" applyProtection="1">
      <alignment horizontal="left" vertical="top" wrapText="1"/>
      <protection locked="0"/>
    </xf>
    <xf numFmtId="3" fontId="10" fillId="0" borderId="22" xfId="102" applyNumberFormat="1" applyFont="1" applyFill="1" applyBorder="1" applyAlignment="1" applyProtection="1">
      <alignment horizontal="center" vertical="top"/>
      <protection locked="0"/>
    </xf>
    <xf numFmtId="3" fontId="10" fillId="0" borderId="22" xfId="101" applyNumberFormat="1" applyFont="1" applyFill="1" applyBorder="1" applyAlignment="1" applyProtection="1">
      <alignment horizontal="center" vertical="top"/>
      <protection locked="0"/>
    </xf>
    <xf numFmtId="0" fontId="10" fillId="0" borderId="0" xfId="101" applyFont="1" applyFill="1" applyBorder="1" applyAlignment="1" applyProtection="1">
      <alignment vertical="top"/>
      <protection locked="0"/>
    </xf>
    <xf numFmtId="3" fontId="4" fillId="0" borderId="28" xfId="0" applyNumberFormat="1" applyFont="1" applyFill="1" applyBorder="1" applyAlignment="1">
      <alignment vertical="center"/>
    </xf>
    <xf numFmtId="0" fontId="2" fillId="0" borderId="20" xfId="101" applyFont="1" applyFill="1" applyBorder="1" applyAlignment="1">
      <alignment horizontal="left" indent="1" shrinkToFit="1"/>
      <protection/>
    </xf>
    <xf numFmtId="0" fontId="2" fillId="0" borderId="22" xfId="101" applyFont="1" applyFill="1" applyBorder="1" applyAlignment="1">
      <alignment horizontal="center"/>
      <protection/>
    </xf>
    <xf numFmtId="3" fontId="91" fillId="0" borderId="22" xfId="101" applyNumberFormat="1" applyFont="1" applyFill="1" applyBorder="1" applyAlignment="1">
      <alignment horizontal="right"/>
      <protection/>
    </xf>
    <xf numFmtId="3" fontId="91" fillId="0" borderId="22" xfId="90" applyNumberFormat="1" applyFont="1" applyFill="1" applyBorder="1" applyAlignment="1">
      <alignment horizontal="right"/>
      <protection/>
    </xf>
    <xf numFmtId="3" fontId="91" fillId="0" borderId="48" xfId="101" applyNumberFormat="1" applyFont="1" applyFill="1" applyBorder="1" applyAlignment="1">
      <alignment horizontal="right"/>
      <protection/>
    </xf>
    <xf numFmtId="3" fontId="90" fillId="0" borderId="79" xfId="90" applyNumberFormat="1" applyFont="1" applyFill="1" applyBorder="1" applyAlignment="1">
      <alignment horizontal="right" wrapText="1"/>
      <protection/>
    </xf>
    <xf numFmtId="3" fontId="90" fillId="0" borderId="22" xfId="90" applyNumberFormat="1" applyFont="1" applyFill="1" applyBorder="1" applyAlignment="1">
      <alignment horizontal="right" wrapText="1"/>
      <protection/>
    </xf>
    <xf numFmtId="3" fontId="91" fillId="0" borderId="22" xfId="90" applyNumberFormat="1" applyFont="1" applyFill="1" applyBorder="1" applyAlignment="1">
      <alignment horizontal="right" wrapText="1"/>
      <protection/>
    </xf>
    <xf numFmtId="3" fontId="90" fillId="0" borderId="114" xfId="90" applyNumberFormat="1" applyFont="1" applyFill="1" applyBorder="1" applyAlignment="1">
      <alignment horizontal="right" wrapText="1"/>
      <protection/>
    </xf>
    <xf numFmtId="0" fontId="38" fillId="0" borderId="22" xfId="90" applyFont="1" applyFill="1" applyBorder="1" applyAlignment="1">
      <alignment horizontal="left"/>
      <protection/>
    </xf>
    <xf numFmtId="3" fontId="90" fillId="0" borderId="115" xfId="101" applyNumberFormat="1" applyFont="1" applyFill="1" applyBorder="1" applyAlignment="1">
      <alignment horizontal="right"/>
      <protection/>
    </xf>
    <xf numFmtId="3" fontId="90" fillId="0" borderId="93" xfId="101" applyNumberFormat="1" applyFont="1" applyFill="1" applyBorder="1" applyAlignment="1">
      <alignment horizontal="right"/>
      <protection/>
    </xf>
    <xf numFmtId="3" fontId="2" fillId="0" borderId="115" xfId="101" applyNumberFormat="1" applyFont="1" applyFill="1" applyBorder="1" applyAlignment="1">
      <alignment horizontal="right"/>
      <protection/>
    </xf>
    <xf numFmtId="0" fontId="2" fillId="0" borderId="99" xfId="101" applyFont="1" applyFill="1" applyBorder="1" applyAlignment="1">
      <alignment horizontal="center"/>
      <protection/>
    </xf>
    <xf numFmtId="3" fontId="91" fillId="0" borderId="99" xfId="90" applyNumberFormat="1" applyFont="1" applyFill="1" applyBorder="1" applyAlignment="1">
      <alignment horizontal="right"/>
      <protection/>
    </xf>
    <xf numFmtId="0" fontId="90" fillId="0" borderId="104" xfId="101" applyFont="1" applyFill="1" applyBorder="1" applyAlignment="1">
      <alignment horizontal="center" wrapText="1"/>
      <protection/>
    </xf>
    <xf numFmtId="3" fontId="90" fillId="0" borderId="101" xfId="90" applyNumberFormat="1" applyFont="1" applyFill="1" applyBorder="1" applyAlignment="1">
      <alignment horizontal="right" wrapText="1"/>
      <protection/>
    </xf>
    <xf numFmtId="3" fontId="90" fillId="0" borderId="99" xfId="90" applyNumberFormat="1" applyFont="1" applyFill="1" applyBorder="1" applyAlignment="1">
      <alignment horizontal="right" wrapText="1"/>
      <protection/>
    </xf>
    <xf numFmtId="3" fontId="90" fillId="0" borderId="116" xfId="90" applyNumberFormat="1" applyFont="1" applyFill="1" applyBorder="1" applyAlignment="1">
      <alignment horizontal="right" wrapText="1"/>
      <protection/>
    </xf>
    <xf numFmtId="3" fontId="2" fillId="0" borderId="99" xfId="101" applyNumberFormat="1" applyFont="1" applyFill="1" applyBorder="1" applyAlignment="1">
      <alignment horizontal="right"/>
      <protection/>
    </xf>
    <xf numFmtId="3" fontId="2" fillId="0" borderId="99" xfId="90" applyNumberFormat="1" applyFont="1" applyFill="1" applyBorder="1" applyAlignment="1">
      <alignment horizontal="right"/>
      <protection/>
    </xf>
    <xf numFmtId="3" fontId="2" fillId="0" borderId="103" xfId="101" applyNumberFormat="1" applyFont="1" applyFill="1" applyBorder="1" applyAlignment="1">
      <alignment horizontal="right"/>
      <protection/>
    </xf>
    <xf numFmtId="0" fontId="2" fillId="0" borderId="104" xfId="101" applyFont="1" applyFill="1" applyBorder="1" applyAlignment="1">
      <alignment horizontal="center" wrapText="1"/>
      <protection/>
    </xf>
    <xf numFmtId="3" fontId="2" fillId="0" borderId="101" xfId="90" applyNumberFormat="1" applyFont="1" applyFill="1" applyBorder="1" applyAlignment="1">
      <alignment horizontal="right" wrapText="1"/>
      <protection/>
    </xf>
    <xf numFmtId="3" fontId="2" fillId="0" borderId="99" xfId="90" applyNumberFormat="1" applyFont="1" applyFill="1" applyBorder="1" applyAlignment="1">
      <alignment horizontal="right" wrapText="1"/>
      <protection/>
    </xf>
    <xf numFmtId="3" fontId="2" fillId="0" borderId="20" xfId="88" applyNumberFormat="1" applyFont="1" applyFill="1" applyBorder="1" applyAlignment="1">
      <alignment horizontal="center" vertical="center"/>
      <protection/>
    </xf>
    <xf numFmtId="3" fontId="13" fillId="0" borderId="23" xfId="88" applyNumberFormat="1" applyFont="1" applyFill="1" applyBorder="1" applyAlignment="1">
      <alignment horizontal="center"/>
      <protection/>
    </xf>
    <xf numFmtId="3" fontId="10" fillId="0" borderId="88" xfId="88" applyNumberFormat="1" applyFont="1" applyFill="1" applyBorder="1" applyAlignment="1">
      <alignment horizontal="center" vertical="center"/>
      <protection/>
    </xf>
    <xf numFmtId="3" fontId="10" fillId="0" borderId="88" xfId="88" applyNumberFormat="1" applyFont="1" applyFill="1" applyBorder="1" applyAlignment="1">
      <alignment wrapText="1"/>
      <protection/>
    </xf>
    <xf numFmtId="3" fontId="13" fillId="0" borderId="117" xfId="88" applyNumberFormat="1" applyFont="1" applyFill="1" applyBorder="1" applyAlignment="1">
      <alignment horizontal="right"/>
      <protection/>
    </xf>
    <xf numFmtId="3" fontId="10" fillId="0" borderId="88" xfId="0" applyNumberFormat="1" applyFont="1" applyFill="1" applyBorder="1" applyAlignment="1">
      <alignment horizontal="right" wrapText="1"/>
    </xf>
    <xf numFmtId="3" fontId="10" fillId="0" borderId="118" xfId="0" applyNumberFormat="1" applyFont="1" applyFill="1" applyBorder="1" applyAlignment="1">
      <alignment horizontal="right" wrapText="1"/>
    </xf>
    <xf numFmtId="3" fontId="2" fillId="0" borderId="0" xfId="91" applyNumberFormat="1" applyFont="1" applyAlignment="1">
      <alignment horizontal="left" wrapText="1"/>
      <protection/>
    </xf>
    <xf numFmtId="3" fontId="10" fillId="0" borderId="0" xfId="91" applyNumberFormat="1" applyFont="1" applyAlignment="1">
      <alignment horizontal="center" wrapText="1"/>
      <protection/>
    </xf>
    <xf numFmtId="3" fontId="10" fillId="0" borderId="0" xfId="91" applyNumberFormat="1" applyFont="1" applyBorder="1" applyAlignment="1">
      <alignment horizontal="center"/>
      <protection/>
    </xf>
    <xf numFmtId="3" fontId="10" fillId="0" borderId="113" xfId="91" applyNumberFormat="1" applyFont="1" applyBorder="1" applyAlignment="1">
      <alignment horizontal="center" vertical="center" wrapText="1"/>
      <protection/>
    </xf>
    <xf numFmtId="3" fontId="2" fillId="0" borderId="119" xfId="91" applyNumberFormat="1" applyFont="1" applyBorder="1" applyAlignment="1">
      <alignment horizontal="center" vertical="center" wrapText="1"/>
      <protection/>
    </xf>
    <xf numFmtId="3" fontId="2" fillId="0" borderId="85" xfId="91" applyNumberFormat="1" applyFont="1" applyBorder="1" applyAlignment="1">
      <alignment horizontal="center" vertical="center" wrapText="1"/>
      <protection/>
    </xf>
    <xf numFmtId="3" fontId="10" fillId="0" borderId="0" xfId="91" applyNumberFormat="1" applyFont="1" applyBorder="1" applyAlignment="1">
      <alignment horizontal="center" vertical="center" wrapText="1"/>
      <protection/>
    </xf>
    <xf numFmtId="3" fontId="2" fillId="0" borderId="10" xfId="91" applyNumberFormat="1" applyFont="1" applyBorder="1" applyAlignment="1">
      <alignment horizontal="center" wrapText="1"/>
      <protection/>
    </xf>
    <xf numFmtId="3" fontId="26" fillId="0" borderId="53" xfId="91" applyNumberFormat="1" applyFont="1" applyBorder="1" applyAlignment="1">
      <alignment horizontal="left"/>
      <protection/>
    </xf>
    <xf numFmtId="3" fontId="2" fillId="0" borderId="52" xfId="91" applyNumberFormat="1" applyFont="1" applyBorder="1" applyAlignment="1">
      <alignment horizontal="center" wrapText="1"/>
      <protection/>
    </xf>
    <xf numFmtId="14" fontId="2" fillId="0" borderId="95" xfId="91" applyNumberFormat="1" applyFont="1" applyBorder="1" applyAlignment="1">
      <alignment horizontal="center" vertical="center" wrapText="1"/>
      <protection/>
    </xf>
    <xf numFmtId="3" fontId="2" fillId="0" borderId="0" xfId="91" applyNumberFormat="1" applyFont="1" applyBorder="1" applyAlignment="1">
      <alignment horizontal="center" vertical="center" wrapText="1"/>
      <protection/>
    </xf>
    <xf numFmtId="3" fontId="2" fillId="0" borderId="120" xfId="91" applyNumberFormat="1" applyFont="1" applyBorder="1" applyAlignment="1">
      <alignment horizontal="center" vertical="center" wrapText="1"/>
      <protection/>
    </xf>
    <xf numFmtId="3" fontId="2" fillId="0" borderId="111" xfId="91" applyNumberFormat="1" applyFont="1" applyBorder="1" applyAlignment="1">
      <alignment horizontal="center" vertical="center" wrapText="1"/>
      <protection/>
    </xf>
    <xf numFmtId="0" fontId="2" fillId="0" borderId="98" xfId="91" applyNumberFormat="1" applyFont="1" applyBorder="1" applyAlignment="1">
      <alignment horizontal="center" vertical="center" wrapText="1"/>
      <protection/>
    </xf>
    <xf numFmtId="3" fontId="2" fillId="0" borderId="98" xfId="91" applyNumberFormat="1" applyFont="1" applyBorder="1" applyAlignment="1">
      <alignment horizontal="center" vertical="center" wrapText="1"/>
      <protection/>
    </xf>
    <xf numFmtId="3" fontId="10" fillId="0" borderId="0" xfId="91" applyNumberFormat="1" applyFont="1" applyAlignment="1">
      <alignment horizontal="center" vertical="center" wrapText="1"/>
      <protection/>
    </xf>
    <xf numFmtId="3" fontId="2" fillId="0" borderId="19" xfId="91" applyNumberFormat="1" applyFont="1" applyBorder="1" applyAlignment="1">
      <alignment horizontal="center" vertical="center" wrapText="1"/>
      <protection/>
    </xf>
    <xf numFmtId="3" fontId="2" fillId="0" borderId="22" xfId="91" applyNumberFormat="1" applyFont="1" applyBorder="1" applyAlignment="1">
      <alignment horizontal="center" vertical="top" wrapText="1"/>
      <protection/>
    </xf>
    <xf numFmtId="3" fontId="2" fillId="0" borderId="20" xfId="91" applyNumberFormat="1" applyFont="1" applyBorder="1" applyAlignment="1">
      <alignment horizontal="left" vertical="center" wrapText="1"/>
      <protection/>
    </xf>
    <xf numFmtId="14" fontId="2" fillId="0" borderId="96" xfId="91" applyNumberFormat="1" applyFont="1" applyBorder="1" applyAlignment="1">
      <alignment horizontal="center" vertical="center" wrapText="1"/>
      <protection/>
    </xf>
    <xf numFmtId="3" fontId="2" fillId="0" borderId="34" xfId="91" applyNumberFormat="1" applyFont="1" applyBorder="1" applyAlignment="1">
      <alignment horizontal="right" vertical="center" wrapText="1"/>
      <protection/>
    </xf>
    <xf numFmtId="3" fontId="2" fillId="0" borderId="80" xfId="91" applyNumberFormat="1" applyFont="1" applyBorder="1" applyAlignment="1">
      <alignment horizontal="right" vertical="center" wrapText="1"/>
      <protection/>
    </xf>
    <xf numFmtId="3" fontId="2" fillId="0" borderId="20" xfId="91" applyNumberFormat="1" applyFont="1" applyBorder="1" applyAlignment="1">
      <alignment horizontal="right" vertical="center" wrapText="1"/>
      <protection/>
    </xf>
    <xf numFmtId="3" fontId="2" fillId="0" borderId="20" xfId="91" applyNumberFormat="1" applyFont="1" applyBorder="1" applyAlignment="1">
      <alignment horizontal="center" vertical="top" wrapText="1"/>
      <protection/>
    </xf>
    <xf numFmtId="3" fontId="2" fillId="0" borderId="20" xfId="91" applyNumberFormat="1" applyFont="1" applyFill="1" applyBorder="1" applyAlignment="1">
      <alignment horizontal="left" vertical="center" wrapText="1"/>
      <protection/>
    </xf>
    <xf numFmtId="3" fontId="2" fillId="0" borderId="49" xfId="91" applyNumberFormat="1" applyFont="1" applyBorder="1" applyAlignment="1">
      <alignment horizontal="right" vertical="center" wrapText="1"/>
      <protection/>
    </xf>
    <xf numFmtId="3" fontId="2" fillId="0" borderId="79" xfId="91" applyNumberFormat="1" applyFont="1" applyBorder="1" applyAlignment="1">
      <alignment horizontal="right" vertical="center" wrapText="1"/>
      <protection/>
    </xf>
    <xf numFmtId="3" fontId="2" fillId="0" borderId="34" xfId="91" applyNumberFormat="1" applyFont="1" applyFill="1" applyBorder="1" applyAlignment="1">
      <alignment horizontal="right" vertical="center" wrapText="1"/>
      <protection/>
    </xf>
    <xf numFmtId="3" fontId="2" fillId="0" borderId="20" xfId="91" applyNumberFormat="1" applyFont="1" applyFill="1" applyBorder="1" applyAlignment="1">
      <alignment horizontal="right" vertical="center" wrapText="1"/>
      <protection/>
    </xf>
    <xf numFmtId="0" fontId="2" fillId="0" borderId="52" xfId="0" applyFont="1" applyFill="1" applyBorder="1" applyAlignment="1">
      <alignment vertical="center" wrapText="1"/>
    </xf>
    <xf numFmtId="3" fontId="2" fillId="0" borderId="49" xfId="91" applyNumberFormat="1" applyFont="1" applyFill="1" applyBorder="1" applyAlignment="1">
      <alignment horizontal="right" vertical="center" wrapText="1"/>
      <protection/>
    </xf>
    <xf numFmtId="3" fontId="2" fillId="0" borderId="79" xfId="91" applyNumberFormat="1" applyFont="1" applyFill="1" applyBorder="1" applyAlignment="1">
      <alignment horizontal="right" vertical="center" wrapText="1"/>
      <protection/>
    </xf>
    <xf numFmtId="0" fontId="2" fillId="0" borderId="20" xfId="0" applyFont="1" applyFill="1" applyBorder="1" applyAlignment="1">
      <alignment wrapText="1"/>
    </xf>
    <xf numFmtId="3" fontId="2" fillId="0" borderId="53" xfId="91" applyNumberFormat="1" applyFont="1" applyBorder="1" applyAlignment="1">
      <alignment horizontal="center" vertical="center" wrapText="1"/>
      <protection/>
    </xf>
    <xf numFmtId="0" fontId="2" fillId="0" borderId="52" xfId="91" applyNumberFormat="1" applyFont="1" applyBorder="1" applyAlignment="1">
      <alignment horizontal="center" vertical="center" wrapText="1"/>
      <protection/>
    </xf>
    <xf numFmtId="3" fontId="2" fillId="0" borderId="121" xfId="91" applyNumberFormat="1" applyFont="1" applyBorder="1" applyAlignment="1">
      <alignment horizontal="center" vertical="center" wrapText="1"/>
      <protection/>
    </xf>
    <xf numFmtId="3" fontId="2" fillId="0" borderId="52" xfId="91" applyNumberFormat="1" applyFont="1" applyBorder="1" applyAlignment="1">
      <alignment horizontal="center" vertical="center" wrapText="1"/>
      <protection/>
    </xf>
    <xf numFmtId="14" fontId="2" fillId="0" borderId="122" xfId="91" applyNumberFormat="1" applyFont="1" applyBorder="1" applyAlignment="1">
      <alignment horizontal="center" vertical="center" wrapText="1"/>
      <protection/>
    </xf>
    <xf numFmtId="3" fontId="2" fillId="0" borderId="123" xfId="91" applyNumberFormat="1" applyFont="1" applyBorder="1" applyAlignment="1">
      <alignment horizontal="right" vertical="center" wrapText="1"/>
      <protection/>
    </xf>
    <xf numFmtId="3" fontId="2" fillId="0" borderId="124" xfId="91" applyNumberFormat="1" applyFont="1" applyBorder="1" applyAlignment="1">
      <alignment horizontal="right" vertical="center" wrapText="1"/>
      <protection/>
    </xf>
    <xf numFmtId="3" fontId="4" fillId="0" borderId="125" xfId="91" applyNumberFormat="1" applyFont="1" applyBorder="1" applyAlignment="1">
      <alignment horizontal="right" vertical="center"/>
      <protection/>
    </xf>
    <xf numFmtId="3" fontId="4" fillId="0" borderId="109" xfId="91" applyNumberFormat="1" applyFont="1" applyBorder="1" applyAlignment="1">
      <alignment horizontal="right" vertical="center"/>
      <protection/>
    </xf>
    <xf numFmtId="3" fontId="12" fillId="0" borderId="33" xfId="96" applyNumberFormat="1" applyFont="1" applyFill="1" applyBorder="1" applyAlignment="1">
      <alignment/>
      <protection/>
    </xf>
    <xf numFmtId="3" fontId="12" fillId="0" borderId="19" xfId="0" applyNumberFormat="1" applyFont="1" applyFill="1" applyBorder="1" applyAlignment="1">
      <alignment horizontal="center"/>
    </xf>
    <xf numFmtId="3" fontId="12" fillId="0" borderId="20" xfId="0" applyNumberFormat="1" applyFont="1" applyFill="1" applyBorder="1" applyAlignment="1">
      <alignment horizontal="center"/>
    </xf>
    <xf numFmtId="3" fontId="12" fillId="0" borderId="20" xfId="96" applyNumberFormat="1" applyFont="1" applyFill="1" applyBorder="1" applyAlignment="1">
      <alignment horizontal="center"/>
      <protection/>
    </xf>
    <xf numFmtId="3" fontId="12" fillId="0" borderId="21" xfId="0" applyNumberFormat="1" applyFont="1" applyFill="1" applyBorder="1" applyAlignment="1">
      <alignment/>
    </xf>
    <xf numFmtId="3" fontId="16" fillId="0" borderId="0" xfId="0" applyNumberFormat="1" applyFont="1" applyFill="1" applyAlignment="1">
      <alignment horizontal="right"/>
    </xf>
    <xf numFmtId="3" fontId="16" fillId="0" borderId="0" xfId="0" applyNumberFormat="1" applyFont="1" applyFill="1" applyAlignment="1">
      <alignment/>
    </xf>
    <xf numFmtId="3" fontId="87" fillId="0" borderId="19" xfId="0" applyNumberFormat="1" applyFont="1" applyFill="1" applyBorder="1" applyAlignment="1">
      <alignment horizontal="center" vertical="center"/>
    </xf>
    <xf numFmtId="3" fontId="87" fillId="0" borderId="20" xfId="0" applyNumberFormat="1" applyFont="1" applyFill="1" applyBorder="1" applyAlignment="1">
      <alignment horizontal="center"/>
    </xf>
    <xf numFmtId="3" fontId="87" fillId="0" borderId="80" xfId="0" applyNumberFormat="1" applyFont="1" applyFill="1" applyBorder="1" applyAlignment="1">
      <alignment horizontal="center" vertical="center"/>
    </xf>
    <xf numFmtId="3" fontId="87" fillId="0" borderId="33" xfId="96" applyNumberFormat="1" applyFont="1" applyFill="1" applyBorder="1" applyAlignment="1">
      <alignment horizontal="left" indent="1"/>
      <protection/>
    </xf>
    <xf numFmtId="3" fontId="87" fillId="0" borderId="34" xfId="0" applyNumberFormat="1" applyFont="1" applyFill="1" applyBorder="1" applyAlignment="1">
      <alignment/>
    </xf>
    <xf numFmtId="3" fontId="87" fillId="0" borderId="20" xfId="0" applyNumberFormat="1" applyFont="1" applyFill="1" applyBorder="1" applyAlignment="1">
      <alignment horizontal="right"/>
    </xf>
    <xf numFmtId="3" fontId="87" fillId="0" borderId="21" xfId="0" applyNumberFormat="1" applyFont="1" applyFill="1" applyBorder="1" applyAlignment="1">
      <alignment horizontal="right"/>
    </xf>
    <xf numFmtId="3" fontId="87" fillId="0" borderId="0" xfId="0" applyNumberFormat="1" applyFont="1" applyFill="1" applyAlignment="1">
      <alignment horizontal="right"/>
    </xf>
    <xf numFmtId="3" fontId="87" fillId="0" borderId="0" xfId="0" applyNumberFormat="1" applyFont="1" applyFill="1" applyAlignment="1">
      <alignment/>
    </xf>
    <xf numFmtId="3" fontId="86" fillId="0" borderId="80" xfId="88" applyNumberFormat="1" applyFont="1" applyFill="1" applyBorder="1" applyAlignment="1">
      <alignment horizontal="right"/>
      <protection/>
    </xf>
    <xf numFmtId="3" fontId="86" fillId="0" borderId="20" xfId="0" applyNumberFormat="1" applyFont="1" applyFill="1" applyBorder="1" applyAlignment="1">
      <alignment horizontal="right" wrapText="1"/>
    </xf>
    <xf numFmtId="3" fontId="86" fillId="0" borderId="21" xfId="0" applyNumberFormat="1" applyFont="1" applyFill="1" applyBorder="1" applyAlignment="1">
      <alignment horizontal="right" wrapText="1"/>
    </xf>
    <xf numFmtId="3" fontId="87" fillId="0" borderId="80" xfId="88" applyNumberFormat="1" applyFont="1" applyFill="1" applyBorder="1" applyAlignment="1">
      <alignment horizontal="right"/>
      <protection/>
    </xf>
    <xf numFmtId="3" fontId="86" fillId="0" borderId="20" xfId="0" applyNumberFormat="1" applyFont="1" applyFill="1" applyBorder="1" applyAlignment="1">
      <alignment horizontal="right" vertical="center" wrapText="1"/>
    </xf>
    <xf numFmtId="3" fontId="86" fillId="0" borderId="19" xfId="88" applyNumberFormat="1" applyFont="1" applyFill="1" applyBorder="1" applyAlignment="1">
      <alignment horizontal="center" vertical="center"/>
      <protection/>
    </xf>
    <xf numFmtId="3" fontId="86" fillId="0" borderId="20" xfId="88" applyNumberFormat="1" applyFont="1" applyFill="1" applyBorder="1" applyAlignment="1">
      <alignment horizontal="center" vertical="center"/>
      <protection/>
    </xf>
    <xf numFmtId="3" fontId="86" fillId="0" borderId="22" xfId="88" applyNumberFormat="1" applyFont="1" applyFill="1" applyBorder="1" applyAlignment="1">
      <alignment wrapText="1"/>
      <protection/>
    </xf>
    <xf numFmtId="3" fontId="86" fillId="0" borderId="20" xfId="88" applyNumberFormat="1" applyFont="1" applyFill="1" applyBorder="1" applyAlignment="1">
      <alignment horizontal="right"/>
      <protection/>
    </xf>
    <xf numFmtId="3" fontId="86" fillId="0" borderId="34" xfId="88" applyNumberFormat="1" applyFont="1" applyFill="1" applyBorder="1" applyAlignment="1">
      <alignment horizontal="center"/>
      <protection/>
    </xf>
    <xf numFmtId="3" fontId="90" fillId="0" borderId="0" xfId="88" applyNumberFormat="1" applyFont="1" applyFill="1" applyAlignment="1">
      <alignment horizontal="center" vertical="center"/>
      <protection/>
    </xf>
    <xf numFmtId="3" fontId="86" fillId="0" borderId="23" xfId="88" applyNumberFormat="1" applyFont="1" applyFill="1" applyBorder="1" applyAlignment="1">
      <alignment horizontal="center"/>
      <protection/>
    </xf>
    <xf numFmtId="3" fontId="86" fillId="0" borderId="22" xfId="88" applyNumberFormat="1" applyFont="1" applyFill="1" applyBorder="1" applyAlignment="1">
      <alignment horizontal="right"/>
      <protection/>
    </xf>
    <xf numFmtId="3" fontId="86" fillId="0" borderId="49" xfId="88" applyNumberFormat="1" applyFont="1" applyFill="1" applyBorder="1" applyAlignment="1">
      <alignment horizontal="center"/>
      <protection/>
    </xf>
    <xf numFmtId="3" fontId="86" fillId="0" borderId="22" xfId="0" applyNumberFormat="1" applyFont="1" applyFill="1" applyBorder="1" applyAlignment="1">
      <alignment horizontal="right" wrapText="1"/>
    </xf>
    <xf numFmtId="3" fontId="86" fillId="0" borderId="26" xfId="0" applyNumberFormat="1" applyFont="1" applyFill="1" applyBorder="1" applyAlignment="1">
      <alignment horizontal="right" wrapText="1"/>
    </xf>
    <xf numFmtId="3" fontId="90" fillId="0" borderId="0" xfId="88" applyNumberFormat="1" applyFont="1" applyFill="1" applyAlignment="1">
      <alignment horizontal="center"/>
      <protection/>
    </xf>
    <xf numFmtId="3" fontId="87" fillId="0" borderId="19" xfId="88" applyNumberFormat="1" applyFont="1" applyFill="1" applyBorder="1" applyAlignment="1">
      <alignment horizontal="center" vertical="center"/>
      <protection/>
    </xf>
    <xf numFmtId="3" fontId="87" fillId="0" borderId="22" xfId="88" applyNumberFormat="1" applyFont="1" applyFill="1" applyBorder="1" applyAlignment="1">
      <alignment horizontal="left" wrapText="1" indent="4"/>
      <protection/>
    </xf>
    <xf numFmtId="3" fontId="87" fillId="0" borderId="20" xfId="88" applyNumberFormat="1" applyFont="1" applyFill="1" applyBorder="1" applyAlignment="1">
      <alignment horizontal="right"/>
      <protection/>
    </xf>
    <xf numFmtId="3" fontId="87" fillId="0" borderId="34" xfId="88" applyNumberFormat="1" applyFont="1" applyFill="1" applyBorder="1" applyAlignment="1">
      <alignment horizontal="center"/>
      <protection/>
    </xf>
    <xf numFmtId="3" fontId="87" fillId="0" borderId="20" xfId="0" applyNumberFormat="1" applyFont="1" applyFill="1" applyBorder="1" applyAlignment="1">
      <alignment horizontal="right" wrapText="1"/>
    </xf>
    <xf numFmtId="3" fontId="87" fillId="0" borderId="21" xfId="0" applyNumberFormat="1" applyFont="1" applyFill="1" applyBorder="1" applyAlignment="1">
      <alignment horizontal="right" wrapText="1"/>
    </xf>
    <xf numFmtId="3" fontId="93" fillId="0" borderId="0" xfId="88" applyNumberFormat="1" applyFont="1" applyFill="1" applyAlignment="1">
      <alignment horizontal="center" vertical="center"/>
      <protection/>
    </xf>
    <xf numFmtId="3" fontId="93" fillId="0" borderId="0" xfId="88" applyNumberFormat="1" applyFont="1" applyFill="1" applyBorder="1" applyAlignment="1">
      <alignment horizontal="center" vertical="center"/>
      <protection/>
    </xf>
    <xf numFmtId="3" fontId="93" fillId="0" borderId="20" xfId="88" applyNumberFormat="1" applyFont="1" applyFill="1" applyBorder="1" applyAlignment="1">
      <alignment horizontal="center" vertical="center"/>
      <protection/>
    </xf>
    <xf numFmtId="3" fontId="87" fillId="0" borderId="22" xfId="88" applyNumberFormat="1" applyFont="1" applyFill="1" applyBorder="1" applyAlignment="1">
      <alignment horizontal="left" vertical="top" wrapText="1" indent="4"/>
      <protection/>
    </xf>
    <xf numFmtId="3" fontId="86" fillId="0" borderId="23" xfId="88" applyNumberFormat="1" applyFont="1" applyFill="1" applyBorder="1" applyAlignment="1">
      <alignment horizontal="center" vertical="center"/>
      <protection/>
    </xf>
    <xf numFmtId="3" fontId="87" fillId="0" borderId="0" xfId="88" applyNumberFormat="1" applyFont="1" applyFill="1" applyAlignment="1">
      <alignment horizontal="center" vertical="center"/>
      <protection/>
    </xf>
    <xf numFmtId="3" fontId="86" fillId="0" borderId="0" xfId="88" applyNumberFormat="1" applyFont="1" applyFill="1" applyAlignment="1">
      <alignment horizontal="center" vertical="center"/>
      <protection/>
    </xf>
    <xf numFmtId="3" fontId="86" fillId="0" borderId="22" xfId="88" applyNumberFormat="1" applyFont="1" applyFill="1" applyBorder="1" applyAlignment="1">
      <alignment horizontal="left" wrapText="1" indent="2"/>
      <protection/>
    </xf>
    <xf numFmtId="3" fontId="87" fillId="0" borderId="23" xfId="88" applyNumberFormat="1" applyFont="1" applyFill="1" applyBorder="1" applyAlignment="1">
      <alignment horizontal="center" vertical="center"/>
      <protection/>
    </xf>
    <xf numFmtId="3" fontId="87" fillId="0" borderId="22" xfId="88" applyNumberFormat="1" applyFont="1" applyFill="1" applyBorder="1" applyAlignment="1">
      <alignment horizontal="right"/>
      <protection/>
    </xf>
    <xf numFmtId="3" fontId="87" fillId="0" borderId="22" xfId="0" applyNumberFormat="1" applyFont="1" applyFill="1" applyBorder="1" applyAlignment="1">
      <alignment horizontal="right" wrapText="1"/>
    </xf>
    <xf numFmtId="3" fontId="87" fillId="0" borderId="26" xfId="0" applyNumberFormat="1" applyFont="1" applyFill="1" applyBorder="1" applyAlignment="1">
      <alignment horizontal="right" wrapText="1"/>
    </xf>
    <xf numFmtId="3" fontId="87" fillId="0" borderId="49" xfId="88" applyNumberFormat="1" applyFont="1" applyFill="1" applyBorder="1" applyAlignment="1">
      <alignment horizontal="center"/>
      <protection/>
    </xf>
    <xf numFmtId="3" fontId="87" fillId="0" borderId="23" xfId="88" applyNumberFormat="1" applyFont="1" applyFill="1" applyBorder="1" applyAlignment="1">
      <alignment horizontal="center"/>
      <protection/>
    </xf>
    <xf numFmtId="3" fontId="86" fillId="0" borderId="20" xfId="88" applyNumberFormat="1" applyFont="1" applyFill="1" applyBorder="1" applyAlignment="1">
      <alignment horizontal="center"/>
      <protection/>
    </xf>
    <xf numFmtId="3" fontId="86" fillId="0" borderId="20" xfId="88" applyNumberFormat="1" applyFont="1" applyFill="1" applyBorder="1" applyAlignment="1">
      <alignment wrapText="1"/>
      <protection/>
    </xf>
    <xf numFmtId="3" fontId="86" fillId="0" borderId="21" xfId="0" applyNumberFormat="1" applyFont="1" applyFill="1" applyBorder="1" applyAlignment="1">
      <alignment horizontal="right" vertical="center" wrapText="1"/>
    </xf>
    <xf numFmtId="3" fontId="86" fillId="0" borderId="86" xfId="88" applyNumberFormat="1" applyFont="1" applyFill="1" applyBorder="1" applyAlignment="1">
      <alignment horizontal="center" vertical="center"/>
      <protection/>
    </xf>
    <xf numFmtId="3" fontId="86" fillId="0" borderId="88" xfId="88" applyNumberFormat="1" applyFont="1" applyFill="1" applyBorder="1" applyAlignment="1">
      <alignment horizontal="center"/>
      <protection/>
    </xf>
    <xf numFmtId="3" fontId="86" fillId="0" borderId="87" xfId="88" applyNumberFormat="1" applyFont="1" applyFill="1" applyBorder="1" applyAlignment="1">
      <alignment horizontal="center"/>
      <protection/>
    </xf>
    <xf numFmtId="3" fontId="86" fillId="0" borderId="117" xfId="88" applyNumberFormat="1" applyFont="1" applyFill="1" applyBorder="1" applyAlignment="1">
      <alignment horizontal="right"/>
      <protection/>
    </xf>
    <xf numFmtId="3" fontId="86" fillId="0" borderId="88" xfId="0" applyNumberFormat="1" applyFont="1" applyFill="1" applyBorder="1" applyAlignment="1">
      <alignment horizontal="right" vertical="center" wrapText="1"/>
    </xf>
    <xf numFmtId="3" fontId="86" fillId="0" borderId="118" xfId="0" applyNumberFormat="1" applyFont="1" applyFill="1" applyBorder="1" applyAlignment="1">
      <alignment horizontal="right" vertical="center" wrapText="1"/>
    </xf>
    <xf numFmtId="3" fontId="90" fillId="0" borderId="0" xfId="88" applyNumberFormat="1" applyFont="1" applyFill="1" applyAlignment="1">
      <alignment/>
      <protection/>
    </xf>
    <xf numFmtId="14" fontId="2" fillId="0" borderId="96" xfId="91" applyNumberFormat="1" applyFont="1" applyFill="1" applyBorder="1" applyAlignment="1">
      <alignment horizontal="center" vertical="center" wrapText="1"/>
      <protection/>
    </xf>
    <xf numFmtId="3" fontId="12" fillId="0" borderId="19" xfId="0" applyNumberFormat="1" applyFont="1" applyFill="1" applyBorder="1" applyAlignment="1">
      <alignment horizontal="center" vertical="top"/>
    </xf>
    <xf numFmtId="3" fontId="12" fillId="0" borderId="80" xfId="0" applyNumberFormat="1" applyFont="1" applyFill="1" applyBorder="1" applyAlignment="1">
      <alignment horizontal="center"/>
    </xf>
    <xf numFmtId="3" fontId="16" fillId="0" borderId="20" xfId="96" applyNumberFormat="1" applyFont="1" applyFill="1" applyBorder="1" applyAlignment="1">
      <alignment horizontal="left"/>
      <protection/>
    </xf>
    <xf numFmtId="3" fontId="12" fillId="0" borderId="20" xfId="96" applyNumberFormat="1" applyFont="1" applyFill="1" applyBorder="1" applyAlignment="1">
      <alignment horizontal="left"/>
      <protection/>
    </xf>
    <xf numFmtId="3" fontId="12" fillId="0" borderId="20" xfId="96" applyNumberFormat="1" applyFont="1" applyFill="1" applyBorder="1" applyAlignment="1">
      <alignment horizontal="center" vertical="top" wrapText="1"/>
      <protection/>
    </xf>
    <xf numFmtId="3" fontId="87" fillId="0" borderId="20" xfId="96" applyNumberFormat="1" applyFont="1" applyFill="1" applyBorder="1" applyAlignment="1">
      <alignment horizontal="left" indent="1"/>
      <protection/>
    </xf>
    <xf numFmtId="3" fontId="87" fillId="0" borderId="20" xfId="96" applyNumberFormat="1" applyFont="1" applyFill="1" applyBorder="1" applyAlignment="1">
      <alignment horizontal="center" vertical="center"/>
      <protection/>
    </xf>
    <xf numFmtId="0" fontId="2" fillId="0" borderId="20" xfId="90" applyFont="1" applyFill="1" applyBorder="1" applyAlignment="1">
      <alignment horizontal="left" wrapText="1"/>
      <protection/>
    </xf>
    <xf numFmtId="3" fontId="2" fillId="0" borderId="91" xfId="91" applyNumberFormat="1" applyFont="1" applyFill="1" applyBorder="1" applyAlignment="1">
      <alignment horizontal="left" wrapText="1"/>
      <protection/>
    </xf>
    <xf numFmtId="0" fontId="2" fillId="0" borderId="20" xfId="90" applyFont="1" applyFill="1" applyBorder="1" applyAlignment="1">
      <alignment horizontal="left" shrinkToFit="1"/>
      <protection/>
    </xf>
    <xf numFmtId="0" fontId="2" fillId="0" borderId="91" xfId="90" applyFont="1" applyFill="1" applyBorder="1" applyAlignment="1">
      <alignment shrinkToFit="1"/>
      <protection/>
    </xf>
    <xf numFmtId="0" fontId="2" fillId="0" borderId="20" xfId="101" applyFont="1" applyFill="1" applyBorder="1" applyAlignment="1">
      <alignment horizontal="center" vertical="center"/>
      <protection/>
    </xf>
    <xf numFmtId="3" fontId="12" fillId="0" borderId="0" xfId="0" applyNumberFormat="1" applyFont="1" applyFill="1" applyAlignment="1">
      <alignment horizontal="right"/>
    </xf>
    <xf numFmtId="3" fontId="4" fillId="0" borderId="126" xfId="87" applyNumberFormat="1" applyFont="1" applyFill="1" applyBorder="1" applyAlignment="1">
      <alignment horizontal="center" vertical="center" wrapText="1"/>
      <protection/>
    </xf>
    <xf numFmtId="3" fontId="4" fillId="0" borderId="56" xfId="87" applyNumberFormat="1" applyFont="1" applyFill="1" applyBorder="1" applyAlignment="1">
      <alignment horizontal="right" wrapText="1"/>
      <protection/>
    </xf>
    <xf numFmtId="3" fontId="4" fillId="0" borderId="58" xfId="87" applyNumberFormat="1" applyFont="1" applyFill="1" applyBorder="1" applyAlignment="1">
      <alignment horizontal="right" wrapText="1"/>
      <protection/>
    </xf>
    <xf numFmtId="3" fontId="4" fillId="0" borderId="58" xfId="0" applyNumberFormat="1" applyFont="1" applyFill="1" applyBorder="1" applyAlignment="1">
      <alignment horizontal="right"/>
    </xf>
    <xf numFmtId="3" fontId="4" fillId="0" borderId="60" xfId="0" applyNumberFormat="1" applyFont="1" applyFill="1" applyBorder="1" applyAlignment="1">
      <alignment horizontal="right" vertical="center"/>
    </xf>
    <xf numFmtId="3" fontId="4" fillId="0" borderId="61" xfId="0" applyNumberFormat="1" applyFont="1" applyFill="1" applyBorder="1" applyAlignment="1">
      <alignment horizontal="right" vertical="center"/>
    </xf>
    <xf numFmtId="3" fontId="4" fillId="0" borderId="127" xfId="0" applyNumberFormat="1" applyFont="1" applyFill="1" applyBorder="1" applyAlignment="1">
      <alignment horizontal="right" vertical="center"/>
    </xf>
    <xf numFmtId="3" fontId="4" fillId="0" borderId="58" xfId="0" applyNumberFormat="1" applyFont="1" applyFill="1" applyBorder="1" applyAlignment="1">
      <alignment horizontal="right" vertical="center"/>
    </xf>
    <xf numFmtId="3" fontId="4" fillId="0" borderId="128" xfId="0" applyNumberFormat="1" applyFont="1" applyFill="1" applyBorder="1" applyAlignment="1">
      <alignment horizontal="right" vertical="center"/>
    </xf>
    <xf numFmtId="3" fontId="4" fillId="0" borderId="12" xfId="0" applyNumberFormat="1" applyFont="1" applyFill="1" applyBorder="1" applyAlignment="1">
      <alignment horizontal="right" vertical="center"/>
    </xf>
    <xf numFmtId="3" fontId="4" fillId="0" borderId="0" xfId="0" applyNumberFormat="1" applyFont="1" applyFill="1" applyBorder="1" applyAlignment="1">
      <alignment horizontal="right"/>
    </xf>
    <xf numFmtId="3" fontId="4" fillId="0" borderId="27" xfId="0" applyNumberFormat="1" applyFont="1" applyFill="1" applyBorder="1" applyAlignment="1">
      <alignment horizontal="right" vertical="center"/>
    </xf>
    <xf numFmtId="3" fontId="4" fillId="0" borderId="28"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29" xfId="0" applyNumberFormat="1" applyFont="1" applyFill="1" applyBorder="1" applyAlignment="1">
      <alignment horizontal="right" vertical="center"/>
    </xf>
    <xf numFmtId="3" fontId="4" fillId="0" borderId="12" xfId="87" applyNumberFormat="1" applyFont="1" applyFill="1" applyBorder="1" applyAlignment="1">
      <alignment horizontal="right" wrapText="1"/>
      <protection/>
    </xf>
    <xf numFmtId="3" fontId="4" fillId="0" borderId="56" xfId="87" applyNumberFormat="1" applyFont="1" applyFill="1" applyBorder="1">
      <alignment/>
      <protection/>
    </xf>
    <xf numFmtId="3" fontId="2" fillId="0" borderId="58" xfId="87" applyNumberFormat="1" applyFont="1" applyFill="1" applyBorder="1">
      <alignment/>
      <protection/>
    </xf>
    <xf numFmtId="3" fontId="4" fillId="0" borderId="60" xfId="87" applyNumberFormat="1" applyFont="1" applyFill="1" applyBorder="1">
      <alignment/>
      <protection/>
    </xf>
    <xf numFmtId="3" fontId="4" fillId="0" borderId="58" xfId="87" applyNumberFormat="1" applyFont="1" applyFill="1" applyBorder="1">
      <alignment/>
      <protection/>
    </xf>
    <xf numFmtId="3" fontId="5" fillId="0" borderId="58" xfId="87" applyNumberFormat="1" applyFont="1" applyFill="1" applyBorder="1">
      <alignment/>
      <protection/>
    </xf>
    <xf numFmtId="3" fontId="2" fillId="0" borderId="58" xfId="87" applyNumberFormat="1" applyFont="1" applyFill="1" applyBorder="1" applyAlignment="1">
      <alignment vertical="center"/>
      <protection/>
    </xf>
    <xf numFmtId="3" fontId="4" fillId="0" borderId="58" xfId="87" applyNumberFormat="1" applyFont="1" applyFill="1" applyBorder="1" applyAlignment="1">
      <alignment vertical="center"/>
      <protection/>
    </xf>
    <xf numFmtId="3" fontId="2" fillId="0" borderId="58" xfId="87" applyNumberFormat="1" applyFont="1" applyFill="1" applyBorder="1" applyAlignment="1">
      <alignment/>
      <protection/>
    </xf>
    <xf numFmtId="3" fontId="4" fillId="0" borderId="126" xfId="87" applyNumberFormat="1" applyFont="1" applyFill="1" applyBorder="1" applyAlignment="1">
      <alignment vertical="center"/>
      <protection/>
    </xf>
    <xf numFmtId="3" fontId="2" fillId="0" borderId="58" xfId="87" applyNumberFormat="1" applyFont="1" applyFill="1" applyBorder="1" applyAlignment="1">
      <alignment vertical="top"/>
      <protection/>
    </xf>
    <xf numFmtId="3" fontId="12" fillId="0" borderId="22" xfId="88" applyNumberFormat="1" applyFont="1" applyFill="1" applyBorder="1" applyAlignment="1">
      <alignment wrapText="1"/>
      <protection/>
    </xf>
    <xf numFmtId="3" fontId="13" fillId="0" borderId="22" xfId="0" applyNumberFormat="1" applyFont="1" applyFill="1" applyBorder="1" applyAlignment="1">
      <alignment horizontal="right" wrapText="1"/>
    </xf>
    <xf numFmtId="3" fontId="13" fillId="0" borderId="26" xfId="0" applyNumberFormat="1" applyFont="1" applyFill="1" applyBorder="1" applyAlignment="1">
      <alignment horizontal="right" wrapText="1"/>
    </xf>
    <xf numFmtId="3" fontId="12" fillId="0" borderId="80" xfId="88" applyNumberFormat="1" applyFont="1" applyFill="1" applyBorder="1" applyAlignment="1">
      <alignment horizontal="right"/>
      <protection/>
    </xf>
    <xf numFmtId="3" fontId="16" fillId="0" borderId="20" xfId="0" applyNumberFormat="1" applyFont="1" applyFill="1" applyBorder="1" applyAlignment="1">
      <alignment horizontal="right" wrapText="1"/>
    </xf>
    <xf numFmtId="3" fontId="16" fillId="0" borderId="21" xfId="0" applyNumberFormat="1" applyFont="1" applyFill="1" applyBorder="1" applyAlignment="1">
      <alignment horizontal="right" wrapText="1"/>
    </xf>
    <xf numFmtId="3" fontId="16" fillId="0" borderId="22" xfId="88" applyNumberFormat="1" applyFont="1" applyFill="1" applyBorder="1" applyAlignment="1">
      <alignment horizontal="left" wrapText="1" indent="4"/>
      <protection/>
    </xf>
    <xf numFmtId="3" fontId="12" fillId="0" borderId="22" xfId="88" applyNumberFormat="1" applyFont="1" applyFill="1" applyBorder="1" applyAlignment="1">
      <alignment horizontal="left" wrapText="1" indent="4"/>
      <protection/>
    </xf>
    <xf numFmtId="3" fontId="87" fillId="0" borderId="80" xfId="88" applyNumberFormat="1" applyFont="1" applyFill="1" applyBorder="1" applyAlignment="1">
      <alignment horizontal="center"/>
      <protection/>
    </xf>
    <xf numFmtId="3" fontId="13" fillId="0" borderId="20" xfId="0" applyNumberFormat="1" applyFont="1" applyFill="1" applyBorder="1" applyAlignment="1">
      <alignment horizontal="right" vertical="center" wrapText="1"/>
    </xf>
    <xf numFmtId="3" fontId="12" fillId="0" borderId="22" xfId="88" applyNumberFormat="1" applyFont="1" applyFill="1" applyBorder="1" applyAlignment="1">
      <alignment horizontal="left" wrapText="1" indent="2"/>
      <protection/>
    </xf>
    <xf numFmtId="3" fontId="13" fillId="0" borderId="22" xfId="88" applyNumberFormat="1" applyFont="1" applyFill="1" applyBorder="1" applyAlignment="1">
      <alignment horizontal="left" wrapText="1" indent="2"/>
      <protection/>
    </xf>
    <xf numFmtId="3" fontId="16" fillId="0" borderId="22" xfId="0" applyNumberFormat="1" applyFont="1" applyFill="1" applyBorder="1" applyAlignment="1">
      <alignment horizontal="right" wrapText="1"/>
    </xf>
    <xf numFmtId="3" fontId="16" fillId="0" borderId="26" xfId="0" applyNumberFormat="1" applyFont="1" applyFill="1" applyBorder="1" applyAlignment="1">
      <alignment horizontal="right" wrapText="1"/>
    </xf>
    <xf numFmtId="3" fontId="10" fillId="0" borderId="50" xfId="88" applyNumberFormat="1" applyFont="1" applyFill="1" applyBorder="1" applyAlignment="1">
      <alignment horizontal="center" vertical="center"/>
      <protection/>
    </xf>
    <xf numFmtId="3" fontId="10" fillId="0" borderId="99" xfId="88" applyNumberFormat="1" applyFont="1" applyFill="1" applyBorder="1" applyAlignment="1">
      <alignment horizontal="center"/>
      <protection/>
    </xf>
    <xf numFmtId="3" fontId="10" fillId="0" borderId="104" xfId="88" applyNumberFormat="1" applyFont="1" applyFill="1" applyBorder="1" applyAlignment="1">
      <alignment horizontal="center"/>
      <protection/>
    </xf>
    <xf numFmtId="3" fontId="10" fillId="0" borderId="99" xfId="0" applyNumberFormat="1" applyFont="1" applyFill="1" applyBorder="1" applyAlignment="1">
      <alignment horizontal="right" vertical="center" wrapText="1"/>
    </xf>
    <xf numFmtId="3" fontId="10" fillId="0" borderId="102" xfId="0" applyNumberFormat="1" applyFont="1" applyFill="1" applyBorder="1" applyAlignment="1">
      <alignment horizontal="right" vertical="center" wrapText="1"/>
    </xf>
    <xf numFmtId="3" fontId="86" fillId="0" borderId="101" xfId="88" applyNumberFormat="1" applyFont="1" applyFill="1" applyBorder="1" applyAlignment="1">
      <alignment horizontal="right"/>
      <protection/>
    </xf>
    <xf numFmtId="3" fontId="86" fillId="0" borderId="99" xfId="0" applyNumberFormat="1" applyFont="1" applyFill="1" applyBorder="1" applyAlignment="1">
      <alignment horizontal="right" vertical="center" wrapText="1"/>
    </xf>
    <xf numFmtId="3" fontId="13" fillId="0" borderId="99" xfId="0" applyNumberFormat="1" applyFont="1" applyFill="1" applyBorder="1" applyAlignment="1">
      <alignment horizontal="right" vertical="center" wrapText="1"/>
    </xf>
    <xf numFmtId="3" fontId="10" fillId="0" borderId="20" xfId="88" applyNumberFormat="1" applyFont="1" applyFill="1" applyBorder="1" applyAlignment="1">
      <alignment horizontal="center" vertical="center" wrapText="1"/>
      <protection/>
    </xf>
    <xf numFmtId="3" fontId="13" fillId="0" borderId="80" xfId="0" applyNumberFormat="1" applyFont="1" applyFill="1" applyBorder="1" applyAlignment="1">
      <alignment vertical="center"/>
    </xf>
    <xf numFmtId="3" fontId="10" fillId="0" borderId="50" xfId="0" applyNumberFormat="1" applyFont="1" applyFill="1" applyBorder="1" applyAlignment="1">
      <alignment horizontal="center" wrapText="1"/>
    </xf>
    <xf numFmtId="3" fontId="10" fillId="0" borderId="99" xfId="0" applyNumberFormat="1" applyFont="1" applyFill="1" applyBorder="1" applyAlignment="1">
      <alignment horizontal="center" wrapText="1"/>
    </xf>
    <xf numFmtId="3" fontId="10" fillId="0" borderId="104" xfId="0" applyNumberFormat="1" applyFont="1" applyFill="1" applyBorder="1" applyAlignment="1">
      <alignment horizontal="center" wrapText="1"/>
    </xf>
    <xf numFmtId="3" fontId="86" fillId="0" borderId="88" xfId="88" applyNumberFormat="1" applyFont="1" applyFill="1" applyBorder="1" applyAlignment="1">
      <alignment wrapText="1"/>
      <protection/>
    </xf>
    <xf numFmtId="3" fontId="86" fillId="0" borderId="89" xfId="88" applyNumberFormat="1" applyFont="1" applyFill="1" applyBorder="1" applyAlignment="1">
      <alignment horizontal="right"/>
      <protection/>
    </xf>
    <xf numFmtId="3" fontId="86" fillId="0" borderId="88" xfId="88" applyNumberFormat="1" applyFont="1" applyFill="1" applyBorder="1" applyAlignment="1">
      <alignment horizontal="right"/>
      <protection/>
    </xf>
    <xf numFmtId="3" fontId="2" fillId="0" borderId="33" xfId="88" applyNumberFormat="1" applyFont="1" applyFill="1" applyBorder="1" applyAlignment="1">
      <alignment horizontal="center" vertical="center"/>
      <protection/>
    </xf>
    <xf numFmtId="3" fontId="12" fillId="0" borderId="19" xfId="0" applyNumberFormat="1" applyFont="1" applyFill="1" applyBorder="1" applyAlignment="1">
      <alignment horizontal="center" vertical="center"/>
    </xf>
    <xf numFmtId="3" fontId="12" fillId="0" borderId="91" xfId="0" applyNumberFormat="1" applyFont="1" applyFill="1" applyBorder="1" applyAlignment="1">
      <alignment horizontal="center"/>
    </xf>
    <xf numFmtId="3" fontId="12" fillId="0" borderId="80" xfId="96" applyNumberFormat="1" applyFont="1" applyFill="1" applyBorder="1" applyAlignment="1">
      <alignment/>
      <protection/>
    </xf>
    <xf numFmtId="3" fontId="13" fillId="0" borderId="91" xfId="0" applyNumberFormat="1" applyFont="1" applyFill="1" applyBorder="1" applyAlignment="1">
      <alignment horizontal="center"/>
    </xf>
    <xf numFmtId="3" fontId="13" fillId="0" borderId="20" xfId="0" applyNumberFormat="1" applyFont="1" applyFill="1" applyBorder="1" applyAlignment="1">
      <alignment/>
    </xf>
    <xf numFmtId="3" fontId="13" fillId="0" borderId="48" xfId="96" applyNumberFormat="1" applyFont="1" applyFill="1" applyBorder="1" applyAlignment="1">
      <alignment/>
      <protection/>
    </xf>
    <xf numFmtId="3" fontId="13" fillId="0" borderId="48" xfId="96" applyNumberFormat="1" applyFont="1" applyFill="1" applyBorder="1" applyAlignment="1">
      <alignment wrapText="1"/>
      <protection/>
    </xf>
    <xf numFmtId="3" fontId="13" fillId="0" borderId="90" xfId="96" applyNumberFormat="1" applyFont="1" applyFill="1" applyBorder="1" applyAlignment="1">
      <alignment wrapText="1"/>
      <protection/>
    </xf>
    <xf numFmtId="0" fontId="14" fillId="0" borderId="0" xfId="0" applyFont="1" applyFill="1" applyAlignment="1">
      <alignment horizontal="right" vertical="center"/>
    </xf>
    <xf numFmtId="0" fontId="0" fillId="0" borderId="0" xfId="0" applyFont="1" applyFill="1" applyAlignment="1">
      <alignment horizontal="right"/>
    </xf>
    <xf numFmtId="3" fontId="0" fillId="0" borderId="0" xfId="0" applyNumberFormat="1" applyFont="1" applyFill="1" applyAlignment="1">
      <alignment horizontal="right"/>
    </xf>
    <xf numFmtId="0" fontId="20" fillId="0" borderId="0" xfId="0" applyFont="1" applyFill="1" applyAlignment="1">
      <alignment horizontal="right"/>
    </xf>
    <xf numFmtId="49" fontId="0" fillId="0" borderId="0" xfId="0" applyNumberFormat="1" applyFont="1" applyFill="1" applyAlignment="1">
      <alignment horizontal="right"/>
    </xf>
    <xf numFmtId="3" fontId="12" fillId="0" borderId="80" xfId="0" applyNumberFormat="1" applyFont="1" applyFill="1" applyBorder="1" applyAlignment="1">
      <alignment horizontal="center" vertical="center"/>
    </xf>
    <xf numFmtId="3" fontId="12" fillId="0" borderId="20" xfId="96" applyNumberFormat="1" applyFont="1" applyFill="1" applyBorder="1" applyAlignment="1">
      <alignment/>
      <protection/>
    </xf>
    <xf numFmtId="3" fontId="12" fillId="0" borderId="33" xfId="0" applyNumberFormat="1" applyFont="1" applyFill="1" applyBorder="1" applyAlignment="1">
      <alignment vertical="center"/>
    </xf>
    <xf numFmtId="3" fontId="12" fillId="0" borderId="34" xfId="0" applyNumberFormat="1" applyFont="1" applyFill="1" applyBorder="1" applyAlignment="1">
      <alignment/>
    </xf>
    <xf numFmtId="3" fontId="13" fillId="0" borderId="80" xfId="0" applyNumberFormat="1" applyFont="1" applyFill="1" applyBorder="1" applyAlignment="1">
      <alignment horizontal="center" vertical="center"/>
    </xf>
    <xf numFmtId="3" fontId="13" fillId="0" borderId="20" xfId="0" applyNumberFormat="1" applyFont="1" applyFill="1" applyBorder="1" applyAlignment="1">
      <alignment vertical="center"/>
    </xf>
    <xf numFmtId="3" fontId="13" fillId="0" borderId="33" xfId="0" applyNumberFormat="1" applyFont="1" applyFill="1" applyBorder="1" applyAlignment="1">
      <alignment vertical="center"/>
    </xf>
    <xf numFmtId="3" fontId="13" fillId="0" borderId="20" xfId="0" applyNumberFormat="1" applyFont="1" applyFill="1" applyBorder="1" applyAlignment="1">
      <alignment horizontal="right"/>
    </xf>
    <xf numFmtId="3" fontId="13" fillId="0" borderId="21" xfId="0" applyNumberFormat="1" applyFont="1" applyFill="1" applyBorder="1" applyAlignment="1">
      <alignment horizontal="right"/>
    </xf>
    <xf numFmtId="3" fontId="86" fillId="0" borderId="99" xfId="0" applyNumberFormat="1" applyFont="1" applyFill="1" applyBorder="1" applyAlignment="1">
      <alignment horizontal="center" vertical="center"/>
    </xf>
    <xf numFmtId="3" fontId="12" fillId="0" borderId="20" xfId="0" applyNumberFormat="1" applyFont="1" applyFill="1" applyBorder="1" applyAlignment="1">
      <alignment horizontal="center" vertical="center"/>
    </xf>
    <xf numFmtId="3" fontId="12" fillId="0" borderId="20" xfId="96" applyNumberFormat="1" applyFont="1" applyFill="1" applyBorder="1" applyAlignment="1">
      <alignment horizontal="left" indent="1"/>
      <protection/>
    </xf>
    <xf numFmtId="3" fontId="16" fillId="0" borderId="80" xfId="0" applyNumberFormat="1" applyFont="1" applyFill="1" applyBorder="1" applyAlignment="1">
      <alignment horizontal="center" vertical="center"/>
    </xf>
    <xf numFmtId="3" fontId="16" fillId="0" borderId="20" xfId="96" applyNumberFormat="1" applyFont="1" applyFill="1" applyBorder="1" applyAlignment="1">
      <alignment horizontal="left" indent="1"/>
      <protection/>
    </xf>
    <xf numFmtId="3" fontId="16" fillId="0" borderId="20" xfId="0" applyNumberFormat="1" applyFont="1" applyFill="1" applyBorder="1" applyAlignment="1">
      <alignment vertical="center"/>
    </xf>
    <xf numFmtId="3" fontId="16" fillId="0" borderId="20" xfId="0" applyNumberFormat="1" applyFont="1" applyFill="1" applyBorder="1" applyAlignment="1">
      <alignment horizontal="right"/>
    </xf>
    <xf numFmtId="3" fontId="16" fillId="0" borderId="21" xfId="0" applyNumberFormat="1" applyFont="1" applyFill="1" applyBorder="1" applyAlignment="1">
      <alignment horizontal="right"/>
    </xf>
    <xf numFmtId="3" fontId="13" fillId="0" borderId="48" xfId="0" applyNumberFormat="1" applyFont="1" applyFill="1" applyBorder="1" applyAlignment="1">
      <alignment/>
    </xf>
    <xf numFmtId="3" fontId="13" fillId="0" borderId="22" xfId="0" applyNumberFormat="1" applyFont="1" applyFill="1" applyBorder="1" applyAlignment="1">
      <alignment horizontal="right"/>
    </xf>
    <xf numFmtId="3" fontId="13" fillId="0" borderId="49" xfId="0" applyNumberFormat="1" applyFont="1" applyFill="1" applyBorder="1" applyAlignment="1">
      <alignment horizontal="right"/>
    </xf>
    <xf numFmtId="3" fontId="13" fillId="0" borderId="26" xfId="0" applyNumberFormat="1" applyFont="1" applyFill="1" applyBorder="1" applyAlignment="1">
      <alignment horizontal="right"/>
    </xf>
    <xf numFmtId="3" fontId="86" fillId="0" borderId="103" xfId="96" applyNumberFormat="1" applyFont="1" applyFill="1" applyBorder="1" applyAlignment="1">
      <alignment/>
      <protection/>
    </xf>
    <xf numFmtId="3" fontId="86" fillId="0" borderId="99" xfId="96" applyNumberFormat="1" applyFont="1" applyFill="1" applyBorder="1" applyAlignment="1">
      <alignment horizontal="center"/>
      <protection/>
    </xf>
    <xf numFmtId="3" fontId="86" fillId="0" borderId="99" xfId="0" applyNumberFormat="1" applyFont="1" applyFill="1" applyBorder="1" applyAlignment="1">
      <alignment horizontal="right" vertical="center"/>
    </xf>
    <xf numFmtId="3" fontId="86" fillId="0" borderId="102" xfId="0" applyNumberFormat="1" applyFont="1" applyFill="1" applyBorder="1" applyAlignment="1">
      <alignment horizontal="right" vertical="center"/>
    </xf>
    <xf numFmtId="3" fontId="13" fillId="0" borderId="99" xfId="0" applyNumberFormat="1" applyFont="1" applyFill="1" applyBorder="1" applyAlignment="1">
      <alignment vertical="center"/>
    </xf>
    <xf numFmtId="3" fontId="13" fillId="0" borderId="104" xfId="0" applyNumberFormat="1" applyFont="1" applyFill="1" applyBorder="1" applyAlignment="1">
      <alignment/>
    </xf>
    <xf numFmtId="3" fontId="13" fillId="0" borderId="99" xfId="0" applyNumberFormat="1" applyFont="1" applyFill="1" applyBorder="1" applyAlignment="1">
      <alignment horizontal="right"/>
    </xf>
    <xf numFmtId="3" fontId="13" fillId="0" borderId="102" xfId="0" applyNumberFormat="1" applyFont="1" applyFill="1" applyBorder="1" applyAlignment="1">
      <alignment horizontal="right"/>
    </xf>
    <xf numFmtId="3" fontId="87" fillId="0" borderId="50" xfId="0" applyNumberFormat="1" applyFont="1" applyFill="1" applyBorder="1" applyAlignment="1">
      <alignment horizontal="left" vertical="center" wrapText="1"/>
    </xf>
    <xf numFmtId="3" fontId="87" fillId="0" borderId="101" xfId="0" applyNumberFormat="1" applyFont="1" applyFill="1" applyBorder="1" applyAlignment="1">
      <alignment horizontal="left" vertical="center" wrapText="1"/>
    </xf>
    <xf numFmtId="3" fontId="87" fillId="0" borderId="99" xfId="0" applyNumberFormat="1" applyFont="1" applyFill="1" applyBorder="1" applyAlignment="1">
      <alignment horizontal="left" vertical="center" wrapText="1"/>
    </xf>
    <xf numFmtId="3" fontId="87" fillId="0" borderId="99" xfId="0" applyNumberFormat="1" applyFont="1" applyFill="1" applyBorder="1" applyAlignment="1">
      <alignment horizontal="right" vertical="center"/>
    </xf>
    <xf numFmtId="3" fontId="86" fillId="0" borderId="104" xfId="0" applyNumberFormat="1" applyFont="1" applyFill="1" applyBorder="1" applyAlignment="1">
      <alignment horizontal="right" vertical="center"/>
    </xf>
    <xf numFmtId="0" fontId="2" fillId="0" borderId="0" xfId="74" applyFont="1" applyFill="1" applyBorder="1" applyAlignment="1" applyProtection="1">
      <alignment horizontal="center" vertical="center"/>
      <protection locked="0"/>
    </xf>
    <xf numFmtId="0" fontId="2" fillId="0" borderId="0" xfId="74" applyFont="1" applyFill="1" applyBorder="1" applyProtection="1">
      <alignment/>
      <protection locked="0"/>
    </xf>
    <xf numFmtId="3" fontId="10" fillId="22" borderId="0" xfId="101" applyNumberFormat="1" applyFont="1" applyFill="1" applyBorder="1" applyAlignment="1" applyProtection="1">
      <alignment horizontal="right"/>
      <protection locked="0"/>
    </xf>
    <xf numFmtId="3" fontId="10" fillId="0" borderId="22" xfId="101" applyNumberFormat="1" applyFont="1" applyFill="1" applyBorder="1" applyAlignment="1" applyProtection="1">
      <alignment horizontal="left"/>
      <protection locked="0"/>
    </xf>
    <xf numFmtId="3" fontId="10" fillId="0" borderId="0" xfId="74" applyNumberFormat="1" applyFont="1" applyFill="1" applyBorder="1" applyAlignment="1" applyProtection="1">
      <alignment horizontal="left" vertical="top"/>
      <protection locked="0"/>
    </xf>
    <xf numFmtId="3" fontId="10" fillId="0" borderId="0" xfId="74" applyNumberFormat="1" applyFont="1" applyFill="1" applyBorder="1" applyAlignment="1" applyProtection="1">
      <alignment horizontal="center" vertical="top"/>
      <protection locked="0"/>
    </xf>
    <xf numFmtId="3" fontId="10" fillId="0" borderId="0" xfId="74" applyNumberFormat="1" applyFont="1" applyFill="1" applyBorder="1" applyAlignment="1" applyProtection="1">
      <alignment horizontal="center" vertical="center"/>
      <protection locked="0"/>
    </xf>
    <xf numFmtId="3" fontId="10" fillId="0" borderId="0" xfId="74" applyNumberFormat="1" applyFont="1" applyFill="1" applyBorder="1" applyAlignment="1" applyProtection="1">
      <alignment/>
      <protection locked="0"/>
    </xf>
    <xf numFmtId="3" fontId="10" fillId="0" borderId="91" xfId="101" applyNumberFormat="1" applyFont="1" applyFill="1" applyBorder="1" applyAlignment="1">
      <alignment/>
      <protection/>
    </xf>
    <xf numFmtId="0" fontId="86" fillId="0" borderId="19" xfId="101" applyFont="1" applyFill="1" applyBorder="1" applyAlignment="1">
      <alignment horizontal="center" vertical="center"/>
      <protection/>
    </xf>
    <xf numFmtId="0" fontId="86" fillId="0" borderId="20" xfId="101" applyFont="1" applyFill="1" applyBorder="1" applyAlignment="1">
      <alignment horizontal="center"/>
      <protection/>
    </xf>
    <xf numFmtId="0" fontId="86" fillId="0" borderId="20" xfId="101" applyFont="1" applyFill="1" applyBorder="1" applyAlignment="1">
      <alignment wrapText="1"/>
      <protection/>
    </xf>
    <xf numFmtId="3" fontId="86" fillId="0" borderId="20" xfId="101" applyNumberFormat="1" applyFont="1" applyFill="1" applyBorder="1" applyAlignment="1">
      <alignment horizontal="right" vertical="center"/>
      <protection/>
    </xf>
    <xf numFmtId="3" fontId="86" fillId="0" borderId="20" xfId="90" applyNumberFormat="1" applyFont="1" applyFill="1" applyBorder="1" applyAlignment="1">
      <alignment horizontal="right" vertical="center"/>
      <protection/>
    </xf>
    <xf numFmtId="0" fontId="86" fillId="0" borderId="34" xfId="101" applyFont="1" applyFill="1" applyBorder="1" applyAlignment="1">
      <alignment horizontal="center" vertical="center" wrapText="1"/>
      <protection/>
    </xf>
    <xf numFmtId="3" fontId="86" fillId="0" borderId="80" xfId="90" applyNumberFormat="1" applyFont="1" applyFill="1" applyBorder="1" applyAlignment="1">
      <alignment horizontal="right" vertical="center" wrapText="1"/>
      <protection/>
    </xf>
    <xf numFmtId="3" fontId="86" fillId="0" borderId="91" xfId="101" applyNumberFormat="1" applyFont="1" applyFill="1" applyBorder="1" applyAlignment="1">
      <alignment/>
      <protection/>
    </xf>
    <xf numFmtId="3" fontId="86" fillId="0" borderId="96" xfId="90" applyNumberFormat="1" applyFont="1" applyFill="1" applyBorder="1" applyAlignment="1">
      <alignment horizontal="right" vertical="center" wrapText="1"/>
      <protection/>
    </xf>
    <xf numFmtId="3" fontId="86" fillId="0" borderId="94" xfId="101" applyNumberFormat="1" applyFont="1" applyFill="1" applyBorder="1" applyAlignment="1">
      <alignment horizontal="right" vertical="center"/>
      <protection/>
    </xf>
    <xf numFmtId="0" fontId="86" fillId="0" borderId="0" xfId="101" applyFont="1" applyFill="1" applyBorder="1">
      <alignment/>
      <protection/>
    </xf>
    <xf numFmtId="0" fontId="12" fillId="0" borderId="19" xfId="101" applyFont="1" applyFill="1" applyBorder="1" applyAlignment="1">
      <alignment horizontal="center" vertical="center"/>
      <protection/>
    </xf>
    <xf numFmtId="0" fontId="12" fillId="0" borderId="20" xfId="101" applyFont="1" applyFill="1" applyBorder="1" applyAlignment="1">
      <alignment horizontal="center"/>
      <protection/>
    </xf>
    <xf numFmtId="0" fontId="94" fillId="0" borderId="20" xfId="101" applyFont="1" applyFill="1" applyBorder="1" applyAlignment="1">
      <alignment wrapText="1"/>
      <protection/>
    </xf>
    <xf numFmtId="3" fontId="12" fillId="0" borderId="20" xfId="101" applyNumberFormat="1" applyFont="1" applyFill="1" applyBorder="1" applyAlignment="1">
      <alignment horizontal="right" vertical="center"/>
      <protection/>
    </xf>
    <xf numFmtId="3" fontId="12" fillId="0" borderId="20" xfId="90" applyNumberFormat="1" applyFont="1" applyFill="1" applyBorder="1" applyAlignment="1">
      <alignment horizontal="right" vertical="center"/>
      <protection/>
    </xf>
    <xf numFmtId="0" fontId="12" fillId="0" borderId="34" xfId="101" applyFont="1" applyFill="1" applyBorder="1" applyAlignment="1">
      <alignment horizontal="center" vertical="center" wrapText="1"/>
      <protection/>
    </xf>
    <xf numFmtId="3" fontId="12" fillId="0" borderId="80" xfId="90" applyNumberFormat="1" applyFont="1" applyFill="1" applyBorder="1" applyAlignment="1">
      <alignment horizontal="right" vertical="center" wrapText="1"/>
      <protection/>
    </xf>
    <xf numFmtId="3" fontId="12" fillId="0" borderId="91" xfId="101" applyNumberFormat="1" applyFont="1" applyFill="1" applyBorder="1" applyAlignment="1">
      <alignment/>
      <protection/>
    </xf>
    <xf numFmtId="3" fontId="12" fillId="0" borderId="96" xfId="90" applyNumberFormat="1" applyFont="1" applyFill="1" applyBorder="1" applyAlignment="1">
      <alignment horizontal="right" vertical="center" wrapText="1"/>
      <protection/>
    </xf>
    <xf numFmtId="3" fontId="12" fillId="0" borderId="94" xfId="101" applyNumberFormat="1" applyFont="1" applyFill="1" applyBorder="1" applyAlignment="1">
      <alignment horizontal="right" vertical="center"/>
      <protection/>
    </xf>
    <xf numFmtId="0" fontId="12" fillId="0" borderId="0" xfId="101" applyFont="1" applyFill="1" applyBorder="1">
      <alignment/>
      <protection/>
    </xf>
    <xf numFmtId="0" fontId="13" fillId="0" borderId="19" xfId="101" applyFont="1" applyFill="1" applyBorder="1" applyAlignment="1">
      <alignment horizontal="center" vertical="center"/>
      <protection/>
    </xf>
    <xf numFmtId="0" fontId="13" fillId="0" borderId="20" xfId="101" applyFont="1" applyFill="1" applyBorder="1" applyAlignment="1">
      <alignment horizontal="center"/>
      <protection/>
    </xf>
    <xf numFmtId="3" fontId="13" fillId="0" borderId="20" xfId="101" applyNumberFormat="1" applyFont="1" applyFill="1" applyBorder="1" applyAlignment="1">
      <alignment horizontal="right" vertical="center"/>
      <protection/>
    </xf>
    <xf numFmtId="3" fontId="13" fillId="0" borderId="20" xfId="90" applyNumberFormat="1" applyFont="1" applyFill="1" applyBorder="1" applyAlignment="1">
      <alignment horizontal="right" vertical="center"/>
      <protection/>
    </xf>
    <xf numFmtId="0" fontId="13" fillId="0" borderId="34" xfId="101" applyFont="1" applyFill="1" applyBorder="1" applyAlignment="1">
      <alignment horizontal="center" vertical="center" wrapText="1"/>
      <protection/>
    </xf>
    <xf numFmtId="3" fontId="13" fillId="0" borderId="80" xfId="90" applyNumberFormat="1" applyFont="1" applyFill="1" applyBorder="1" applyAlignment="1">
      <alignment horizontal="right" vertical="center" wrapText="1"/>
      <protection/>
    </xf>
    <xf numFmtId="3" fontId="13" fillId="0" borderId="91" xfId="101" applyNumberFormat="1" applyFont="1" applyFill="1" applyBorder="1" applyAlignment="1">
      <alignment/>
      <protection/>
    </xf>
    <xf numFmtId="3" fontId="13" fillId="0" borderId="96" xfId="90" applyNumberFormat="1" applyFont="1" applyFill="1" applyBorder="1" applyAlignment="1">
      <alignment horizontal="right" vertical="center" wrapText="1"/>
      <protection/>
    </xf>
    <xf numFmtId="3" fontId="13" fillId="0" borderId="94" xfId="101" applyNumberFormat="1" applyFont="1" applyFill="1" applyBorder="1" applyAlignment="1">
      <alignment horizontal="right" vertical="center"/>
      <protection/>
    </xf>
    <xf numFmtId="0" fontId="13" fillId="0" borderId="0" xfId="101" applyFont="1" applyFill="1" applyBorder="1">
      <alignment/>
      <protection/>
    </xf>
    <xf numFmtId="0" fontId="86" fillId="0" borderId="20" xfId="101" applyFont="1" applyFill="1" applyBorder="1" applyAlignment="1">
      <alignment horizontal="left" wrapText="1" indent="1"/>
      <protection/>
    </xf>
    <xf numFmtId="0" fontId="94" fillId="0" borderId="20" xfId="101" applyFont="1" applyFill="1" applyBorder="1" applyAlignment="1">
      <alignment horizontal="left" wrapText="1" indent="1"/>
      <protection/>
    </xf>
    <xf numFmtId="0" fontId="95" fillId="0" borderId="20" xfId="101" applyFont="1" applyFill="1" applyBorder="1" applyAlignment="1">
      <alignment horizontal="left" wrapText="1" indent="1"/>
      <protection/>
    </xf>
    <xf numFmtId="3" fontId="13" fillId="0" borderId="120" xfId="90" applyNumberFormat="1" applyFont="1" applyFill="1" applyBorder="1" applyAlignment="1">
      <alignment horizontal="right" vertical="center" wrapText="1"/>
      <protection/>
    </xf>
    <xf numFmtId="3" fontId="13" fillId="0" borderId="98" xfId="90" applyNumberFormat="1" applyFont="1" applyFill="1" applyBorder="1" applyAlignment="1">
      <alignment horizontal="right" vertical="center" wrapText="1"/>
      <protection/>
    </xf>
    <xf numFmtId="3" fontId="13" fillId="0" borderId="97" xfId="90" applyNumberFormat="1" applyFont="1" applyFill="1" applyBorder="1" applyAlignment="1">
      <alignment horizontal="right" vertical="center" wrapText="1"/>
      <protection/>
    </xf>
    <xf numFmtId="3" fontId="13" fillId="0" borderId="129" xfId="90" applyNumberFormat="1" applyFont="1" applyFill="1" applyBorder="1" applyAlignment="1">
      <alignment horizontal="right" vertical="center" wrapText="1"/>
      <protection/>
    </xf>
    <xf numFmtId="3" fontId="10" fillId="0" borderId="0" xfId="76" applyNumberFormat="1" applyFont="1" applyFill="1" applyBorder="1" applyAlignment="1">
      <alignment horizontal="left" vertical="top"/>
      <protection/>
    </xf>
    <xf numFmtId="3" fontId="10" fillId="0" borderId="0" xfId="76" applyNumberFormat="1" applyFont="1" applyFill="1" applyBorder="1" applyAlignment="1">
      <alignment horizontal="center" vertical="center"/>
      <protection/>
    </xf>
    <xf numFmtId="3" fontId="10" fillId="0" borderId="0" xfId="76" applyNumberFormat="1" applyFont="1" applyFill="1" applyBorder="1" applyAlignment="1">
      <alignment horizontal="right"/>
      <protection/>
    </xf>
    <xf numFmtId="0" fontId="2" fillId="0" borderId="121" xfId="101" applyFont="1" applyFill="1" applyBorder="1" applyAlignment="1">
      <alignment horizontal="center" wrapText="1"/>
      <protection/>
    </xf>
    <xf numFmtId="3" fontId="2" fillId="0" borderId="130" xfId="101" applyNumberFormat="1" applyFont="1" applyFill="1" applyBorder="1" applyAlignment="1">
      <alignment horizontal="right"/>
      <protection/>
    </xf>
    <xf numFmtId="0" fontId="2" fillId="0" borderId="131" xfId="101" applyFont="1" applyFill="1" applyBorder="1" applyAlignment="1">
      <alignment horizontal="center" vertical="top"/>
      <protection/>
    </xf>
    <xf numFmtId="3" fontId="2" fillId="0" borderId="131" xfId="101" applyNumberFormat="1" applyFont="1" applyFill="1" applyBorder="1" applyAlignment="1">
      <alignment horizontal="right"/>
      <protection/>
    </xf>
    <xf numFmtId="3" fontId="2" fillId="0" borderId="131" xfId="90" applyNumberFormat="1" applyFont="1" applyFill="1" applyBorder="1" applyAlignment="1">
      <alignment horizontal="right"/>
      <protection/>
    </xf>
    <xf numFmtId="3" fontId="2" fillId="0" borderId="132" xfId="101" applyNumberFormat="1" applyFont="1" applyFill="1" applyBorder="1" applyAlignment="1">
      <alignment horizontal="right"/>
      <protection/>
    </xf>
    <xf numFmtId="0" fontId="2" fillId="0" borderId="123" xfId="101" applyFont="1" applyFill="1" applyBorder="1" applyAlignment="1">
      <alignment horizontal="center" wrapText="1"/>
      <protection/>
    </xf>
    <xf numFmtId="3" fontId="4" fillId="0" borderId="37" xfId="90" applyNumberFormat="1" applyFont="1" applyFill="1" applyBorder="1" applyAlignment="1">
      <alignment horizontal="right" vertical="center" wrapText="1"/>
      <protection/>
    </xf>
    <xf numFmtId="3" fontId="4" fillId="0" borderId="123" xfId="90" applyNumberFormat="1" applyFont="1" applyFill="1" applyBorder="1" applyAlignment="1">
      <alignment horizontal="right" vertical="center" wrapText="1"/>
      <protection/>
    </xf>
    <xf numFmtId="3" fontId="4" fillId="0" borderId="133" xfId="90" applyNumberFormat="1" applyFont="1" applyFill="1" applyBorder="1" applyAlignment="1">
      <alignment horizontal="center" vertical="center" wrapText="1"/>
      <protection/>
    </xf>
    <xf numFmtId="3" fontId="4" fillId="0" borderId="131" xfId="90" applyNumberFormat="1" applyFont="1" applyFill="1" applyBorder="1" applyAlignment="1">
      <alignment horizontal="center" vertical="center" wrapText="1"/>
      <protection/>
    </xf>
    <xf numFmtId="3" fontId="4" fillId="0" borderId="134" xfId="90" applyNumberFormat="1" applyFont="1" applyFill="1" applyBorder="1" applyAlignment="1">
      <alignment horizontal="right" vertical="center" wrapText="1"/>
      <protection/>
    </xf>
    <xf numFmtId="3" fontId="4" fillId="0" borderId="96" xfId="90" applyNumberFormat="1" applyFont="1" applyFill="1" applyBorder="1" applyAlignment="1">
      <alignment horizontal="right" vertical="center" wrapText="1"/>
      <protection/>
    </xf>
    <xf numFmtId="0" fontId="2" fillId="0" borderId="52" xfId="101" applyFont="1" applyFill="1" applyBorder="1" applyAlignment="1">
      <alignment horizontal="center"/>
      <protection/>
    </xf>
    <xf numFmtId="3" fontId="2" fillId="0" borderId="52" xfId="101" applyNumberFormat="1" applyFont="1" applyFill="1" applyBorder="1" applyAlignment="1">
      <alignment horizontal="right"/>
      <protection/>
    </xf>
    <xf numFmtId="3" fontId="4" fillId="0" borderId="20" xfId="90" applyNumberFormat="1" applyFont="1" applyFill="1" applyBorder="1" applyAlignment="1">
      <alignment horizontal="right" wrapText="1"/>
      <protection/>
    </xf>
    <xf numFmtId="3" fontId="4" fillId="0" borderId="80" xfId="90" applyNumberFormat="1" applyFont="1" applyFill="1" applyBorder="1" applyAlignment="1">
      <alignment horizontal="right" wrapText="1"/>
      <protection/>
    </xf>
    <xf numFmtId="3" fontId="2" fillId="0" borderId="18" xfId="90" applyNumberFormat="1" applyFont="1" applyFill="1" applyBorder="1" applyAlignment="1">
      <alignment horizontal="right"/>
      <protection/>
    </xf>
    <xf numFmtId="0" fontId="4" fillId="0" borderId="82" xfId="101" applyFont="1" applyFill="1" applyBorder="1" applyAlignment="1">
      <alignment horizontal="center" wrapText="1"/>
      <protection/>
    </xf>
    <xf numFmtId="0" fontId="2" fillId="0" borderId="131" xfId="101" applyFont="1" applyFill="1" applyBorder="1" applyAlignment="1">
      <alignment horizontal="center"/>
      <protection/>
    </xf>
    <xf numFmtId="3" fontId="2" fillId="0" borderId="132" xfId="90" applyNumberFormat="1" applyFont="1" applyFill="1" applyBorder="1" applyAlignment="1">
      <alignment horizontal="right"/>
      <protection/>
    </xf>
    <xf numFmtId="0" fontId="4" fillId="0" borderId="123" xfId="101" applyFont="1" applyFill="1" applyBorder="1" applyAlignment="1">
      <alignment horizontal="center" wrapText="1"/>
      <protection/>
    </xf>
    <xf numFmtId="3" fontId="90" fillId="0" borderId="134" xfId="101" applyNumberFormat="1" applyFont="1" applyFill="1" applyBorder="1" applyAlignment="1">
      <alignment horizontal="right"/>
      <protection/>
    </xf>
    <xf numFmtId="0" fontId="2" fillId="0" borderId="33" xfId="101" applyFont="1" applyFill="1" applyBorder="1" applyAlignment="1">
      <alignment horizontal="center"/>
      <protection/>
    </xf>
    <xf numFmtId="3" fontId="4" fillId="0" borderId="116" xfId="90" applyNumberFormat="1" applyFont="1" applyFill="1" applyBorder="1" applyAlignment="1">
      <alignment horizontal="right" wrapText="1"/>
      <protection/>
    </xf>
    <xf numFmtId="0" fontId="2" fillId="0" borderId="22" xfId="101" applyFont="1" applyFill="1" applyBorder="1" applyAlignment="1">
      <alignment horizontal="center" vertical="top"/>
      <protection/>
    </xf>
    <xf numFmtId="3" fontId="4" fillId="0" borderId="131" xfId="101" applyNumberFormat="1" applyFont="1" applyFill="1" applyBorder="1" applyAlignment="1">
      <alignment horizontal="right"/>
      <protection/>
    </xf>
    <xf numFmtId="3" fontId="2" fillId="0" borderId="135" xfId="101" applyNumberFormat="1" applyFont="1" applyFill="1" applyBorder="1" applyAlignment="1">
      <alignment horizontal="right"/>
      <protection/>
    </xf>
    <xf numFmtId="3" fontId="2" fillId="0" borderId="136" xfId="101" applyNumberFormat="1" applyFont="1" applyFill="1" applyBorder="1" applyAlignment="1">
      <alignment horizontal="right"/>
      <protection/>
    </xf>
    <xf numFmtId="3" fontId="2" fillId="0" borderId="134" xfId="101" applyNumberFormat="1" applyFont="1" applyFill="1" applyBorder="1" applyAlignment="1">
      <alignment horizontal="right"/>
      <protection/>
    </xf>
    <xf numFmtId="3" fontId="2" fillId="0" borderId="37" xfId="90" applyNumberFormat="1" applyFont="1" applyFill="1" applyBorder="1" applyAlignment="1">
      <alignment horizontal="right" vertical="center" wrapText="1"/>
      <protection/>
    </xf>
    <xf numFmtId="3" fontId="4" fillId="0" borderId="137" xfId="90" applyNumberFormat="1" applyFont="1" applyFill="1" applyBorder="1" applyAlignment="1">
      <alignment horizontal="right" vertical="center" wrapText="1"/>
      <protection/>
    </xf>
    <xf numFmtId="3" fontId="4" fillId="0" borderId="132" xfId="90" applyNumberFormat="1" applyFont="1" applyFill="1" applyBorder="1" applyAlignment="1">
      <alignment horizontal="center" vertical="center" wrapText="1"/>
      <protection/>
    </xf>
    <xf numFmtId="3" fontId="2" fillId="0" borderId="123" xfId="90" applyNumberFormat="1" applyFont="1" applyFill="1" applyBorder="1" applyAlignment="1">
      <alignment horizontal="right" vertical="center" wrapText="1"/>
      <protection/>
    </xf>
    <xf numFmtId="3" fontId="4" fillId="0" borderId="138" xfId="90" applyNumberFormat="1" applyFont="1" applyFill="1" applyBorder="1" applyAlignment="1">
      <alignment horizontal="right" vertical="center" wrapText="1"/>
      <protection/>
    </xf>
    <xf numFmtId="3" fontId="5" fillId="0" borderId="20" xfId="101" applyNumberFormat="1" applyFont="1" applyFill="1" applyBorder="1" applyAlignment="1">
      <alignment horizontal="right"/>
      <protection/>
    </xf>
    <xf numFmtId="3" fontId="90" fillId="0" borderId="22" xfId="101" applyNumberFormat="1" applyFont="1" applyFill="1" applyBorder="1" applyAlignment="1">
      <alignment horizontal="right"/>
      <protection/>
    </xf>
    <xf numFmtId="0" fontId="2" fillId="0" borderId="0" xfId="77" applyFont="1" applyFill="1" applyBorder="1">
      <alignment/>
      <protection/>
    </xf>
    <xf numFmtId="0" fontId="86" fillId="0" borderId="20" xfId="101" applyFont="1" applyFill="1" applyBorder="1" applyAlignment="1">
      <alignment horizontal="center" vertical="top"/>
      <protection/>
    </xf>
    <xf numFmtId="0" fontId="86" fillId="0" borderId="20" xfId="90" applyFont="1" applyFill="1" applyBorder="1" applyAlignment="1">
      <alignment vertical="top" wrapText="1"/>
      <protection/>
    </xf>
    <xf numFmtId="3" fontId="86" fillId="0" borderId="20" xfId="90" applyNumberFormat="1" applyFont="1" applyFill="1" applyBorder="1" applyAlignment="1">
      <alignment horizontal="right" vertical="center" wrapText="1"/>
      <protection/>
    </xf>
    <xf numFmtId="0" fontId="12" fillId="0" borderId="20" xfId="101" applyFont="1" applyFill="1" applyBorder="1" applyAlignment="1">
      <alignment horizontal="center" vertical="top"/>
      <protection/>
    </xf>
    <xf numFmtId="0" fontId="12" fillId="0" borderId="20" xfId="90" applyFont="1" applyFill="1" applyBorder="1" applyAlignment="1">
      <alignment vertical="top" wrapText="1"/>
      <protection/>
    </xf>
    <xf numFmtId="3" fontId="12" fillId="0" borderId="20" xfId="90" applyNumberFormat="1" applyFont="1" applyFill="1" applyBorder="1" applyAlignment="1">
      <alignment horizontal="right" vertical="center" wrapText="1"/>
      <protection/>
    </xf>
    <xf numFmtId="0" fontId="13" fillId="0" borderId="20" xfId="101" applyFont="1" applyFill="1" applyBorder="1" applyAlignment="1">
      <alignment horizontal="center" vertical="top"/>
      <protection/>
    </xf>
    <xf numFmtId="0" fontId="13" fillId="0" borderId="20" xfId="90" applyFont="1" applyFill="1" applyBorder="1" applyAlignment="1">
      <alignment vertical="top" wrapText="1"/>
      <protection/>
    </xf>
    <xf numFmtId="3" fontId="10" fillId="0" borderId="0" xfId="77" applyNumberFormat="1" applyFont="1" applyFill="1" applyBorder="1" applyAlignment="1">
      <alignment horizontal="left" vertical="top"/>
      <protection/>
    </xf>
    <xf numFmtId="3" fontId="10" fillId="0" borderId="0" xfId="77" applyNumberFormat="1" applyFont="1" applyFill="1" applyBorder="1" applyAlignment="1">
      <alignment horizontal="center" vertical="center"/>
      <protection/>
    </xf>
    <xf numFmtId="3" fontId="10" fillId="0" borderId="0" xfId="77" applyNumberFormat="1" applyFont="1" applyFill="1" applyBorder="1" applyAlignment="1">
      <alignment horizontal="right"/>
      <protection/>
    </xf>
    <xf numFmtId="3" fontId="2" fillId="0" borderId="139" xfId="0" applyNumberFormat="1" applyFont="1" applyFill="1" applyBorder="1" applyAlignment="1">
      <alignment horizontal="right"/>
    </xf>
    <xf numFmtId="3" fontId="4" fillId="0" borderId="140" xfId="0" applyNumberFormat="1" applyFont="1" applyFill="1" applyBorder="1" applyAlignment="1">
      <alignment horizontal="right" vertical="center"/>
    </xf>
    <xf numFmtId="3" fontId="2" fillId="0" borderId="139" xfId="0" applyNumberFormat="1" applyFont="1" applyFill="1" applyBorder="1" applyAlignment="1">
      <alignment horizontal="right" vertical="center" textRotation="180"/>
    </xf>
    <xf numFmtId="3" fontId="4" fillId="0" borderId="141" xfId="0" applyNumberFormat="1" applyFont="1" applyFill="1" applyBorder="1" applyAlignment="1">
      <alignment horizontal="right" vertical="center"/>
    </xf>
    <xf numFmtId="3" fontId="4" fillId="0" borderId="142" xfId="0" applyNumberFormat="1" applyFont="1" applyFill="1" applyBorder="1" applyAlignment="1">
      <alignment horizontal="right" vertical="center"/>
    </xf>
    <xf numFmtId="3" fontId="2" fillId="0" borderId="139" xfId="0" applyNumberFormat="1" applyFont="1" applyFill="1" applyBorder="1" applyAlignment="1">
      <alignment horizontal="right" vertical="center"/>
    </xf>
    <xf numFmtId="3" fontId="2" fillId="0" borderId="141" xfId="0" applyNumberFormat="1" applyFont="1" applyFill="1" applyBorder="1" applyAlignment="1">
      <alignment horizontal="right" vertical="center"/>
    </xf>
    <xf numFmtId="3" fontId="2" fillId="0" borderId="143" xfId="0" applyNumberFormat="1" applyFont="1" applyFill="1" applyBorder="1" applyAlignment="1">
      <alignment horizontal="right" vertical="center"/>
    </xf>
    <xf numFmtId="164" fontId="2" fillId="0" borderId="139" xfId="110" applyNumberFormat="1" applyFont="1" applyFill="1" applyBorder="1" applyAlignment="1">
      <alignment horizontal="right"/>
    </xf>
    <xf numFmtId="164" fontId="2" fillId="0" borderId="144" xfId="110" applyNumberFormat="1" applyFont="1" applyFill="1" applyBorder="1" applyAlignment="1">
      <alignment horizontal="right"/>
    </xf>
    <xf numFmtId="3" fontId="5" fillId="0" borderId="96" xfId="90" applyNumberFormat="1" applyFont="1" applyFill="1" applyBorder="1" applyAlignment="1">
      <alignment horizontal="right" wrapText="1"/>
      <protection/>
    </xf>
    <xf numFmtId="3" fontId="4" fillId="0" borderId="0" xfId="0" applyNumberFormat="1" applyFont="1" applyFill="1" applyAlignment="1">
      <alignment/>
    </xf>
    <xf numFmtId="3" fontId="5" fillId="0" borderId="0" xfId="0" applyNumberFormat="1" applyFont="1" applyFill="1" applyAlignment="1">
      <alignment/>
    </xf>
    <xf numFmtId="3" fontId="2" fillId="0" borderId="0" xfId="0" applyNumberFormat="1" applyFont="1" applyFill="1" applyBorder="1" applyAlignment="1">
      <alignment horizontal="right"/>
    </xf>
    <xf numFmtId="3" fontId="13" fillId="0" borderId="91" xfId="0" applyNumberFormat="1" applyFont="1" applyFill="1" applyBorder="1" applyAlignment="1">
      <alignment horizontal="center" vertical="center"/>
    </xf>
    <xf numFmtId="3" fontId="10" fillId="0" borderId="22" xfId="96" applyNumberFormat="1" applyFont="1" applyFill="1" applyBorder="1" applyAlignment="1" applyProtection="1">
      <alignment horizontal="center"/>
      <protection locked="0"/>
    </xf>
    <xf numFmtId="0" fontId="10" fillId="0" borderId="22" xfId="102" applyFont="1" applyFill="1" applyBorder="1" applyAlignment="1" applyProtection="1">
      <alignment horizontal="left"/>
      <protection locked="0"/>
    </xf>
    <xf numFmtId="3" fontId="10" fillId="0" borderId="22" xfId="102" applyNumberFormat="1" applyFont="1" applyFill="1" applyBorder="1" applyAlignment="1" applyProtection="1">
      <alignment horizontal="left"/>
      <protection locked="0"/>
    </xf>
    <xf numFmtId="3" fontId="2" fillId="0" borderId="16" xfId="87" applyNumberFormat="1" applyFont="1" applyFill="1" applyBorder="1" applyAlignment="1">
      <alignment horizontal="center" vertical="center" wrapText="1"/>
      <protection/>
    </xf>
    <xf numFmtId="3" fontId="13" fillId="0" borderId="101" xfId="88" applyNumberFormat="1" applyFont="1" applyFill="1" applyBorder="1" applyAlignment="1">
      <alignment horizontal="right"/>
      <protection/>
    </xf>
    <xf numFmtId="3" fontId="12" fillId="0" borderId="99" xfId="0" applyNumberFormat="1" applyFont="1" applyFill="1" applyBorder="1" applyAlignment="1">
      <alignment horizontal="right" vertical="center" wrapText="1"/>
    </xf>
    <xf numFmtId="3" fontId="10" fillId="0" borderId="103" xfId="88" applyNumberFormat="1" applyFont="1" applyFill="1" applyBorder="1" applyAlignment="1">
      <alignment horizontal="right"/>
      <protection/>
    </xf>
    <xf numFmtId="3" fontId="10" fillId="0" borderId="99" xfId="88" applyNumberFormat="1" applyFont="1" applyFill="1" applyBorder="1" applyAlignment="1">
      <alignment horizontal="right"/>
      <protection/>
    </xf>
    <xf numFmtId="3" fontId="13" fillId="0" borderId="102" xfId="0" applyNumberFormat="1" applyFont="1" applyFill="1" applyBorder="1" applyAlignment="1">
      <alignment horizontal="right" vertical="center" wrapText="1"/>
    </xf>
    <xf numFmtId="3" fontId="12" fillId="0" borderId="102" xfId="0" applyNumberFormat="1" applyFont="1" applyFill="1" applyBorder="1" applyAlignment="1">
      <alignment horizontal="right" vertical="center" wrapText="1"/>
    </xf>
    <xf numFmtId="3" fontId="10" fillId="0" borderId="82" xfId="88" applyNumberFormat="1" applyFont="1" applyFill="1" applyBorder="1" applyAlignment="1">
      <alignment horizontal="center"/>
      <protection/>
    </xf>
    <xf numFmtId="3" fontId="13" fillId="0" borderId="81" xfId="0" applyNumberFormat="1" applyFont="1" applyFill="1" applyBorder="1" applyAlignment="1">
      <alignment vertical="center"/>
    </xf>
    <xf numFmtId="3" fontId="13" fillId="0" borderId="145" xfId="0" applyNumberFormat="1" applyFont="1" applyFill="1" applyBorder="1" applyAlignment="1">
      <alignment vertical="center"/>
    </xf>
    <xf numFmtId="3" fontId="12" fillId="0" borderId="79" xfId="0" applyNumberFormat="1" applyFont="1" applyFill="1" applyBorder="1" applyAlignment="1">
      <alignment vertical="center"/>
    </xf>
    <xf numFmtId="3" fontId="2" fillId="0" borderId="77" xfId="0" applyNumberFormat="1" applyFont="1" applyFill="1" applyBorder="1" applyAlignment="1">
      <alignment horizontal="right" vertical="center" wrapText="1"/>
    </xf>
    <xf numFmtId="3" fontId="2" fillId="0" borderId="51" xfId="88" applyNumberFormat="1" applyFont="1" applyFill="1" applyBorder="1" applyAlignment="1">
      <alignment vertical="center" shrinkToFit="1"/>
      <protection/>
    </xf>
    <xf numFmtId="3" fontId="2" fillId="0" borderId="0" xfId="91" applyNumberFormat="1" applyFont="1" applyBorder="1" applyAlignment="1">
      <alignment horizontal="right" vertical="center" wrapText="1"/>
      <protection/>
    </xf>
    <xf numFmtId="3" fontId="10" fillId="0" borderId="10" xfId="88" applyNumberFormat="1" applyFont="1" applyFill="1" applyBorder="1" applyAlignment="1" applyProtection="1">
      <alignment horizontal="center" vertical="center" textRotation="90"/>
      <protection locked="0"/>
    </xf>
    <xf numFmtId="0" fontId="10" fillId="0" borderId="35" xfId="101" applyFont="1" applyFill="1" applyBorder="1" applyAlignment="1" applyProtection="1">
      <alignment horizontal="center" vertical="center" textRotation="90" wrapText="1"/>
      <protection locked="0"/>
    </xf>
    <xf numFmtId="3" fontId="10" fillId="0" borderId="35" xfId="101" applyNumberFormat="1" applyFont="1" applyFill="1" applyBorder="1" applyAlignment="1" applyProtection="1">
      <alignment horizontal="center" vertical="center" wrapText="1"/>
      <protection locked="0"/>
    </xf>
    <xf numFmtId="3" fontId="13" fillId="0" borderId="107" xfId="101" applyNumberFormat="1" applyFont="1" applyFill="1" applyBorder="1" applyAlignment="1" applyProtection="1">
      <alignment horizontal="center" vertical="center" wrapText="1"/>
      <protection locked="0"/>
    </xf>
    <xf numFmtId="3" fontId="13" fillId="0" borderId="35" xfId="102" applyNumberFormat="1" applyFont="1" applyFill="1" applyBorder="1" applyAlignment="1" applyProtection="1">
      <alignment vertical="center"/>
      <protection locked="0"/>
    </xf>
    <xf numFmtId="3" fontId="13" fillId="0" borderId="35" xfId="101" applyNumberFormat="1" applyFont="1" applyFill="1" applyBorder="1" applyAlignment="1" applyProtection="1">
      <alignment vertical="center"/>
      <protection locked="0"/>
    </xf>
    <xf numFmtId="3" fontId="13" fillId="0" borderId="20" xfId="102" applyNumberFormat="1" applyFont="1" applyFill="1" applyBorder="1" applyAlignment="1" applyProtection="1">
      <alignment vertical="center"/>
      <protection locked="0"/>
    </xf>
    <xf numFmtId="3" fontId="13" fillId="0" borderId="20" xfId="101" applyNumberFormat="1" applyFont="1" applyFill="1" applyBorder="1" applyAlignment="1" applyProtection="1">
      <alignment vertical="center"/>
      <protection locked="0"/>
    </xf>
    <xf numFmtId="3" fontId="13" fillId="0" borderId="107" xfId="101" applyNumberFormat="1" applyFont="1" applyFill="1" applyBorder="1" applyAlignment="1" applyProtection="1">
      <alignment horizontal="right" vertical="center"/>
      <protection locked="0"/>
    </xf>
    <xf numFmtId="3" fontId="13" fillId="0" borderId="80" xfId="101" applyNumberFormat="1" applyFont="1" applyFill="1" applyBorder="1" applyAlignment="1" applyProtection="1">
      <alignment horizontal="right" vertical="center"/>
      <protection locked="0"/>
    </xf>
    <xf numFmtId="3" fontId="13" fillId="0" borderId="99" xfId="102" applyNumberFormat="1" applyFont="1" applyFill="1" applyBorder="1" applyAlignment="1" applyProtection="1">
      <alignment vertical="center"/>
      <protection locked="0"/>
    </xf>
    <xf numFmtId="3" fontId="10" fillId="0" borderId="99" xfId="101" applyNumberFormat="1" applyFont="1" applyFill="1" applyBorder="1" applyAlignment="1" applyProtection="1">
      <alignment vertical="center"/>
      <protection locked="0"/>
    </xf>
    <xf numFmtId="3" fontId="13" fillId="0" borderId="101" xfId="101" applyNumberFormat="1" applyFont="1" applyFill="1" applyBorder="1" applyAlignment="1" applyProtection="1">
      <alignment horizontal="right" vertical="center"/>
      <protection locked="0"/>
    </xf>
    <xf numFmtId="3" fontId="10" fillId="0" borderId="109" xfId="101" applyNumberFormat="1" applyFont="1" applyFill="1" applyBorder="1" applyAlignment="1" applyProtection="1">
      <alignment vertical="center"/>
      <protection locked="0"/>
    </xf>
    <xf numFmtId="3" fontId="13" fillId="0" borderId="146" xfId="101" applyNumberFormat="1" applyFont="1" applyFill="1" applyBorder="1" applyAlignment="1" applyProtection="1">
      <alignment horizontal="right" vertical="center"/>
      <protection locked="0"/>
    </xf>
    <xf numFmtId="0" fontId="13" fillId="0" borderId="106" xfId="102" applyFont="1" applyFill="1" applyBorder="1" applyAlignment="1" applyProtection="1">
      <alignment horizontal="center" vertical="center"/>
      <protection locked="0"/>
    </xf>
    <xf numFmtId="3" fontId="10" fillId="0" borderId="48" xfId="101" applyNumberFormat="1" applyFont="1" applyFill="1" applyBorder="1" applyAlignment="1" applyProtection="1">
      <alignment horizontal="right"/>
      <protection locked="0"/>
    </xf>
    <xf numFmtId="3" fontId="10" fillId="0" borderId="48" xfId="101" applyNumberFormat="1" applyFont="1" applyFill="1" applyBorder="1" applyAlignment="1" applyProtection="1">
      <alignment horizontal="right" vertical="center"/>
      <protection locked="0"/>
    </xf>
    <xf numFmtId="3" fontId="10" fillId="0" borderId="48" xfId="101" applyNumberFormat="1" applyFont="1" applyFill="1" applyBorder="1" applyAlignment="1" applyProtection="1">
      <alignment horizontal="left"/>
      <protection locked="0"/>
    </xf>
    <xf numFmtId="3" fontId="10" fillId="0" borderId="48" xfId="101" applyNumberFormat="1" applyFont="1" applyFill="1" applyBorder="1" applyAlignment="1" applyProtection="1">
      <alignment vertical="center"/>
      <protection locked="0"/>
    </xf>
    <xf numFmtId="3" fontId="13" fillId="0" borderId="147" xfId="101" applyNumberFormat="1" applyFont="1" applyFill="1" applyBorder="1" applyAlignment="1" applyProtection="1">
      <alignment horizontal="right" vertical="center"/>
      <protection locked="0"/>
    </xf>
    <xf numFmtId="3" fontId="13" fillId="0" borderId="148" xfId="101" applyNumberFormat="1" applyFont="1" applyFill="1" applyBorder="1" applyAlignment="1" applyProtection="1">
      <alignment horizontal="right" vertical="center"/>
      <protection locked="0"/>
    </xf>
    <xf numFmtId="3" fontId="10" fillId="22" borderId="0" xfId="0" applyNumberFormat="1" applyFont="1" applyFill="1" applyAlignment="1">
      <alignment horizontal="right"/>
    </xf>
    <xf numFmtId="3" fontId="12" fillId="0" borderId="33" xfId="0" applyNumberFormat="1" applyFont="1" applyFill="1" applyBorder="1" applyAlignment="1">
      <alignment vertical="top"/>
    </xf>
    <xf numFmtId="3" fontId="87" fillId="0" borderId="33" xfId="0" applyNumberFormat="1" applyFont="1" applyFill="1" applyBorder="1" applyAlignment="1">
      <alignment vertical="center"/>
    </xf>
    <xf numFmtId="3" fontId="16" fillId="0" borderId="33" xfId="0" applyNumberFormat="1" applyFont="1" applyFill="1" applyBorder="1" applyAlignment="1">
      <alignment vertical="center"/>
    </xf>
    <xf numFmtId="3" fontId="10" fillId="0" borderId="33" xfId="0" applyNumberFormat="1" applyFont="1" applyFill="1" applyBorder="1" applyAlignment="1">
      <alignment vertical="top"/>
    </xf>
    <xf numFmtId="3" fontId="16" fillId="0" borderId="149" xfId="0" applyNumberFormat="1" applyFont="1" applyFill="1" applyBorder="1" applyAlignment="1">
      <alignment vertical="center"/>
    </xf>
    <xf numFmtId="3" fontId="13" fillId="0" borderId="150" xfId="0" applyNumberFormat="1" applyFont="1" applyFill="1" applyBorder="1" applyAlignment="1">
      <alignment vertical="center"/>
    </xf>
    <xf numFmtId="3" fontId="13" fillId="0" borderId="48" xfId="0" applyNumberFormat="1" applyFont="1" applyFill="1" applyBorder="1" applyAlignment="1">
      <alignment horizontal="right"/>
    </xf>
    <xf numFmtId="3" fontId="12" fillId="0" borderId="33" xfId="0" applyNumberFormat="1" applyFont="1" applyFill="1" applyBorder="1" applyAlignment="1">
      <alignment/>
    </xf>
    <xf numFmtId="3" fontId="10" fillId="0" borderId="33" xfId="0" applyNumberFormat="1" applyFont="1" applyFill="1" applyBorder="1" applyAlignment="1">
      <alignment vertical="center"/>
    </xf>
    <xf numFmtId="3" fontId="10" fillId="0" borderId="80" xfId="0" applyNumberFormat="1" applyFont="1" applyFill="1" applyBorder="1" applyAlignment="1">
      <alignment horizontal="center" vertical="center"/>
    </xf>
    <xf numFmtId="3" fontId="16" fillId="0" borderId="150" xfId="0" applyNumberFormat="1" applyFont="1" applyFill="1" applyBorder="1" applyAlignment="1">
      <alignment vertical="center"/>
    </xf>
    <xf numFmtId="3" fontId="13" fillId="0" borderId="150" xfId="0" applyNumberFormat="1" applyFont="1" applyFill="1" applyBorder="1" applyAlignment="1">
      <alignment horizontal="right" vertical="center"/>
    </xf>
    <xf numFmtId="3" fontId="10" fillId="0" borderId="33" xfId="0" applyNumberFormat="1" applyFont="1" applyFill="1" applyBorder="1" applyAlignment="1">
      <alignment horizontal="right" vertical="center"/>
    </xf>
    <xf numFmtId="3" fontId="87" fillId="0" borderId="96" xfId="0" applyNumberFormat="1" applyFont="1" applyFill="1" applyBorder="1" applyAlignment="1">
      <alignment horizontal="right" vertical="center"/>
    </xf>
    <xf numFmtId="3" fontId="87" fillId="0" borderId="33" xfId="0" applyNumberFormat="1" applyFont="1" applyFill="1" applyBorder="1" applyAlignment="1">
      <alignment horizontal="right" vertical="center"/>
    </xf>
    <xf numFmtId="3" fontId="10" fillId="0" borderId="33" xfId="0" applyNumberFormat="1" applyFont="1" applyFill="1" applyBorder="1" applyAlignment="1">
      <alignment horizontal="right" vertical="top"/>
    </xf>
    <xf numFmtId="3" fontId="87" fillId="0" borderId="103" xfId="0" applyNumberFormat="1" applyFont="1" applyFill="1" applyBorder="1" applyAlignment="1">
      <alignment horizontal="right" vertical="center"/>
    </xf>
    <xf numFmtId="3" fontId="13" fillId="0" borderId="20" xfId="90" applyNumberFormat="1" applyFont="1" applyFill="1" applyBorder="1" applyAlignment="1">
      <alignment horizontal="right" vertical="center" wrapText="1"/>
      <protection/>
    </xf>
    <xf numFmtId="0" fontId="13" fillId="0" borderId="80" xfId="101" applyFont="1" applyFill="1" applyBorder="1" applyAlignment="1">
      <alignment horizontal="center" vertical="center" wrapText="1"/>
      <protection/>
    </xf>
    <xf numFmtId="3" fontId="13" fillId="0" borderId="136" xfId="101" applyNumberFormat="1" applyFont="1" applyFill="1" applyBorder="1" applyAlignment="1">
      <alignment horizontal="right" vertical="center"/>
      <protection/>
    </xf>
    <xf numFmtId="3" fontId="2" fillId="0" borderId="19" xfId="91" applyNumberFormat="1" applyFont="1" applyFill="1" applyBorder="1" applyAlignment="1">
      <alignment horizontal="center" vertical="center" wrapText="1"/>
      <protection/>
    </xf>
    <xf numFmtId="3" fontId="17" fillId="0" borderId="96" xfId="90" applyNumberFormat="1" applyFont="1" applyFill="1" applyBorder="1" applyAlignment="1">
      <alignment horizontal="right" wrapText="1"/>
      <protection/>
    </xf>
    <xf numFmtId="3" fontId="10" fillId="0" borderId="0" xfId="88" applyNumberFormat="1" applyFont="1" applyFill="1" applyAlignment="1">
      <alignment/>
      <protection/>
    </xf>
    <xf numFmtId="3" fontId="10" fillId="0" borderId="95" xfId="88" applyNumberFormat="1" applyFont="1" applyFill="1" applyBorder="1" applyAlignment="1">
      <alignment horizontal="center" vertical="center" wrapText="1"/>
      <protection/>
    </xf>
    <xf numFmtId="3" fontId="10" fillId="0" borderId="48" xfId="88" applyNumberFormat="1" applyFont="1" applyFill="1" applyBorder="1" applyAlignment="1">
      <alignment horizontal="right"/>
      <protection/>
    </xf>
    <xf numFmtId="3" fontId="10" fillId="0" borderId="33" xfId="88" applyNumberFormat="1" applyFont="1" applyFill="1" applyBorder="1" applyAlignment="1">
      <alignment horizontal="right"/>
      <protection/>
    </xf>
    <xf numFmtId="3" fontId="2" fillId="0" borderId="96" xfId="88" applyNumberFormat="1" applyFont="1" applyFill="1" applyBorder="1" applyAlignment="1">
      <alignment horizontal="center" vertical="center"/>
      <protection/>
    </xf>
    <xf numFmtId="3" fontId="86" fillId="0" borderId="33" xfId="88" applyNumberFormat="1" applyFont="1" applyFill="1" applyBorder="1" applyAlignment="1">
      <alignment horizontal="right"/>
      <protection/>
    </xf>
    <xf numFmtId="3" fontId="12" fillId="0" borderId="33" xfId="88" applyNumberFormat="1" applyFont="1" applyFill="1" applyBorder="1" applyAlignment="1">
      <alignment horizontal="right"/>
      <protection/>
    </xf>
    <xf numFmtId="3" fontId="2" fillId="0" borderId="151" xfId="88" applyNumberFormat="1" applyFont="1" applyFill="1" applyBorder="1" applyAlignment="1">
      <alignment horizontal="center" vertical="center"/>
      <protection/>
    </xf>
    <xf numFmtId="3" fontId="86" fillId="0" borderId="48" xfId="88" applyNumberFormat="1" applyFont="1" applyFill="1" applyBorder="1" applyAlignment="1">
      <alignment horizontal="right"/>
      <protection/>
    </xf>
    <xf numFmtId="3" fontId="87" fillId="0" borderId="33" xfId="88" applyNumberFormat="1" applyFont="1" applyFill="1" applyBorder="1" applyAlignment="1">
      <alignment horizontal="right"/>
      <protection/>
    </xf>
    <xf numFmtId="3" fontId="93" fillId="0" borderId="96" xfId="88" applyNumberFormat="1" applyFont="1" applyFill="1" applyBorder="1" applyAlignment="1">
      <alignment horizontal="center" vertical="center"/>
      <protection/>
    </xf>
    <xf numFmtId="3" fontId="10" fillId="0" borderId="33" xfId="88" applyNumberFormat="1" applyFont="1" applyFill="1" applyBorder="1" applyAlignment="1">
      <alignment/>
      <protection/>
    </xf>
    <xf numFmtId="3" fontId="87" fillId="0" borderId="48" xfId="88" applyNumberFormat="1" applyFont="1" applyFill="1" applyBorder="1" applyAlignment="1">
      <alignment horizontal="right"/>
      <protection/>
    </xf>
    <xf numFmtId="3" fontId="12" fillId="0" borderId="48" xfId="88" applyNumberFormat="1" applyFont="1" applyFill="1" applyBorder="1" applyAlignment="1">
      <alignment horizontal="right"/>
      <protection/>
    </xf>
    <xf numFmtId="3" fontId="10" fillId="0" borderId="100" xfId="88" applyNumberFormat="1" applyFont="1" applyFill="1" applyBorder="1" applyAlignment="1">
      <alignment horizontal="right"/>
      <protection/>
    </xf>
    <xf numFmtId="3" fontId="10" fillId="0" borderId="48" xfId="101" applyNumberFormat="1" applyFont="1" applyFill="1" applyBorder="1" applyAlignment="1">
      <alignment horizontal="right" vertical="center"/>
      <protection/>
    </xf>
    <xf numFmtId="3" fontId="10" fillId="0" borderId="33" xfId="101" applyNumberFormat="1" applyFont="1" applyFill="1" applyBorder="1" applyAlignment="1">
      <alignment horizontal="right" vertical="center"/>
      <protection/>
    </xf>
    <xf numFmtId="3" fontId="12" fillId="0" borderId="33" xfId="101" applyNumberFormat="1" applyFont="1" applyFill="1" applyBorder="1" applyAlignment="1">
      <alignment horizontal="right" vertical="center"/>
      <protection/>
    </xf>
    <xf numFmtId="3" fontId="13" fillId="0" borderId="33" xfId="101" applyNumberFormat="1" applyFont="1" applyFill="1" applyBorder="1" applyAlignment="1">
      <alignment horizontal="right" vertical="center"/>
      <protection/>
    </xf>
    <xf numFmtId="3" fontId="86" fillId="0" borderId="33" xfId="101" applyNumberFormat="1" applyFont="1" applyFill="1" applyBorder="1" applyAlignment="1">
      <alignment horizontal="right" vertical="center"/>
      <protection/>
    </xf>
    <xf numFmtId="3" fontId="13" fillId="0" borderId="96" xfId="101" applyNumberFormat="1" applyFont="1" applyFill="1" applyBorder="1" applyAlignment="1">
      <alignment horizontal="right" vertical="center"/>
      <protection/>
    </xf>
    <xf numFmtId="3" fontId="10" fillId="0" borderId="90" xfId="91" applyNumberFormat="1" applyFont="1" applyFill="1" applyBorder="1" applyAlignment="1">
      <alignment horizontal="left" vertical="center" wrapText="1"/>
      <protection/>
    </xf>
    <xf numFmtId="3" fontId="12" fillId="0" borderId="91" xfId="101" applyNumberFormat="1" applyFont="1" applyFill="1" applyBorder="1" applyAlignment="1">
      <alignment vertical="center"/>
      <protection/>
    </xf>
    <xf numFmtId="3" fontId="13" fillId="0" borderId="91" xfId="101" applyNumberFormat="1" applyFont="1" applyFill="1" applyBorder="1" applyAlignment="1">
      <alignment horizontal="right" vertical="center"/>
      <protection/>
    </xf>
    <xf numFmtId="3" fontId="5" fillId="0" borderId="20" xfId="90" applyNumberFormat="1" applyFont="1" applyFill="1" applyBorder="1" applyAlignment="1">
      <alignment horizontal="right" wrapText="1"/>
      <protection/>
    </xf>
    <xf numFmtId="3" fontId="5" fillId="0" borderId="80" xfId="101" applyNumberFormat="1" applyFont="1" applyFill="1" applyBorder="1" applyAlignment="1">
      <alignment horizontal="right"/>
      <protection/>
    </xf>
    <xf numFmtId="3" fontId="12" fillId="0" borderId="22" xfId="88" applyNumberFormat="1" applyFont="1" applyFill="1" applyBorder="1" applyAlignment="1">
      <alignment shrinkToFit="1"/>
      <protection/>
    </xf>
    <xf numFmtId="3" fontId="5" fillId="0" borderId="80" xfId="90" applyNumberFormat="1" applyFont="1" applyFill="1" applyBorder="1" applyAlignment="1">
      <alignment horizontal="right" wrapText="1"/>
      <protection/>
    </xf>
    <xf numFmtId="3" fontId="86" fillId="0" borderId="99" xfId="0" applyNumberFormat="1" applyFont="1" applyFill="1" applyBorder="1" applyAlignment="1">
      <alignment horizontal="right" wrapText="1"/>
    </xf>
    <xf numFmtId="3" fontId="86" fillId="0" borderId="102" xfId="0" applyNumberFormat="1" applyFont="1" applyFill="1" applyBorder="1" applyAlignment="1">
      <alignment horizontal="right" wrapText="1"/>
    </xf>
    <xf numFmtId="3" fontId="13" fillId="0" borderId="20" xfId="88" applyNumberFormat="1" applyFont="1" applyFill="1" applyBorder="1" applyAlignment="1">
      <alignment shrinkToFit="1"/>
      <protection/>
    </xf>
    <xf numFmtId="3" fontId="86" fillId="0" borderId="152" xfId="88" applyNumberFormat="1" applyFont="1" applyFill="1" applyBorder="1" applyAlignment="1">
      <alignment horizontal="right"/>
      <protection/>
    </xf>
    <xf numFmtId="3" fontId="10" fillId="0" borderId="112" xfId="88" applyNumberFormat="1" applyFont="1" applyFill="1" applyBorder="1" applyAlignment="1">
      <alignment horizontal="right"/>
      <protection/>
    </xf>
    <xf numFmtId="3" fontId="12" fillId="0" borderId="22" xfId="88" applyNumberFormat="1" applyFont="1" applyFill="1" applyBorder="1" applyAlignment="1">
      <alignment horizontal="left" vertical="top" wrapText="1" indent="4"/>
      <protection/>
    </xf>
    <xf numFmtId="0" fontId="10" fillId="0" borderId="19" xfId="102" applyFont="1" applyFill="1" applyBorder="1" applyAlignment="1" applyProtection="1">
      <alignment horizontal="center"/>
      <protection locked="0"/>
    </xf>
    <xf numFmtId="3" fontId="2" fillId="0" borderId="19" xfId="88" applyNumberFormat="1" applyFont="1" applyFill="1" applyBorder="1" applyAlignment="1">
      <alignment vertical="center" shrinkToFit="1"/>
      <protection/>
    </xf>
    <xf numFmtId="3" fontId="13" fillId="0" borderId="99" xfId="0" applyNumberFormat="1" applyFont="1" applyFill="1" applyBorder="1" applyAlignment="1">
      <alignment vertical="top"/>
    </xf>
    <xf numFmtId="3" fontId="13" fillId="0" borderId="102" xfId="0" applyNumberFormat="1" applyFont="1" applyFill="1" applyBorder="1" applyAlignment="1">
      <alignment vertical="top"/>
    </xf>
    <xf numFmtId="3" fontId="13" fillId="0" borderId="102" xfId="0" applyNumberFormat="1" applyFont="1" applyFill="1" applyBorder="1" applyAlignment="1">
      <alignment vertical="center"/>
    </xf>
    <xf numFmtId="3" fontId="86" fillId="0" borderId="80" xfId="0" applyNumberFormat="1" applyFont="1" applyFill="1" applyBorder="1" applyAlignment="1">
      <alignment horizontal="center"/>
    </xf>
    <xf numFmtId="3" fontId="87" fillId="0" borderId="80" xfId="0" applyNumberFormat="1" applyFont="1" applyFill="1" applyBorder="1" applyAlignment="1">
      <alignment horizontal="center"/>
    </xf>
    <xf numFmtId="3" fontId="10" fillId="0" borderId="91" xfId="96" applyNumberFormat="1" applyFont="1" applyFill="1" applyBorder="1" applyAlignment="1">
      <alignment/>
      <protection/>
    </xf>
    <xf numFmtId="3" fontId="12" fillId="0" borderId="49" xfId="0" applyNumberFormat="1" applyFont="1" applyFill="1" applyBorder="1" applyAlignment="1">
      <alignment/>
    </xf>
    <xf numFmtId="3" fontId="13" fillId="0" borderId="99" xfId="0" applyNumberFormat="1" applyFont="1" applyFill="1" applyBorder="1" applyAlignment="1">
      <alignment horizontal="right" vertical="center"/>
    </xf>
    <xf numFmtId="3" fontId="13" fillId="0" borderId="102" xfId="0" applyNumberFormat="1" applyFont="1" applyFill="1" applyBorder="1" applyAlignment="1">
      <alignment horizontal="right" vertical="center"/>
    </xf>
    <xf numFmtId="3" fontId="13" fillId="0" borderId="104" xfId="0" applyNumberFormat="1" applyFont="1" applyFill="1" applyBorder="1" applyAlignment="1">
      <alignment horizontal="right" vertical="center"/>
    </xf>
    <xf numFmtId="0" fontId="13" fillId="0" borderId="20" xfId="101" applyFont="1" applyFill="1" applyBorder="1" applyAlignment="1">
      <alignment wrapText="1"/>
      <protection/>
    </xf>
    <xf numFmtId="3" fontId="86" fillId="0" borderId="80" xfId="90" applyNumberFormat="1" applyFont="1" applyFill="1" applyBorder="1" applyAlignment="1">
      <alignment horizontal="right" wrapText="1"/>
      <protection/>
    </xf>
    <xf numFmtId="3" fontId="2" fillId="0" borderId="48" xfId="90" applyNumberFormat="1" applyFont="1" applyFill="1" applyBorder="1" applyAlignment="1">
      <alignment horizontal="right"/>
      <protection/>
    </xf>
    <xf numFmtId="0" fontId="4" fillId="0" borderId="49" xfId="101" applyFont="1" applyFill="1" applyBorder="1" applyAlignment="1">
      <alignment horizontal="center" wrapText="1"/>
      <protection/>
    </xf>
    <xf numFmtId="3" fontId="4" fillId="0" borderId="22" xfId="90" applyNumberFormat="1" applyFont="1" applyFill="1" applyBorder="1" applyAlignment="1">
      <alignment horizontal="right" wrapText="1"/>
      <protection/>
    </xf>
    <xf numFmtId="3" fontId="90" fillId="0" borderId="135" xfId="101" applyNumberFormat="1" applyFont="1" applyFill="1" applyBorder="1" applyAlignment="1">
      <alignment horizontal="right"/>
      <protection/>
    </xf>
    <xf numFmtId="0" fontId="2" fillId="0" borderId="18" xfId="101" applyFont="1" applyFill="1" applyBorder="1" applyAlignment="1">
      <alignment horizontal="center"/>
      <protection/>
    </xf>
    <xf numFmtId="3" fontId="4" fillId="0" borderId="101" xfId="90" applyNumberFormat="1" applyFont="1" applyFill="1" applyBorder="1" applyAlignment="1">
      <alignment horizontal="right" wrapText="1"/>
      <protection/>
    </xf>
    <xf numFmtId="0" fontId="2" fillId="0" borderId="103" xfId="101" applyFont="1" applyFill="1" applyBorder="1" applyAlignment="1">
      <alignment horizontal="center"/>
      <protection/>
    </xf>
    <xf numFmtId="3" fontId="4" fillId="0" borderId="23" xfId="90" applyNumberFormat="1" applyFont="1" applyFill="1" applyBorder="1" applyAlignment="1">
      <alignment horizontal="center" vertical="center" wrapText="1"/>
      <protection/>
    </xf>
    <xf numFmtId="3" fontId="4" fillId="0" borderId="22" xfId="90" applyNumberFormat="1" applyFont="1" applyFill="1" applyBorder="1" applyAlignment="1">
      <alignment horizontal="center" vertical="center" wrapText="1"/>
      <protection/>
    </xf>
    <xf numFmtId="3" fontId="4" fillId="0" borderId="48" xfId="90" applyNumberFormat="1" applyFont="1" applyFill="1" applyBorder="1" applyAlignment="1">
      <alignment horizontal="center" vertical="center" wrapText="1"/>
      <protection/>
    </xf>
    <xf numFmtId="3" fontId="2" fillId="0" borderId="49" xfId="90" applyNumberFormat="1" applyFont="1" applyFill="1" applyBorder="1" applyAlignment="1">
      <alignment horizontal="right" vertical="center" wrapText="1"/>
      <protection/>
    </xf>
    <xf numFmtId="3" fontId="4" fillId="0" borderId="93" xfId="90" applyNumberFormat="1" applyFont="1" applyFill="1" applyBorder="1" applyAlignment="1">
      <alignment horizontal="right" vertical="center" wrapText="1"/>
      <protection/>
    </xf>
    <xf numFmtId="3" fontId="4" fillId="0" borderId="20" xfId="101" applyNumberFormat="1" applyFont="1" applyFill="1" applyBorder="1" applyAlignment="1">
      <alignment horizontal="right"/>
      <protection/>
    </xf>
    <xf numFmtId="3" fontId="4" fillId="0" borderId="22" xfId="101" applyNumberFormat="1" applyFont="1" applyFill="1" applyBorder="1" applyAlignment="1">
      <alignment horizontal="right"/>
      <protection/>
    </xf>
    <xf numFmtId="3" fontId="4" fillId="0" borderId="22" xfId="90" applyNumberFormat="1" applyFont="1" applyFill="1" applyBorder="1" applyAlignment="1">
      <alignment horizontal="right" vertical="center" wrapText="1"/>
      <protection/>
    </xf>
    <xf numFmtId="3" fontId="4" fillId="0" borderId="49" xfId="90" applyNumberFormat="1" applyFont="1" applyFill="1" applyBorder="1" applyAlignment="1">
      <alignment horizontal="right" vertical="center" wrapText="1"/>
      <protection/>
    </xf>
    <xf numFmtId="3" fontId="90" fillId="0" borderId="135" xfId="90" applyNumberFormat="1" applyFont="1" applyFill="1" applyBorder="1" applyAlignment="1">
      <alignment horizontal="right" vertical="center" wrapText="1"/>
      <protection/>
    </xf>
    <xf numFmtId="3" fontId="13" fillId="0" borderId="33" xfId="88" applyNumberFormat="1" applyFont="1" applyFill="1" applyBorder="1" applyAlignment="1">
      <alignment wrapText="1"/>
      <protection/>
    </xf>
    <xf numFmtId="3" fontId="4" fillId="0" borderId="52" xfId="90" applyNumberFormat="1" applyFont="1" applyFill="1" applyBorder="1" applyAlignment="1">
      <alignment horizontal="right" vertical="center" wrapText="1"/>
      <protection/>
    </xf>
    <xf numFmtId="3" fontId="10" fillId="0" borderId="91" xfId="88" applyNumberFormat="1" applyFont="1" applyFill="1" applyBorder="1" applyAlignment="1">
      <alignment horizontal="right"/>
      <protection/>
    </xf>
    <xf numFmtId="0" fontId="90" fillId="0" borderId="20" xfId="90" applyFont="1" applyFill="1" applyBorder="1" applyAlignment="1">
      <alignment/>
      <protection/>
    </xf>
    <xf numFmtId="3" fontId="12" fillId="0" borderId="100" xfId="88" applyNumberFormat="1" applyFont="1" applyFill="1" applyBorder="1" applyAlignment="1">
      <alignment horizontal="right"/>
      <protection/>
    </xf>
    <xf numFmtId="3" fontId="13" fillId="0" borderId="99" xfId="0" applyNumberFormat="1" applyFont="1" applyFill="1" applyBorder="1" applyAlignment="1">
      <alignment horizontal="right" wrapText="1"/>
    </xf>
    <xf numFmtId="3" fontId="13" fillId="0" borderId="90" xfId="0" applyNumberFormat="1" applyFont="1" applyFill="1" applyBorder="1" applyAlignment="1">
      <alignment/>
    </xf>
    <xf numFmtId="3" fontId="2" fillId="0" borderId="21" xfId="0" applyNumberFormat="1" applyFont="1" applyFill="1" applyBorder="1" applyAlignment="1">
      <alignment horizontal="right" vertical="top" wrapText="1"/>
    </xf>
    <xf numFmtId="0" fontId="13" fillId="0" borderId="50" xfId="101" applyFont="1" applyFill="1" applyBorder="1" applyAlignment="1">
      <alignment horizontal="center" vertical="center"/>
      <protection/>
    </xf>
    <xf numFmtId="0" fontId="13" fillId="0" borderId="99" xfId="101" applyFont="1" applyFill="1" applyBorder="1" applyAlignment="1">
      <alignment horizontal="center" vertical="top"/>
      <protection/>
    </xf>
    <xf numFmtId="3" fontId="13" fillId="0" borderId="99" xfId="101" applyNumberFormat="1" applyFont="1" applyFill="1" applyBorder="1" applyAlignment="1">
      <alignment horizontal="right" vertical="center"/>
      <protection/>
    </xf>
    <xf numFmtId="3" fontId="13" fillId="0" borderId="99" xfId="90" applyNumberFormat="1" applyFont="1" applyFill="1" applyBorder="1" applyAlignment="1">
      <alignment horizontal="right" vertical="center"/>
      <protection/>
    </xf>
    <xf numFmtId="3" fontId="13" fillId="0" borderId="116" xfId="101" applyNumberFormat="1" applyFont="1" applyFill="1" applyBorder="1" applyAlignment="1">
      <alignment horizontal="right" vertical="center"/>
      <protection/>
    </xf>
    <xf numFmtId="0" fontId="13" fillId="0" borderId="101" xfId="101" applyFont="1" applyFill="1" applyBorder="1" applyAlignment="1">
      <alignment horizontal="center" vertical="center" wrapText="1"/>
      <protection/>
    </xf>
    <xf numFmtId="3" fontId="13" fillId="0" borderId="101" xfId="90" applyNumberFormat="1" applyFont="1" applyFill="1" applyBorder="1" applyAlignment="1">
      <alignment horizontal="right" vertical="center" wrapText="1"/>
      <protection/>
    </xf>
    <xf numFmtId="3" fontId="13" fillId="0" borderId="153" xfId="101" applyNumberFormat="1" applyFont="1" applyFill="1" applyBorder="1" applyAlignment="1">
      <alignment horizontal="right" vertical="center"/>
      <protection/>
    </xf>
    <xf numFmtId="0" fontId="10" fillId="0" borderId="20" xfId="102" applyFont="1" applyFill="1" applyBorder="1" applyAlignment="1" applyProtection="1">
      <alignment horizontal="center" vertical="top"/>
      <protection locked="0"/>
    </xf>
    <xf numFmtId="3" fontId="13" fillId="0" borderId="28" xfId="101" applyNumberFormat="1" applyFont="1" applyFill="1" applyBorder="1" applyAlignment="1" applyProtection="1">
      <alignment horizontal="right" vertical="center"/>
      <protection locked="0"/>
    </xf>
    <xf numFmtId="3" fontId="13" fillId="0" borderId="16" xfId="101" applyNumberFormat="1" applyFont="1" applyFill="1" applyBorder="1" applyAlignment="1" applyProtection="1">
      <alignment horizontal="right" vertical="center"/>
      <protection locked="0"/>
    </xf>
    <xf numFmtId="3" fontId="10" fillId="0" borderId="150" xfId="101" applyNumberFormat="1" applyFont="1" applyFill="1" applyBorder="1" applyAlignment="1" applyProtection="1">
      <alignment horizontal="center" vertical="center" wrapText="1"/>
      <protection locked="0"/>
    </xf>
    <xf numFmtId="3" fontId="13" fillId="0" borderId="150" xfId="101" applyNumberFormat="1" applyFont="1" applyFill="1" applyBorder="1" applyAlignment="1" applyProtection="1">
      <alignment horizontal="right" vertical="center"/>
      <protection locked="0"/>
    </xf>
    <xf numFmtId="3" fontId="13" fillId="0" borderId="33" xfId="101" applyNumberFormat="1" applyFont="1" applyFill="1" applyBorder="1" applyAlignment="1" applyProtection="1">
      <alignment horizontal="right" vertical="center"/>
      <protection locked="0"/>
    </xf>
    <xf numFmtId="3" fontId="13" fillId="0" borderId="103" xfId="101" applyNumberFormat="1" applyFont="1" applyFill="1" applyBorder="1" applyAlignment="1" applyProtection="1">
      <alignment horizontal="right" vertical="center"/>
      <protection locked="0"/>
    </xf>
    <xf numFmtId="3" fontId="13" fillId="0" borderId="148" xfId="102" applyNumberFormat="1" applyFont="1" applyFill="1" applyBorder="1" applyAlignment="1" applyProtection="1">
      <alignment vertical="center"/>
      <protection locked="0"/>
    </xf>
    <xf numFmtId="3" fontId="10" fillId="0" borderId="37" xfId="101" applyNumberFormat="1" applyFont="1" applyFill="1" applyBorder="1" applyAlignment="1" applyProtection="1">
      <alignment horizontal="center" vertical="center" wrapText="1"/>
      <protection locked="0"/>
    </xf>
    <xf numFmtId="3" fontId="10" fillId="0" borderId="49" xfId="101" applyNumberFormat="1" applyFont="1" applyFill="1" applyBorder="1" applyAlignment="1" applyProtection="1">
      <alignment horizontal="right"/>
      <protection locked="0"/>
    </xf>
    <xf numFmtId="3" fontId="10" fillId="0" borderId="49" xfId="101" applyNumberFormat="1" applyFont="1" applyFill="1" applyBorder="1" applyAlignment="1" applyProtection="1">
      <alignment horizontal="right" vertical="center"/>
      <protection locked="0"/>
    </xf>
    <xf numFmtId="3" fontId="10" fillId="0" borderId="49" xfId="101" applyNumberFormat="1" applyFont="1" applyFill="1" applyBorder="1" applyAlignment="1" applyProtection="1">
      <alignment horizontal="left"/>
      <protection locked="0"/>
    </xf>
    <xf numFmtId="3" fontId="10" fillId="0" borderId="49" xfId="101" applyNumberFormat="1" applyFont="1" applyFill="1" applyBorder="1" applyAlignment="1" applyProtection="1">
      <alignment vertical="center"/>
      <protection locked="0"/>
    </xf>
    <xf numFmtId="3" fontId="13" fillId="0" borderId="154" xfId="101" applyNumberFormat="1" applyFont="1" applyFill="1" applyBorder="1" applyAlignment="1" applyProtection="1">
      <alignment horizontal="right" vertical="center"/>
      <protection locked="0"/>
    </xf>
    <xf numFmtId="3" fontId="13" fillId="0" borderId="125" xfId="101" applyNumberFormat="1" applyFont="1" applyFill="1" applyBorder="1" applyAlignment="1" applyProtection="1">
      <alignment horizontal="right" vertical="center"/>
      <protection locked="0"/>
    </xf>
    <xf numFmtId="3" fontId="13" fillId="0" borderId="37" xfId="101" applyNumberFormat="1" applyFont="1" applyFill="1" applyBorder="1" applyAlignment="1" applyProtection="1">
      <alignment horizontal="right" vertical="center"/>
      <protection locked="0"/>
    </xf>
    <xf numFmtId="3" fontId="13" fillId="0" borderId="34" xfId="101" applyNumberFormat="1" applyFont="1" applyFill="1" applyBorder="1" applyAlignment="1" applyProtection="1">
      <alignment horizontal="right" vertical="center"/>
      <protection locked="0"/>
    </xf>
    <xf numFmtId="3" fontId="13" fillId="0" borderId="104" xfId="101" applyNumberFormat="1" applyFont="1" applyFill="1" applyBorder="1" applyAlignment="1" applyProtection="1">
      <alignment horizontal="right" vertical="center"/>
      <protection locked="0"/>
    </xf>
    <xf numFmtId="3" fontId="10" fillId="0" borderId="121" xfId="101" applyNumberFormat="1" applyFont="1" applyFill="1" applyBorder="1" applyAlignment="1" applyProtection="1">
      <alignment horizontal="left"/>
      <protection locked="0"/>
    </xf>
    <xf numFmtId="3" fontId="4" fillId="0" borderId="16" xfId="87" applyNumberFormat="1" applyFont="1" applyFill="1" applyBorder="1" applyAlignment="1">
      <alignment horizontal="center" vertical="center" wrapText="1"/>
      <protection/>
    </xf>
    <xf numFmtId="3" fontId="4" fillId="0" borderId="13" xfId="0" applyNumberFormat="1" applyFont="1" applyFill="1" applyBorder="1" applyAlignment="1">
      <alignment horizontal="right"/>
    </xf>
    <xf numFmtId="3" fontId="2" fillId="0" borderId="13" xfId="0" applyNumberFormat="1" applyFont="1" applyFill="1" applyBorder="1" applyAlignment="1">
      <alignment horizontal="right"/>
    </xf>
    <xf numFmtId="3" fontId="4" fillId="0" borderId="155" xfId="87" applyNumberFormat="1" applyFont="1" applyFill="1" applyBorder="1" applyAlignment="1">
      <alignment horizontal="center" vertical="center" wrapText="1"/>
      <protection/>
    </xf>
    <xf numFmtId="3" fontId="4" fillId="0" borderId="58" xfId="0" applyNumberFormat="1" applyFont="1" applyFill="1" applyBorder="1" applyAlignment="1">
      <alignment/>
    </xf>
    <xf numFmtId="3" fontId="2" fillId="0" borderId="58" xfId="0" applyNumberFormat="1" applyFont="1" applyFill="1" applyBorder="1" applyAlignment="1">
      <alignment/>
    </xf>
    <xf numFmtId="3" fontId="4" fillId="0" borderId="58" xfId="0" applyNumberFormat="1" applyFont="1" applyFill="1" applyBorder="1" applyAlignment="1">
      <alignment/>
    </xf>
    <xf numFmtId="3" fontId="4" fillId="0" borderId="69" xfId="0" applyNumberFormat="1" applyFont="1" applyFill="1" applyBorder="1" applyAlignment="1">
      <alignment/>
    </xf>
    <xf numFmtId="3" fontId="4" fillId="0" borderId="69" xfId="87" applyNumberFormat="1" applyFont="1" applyFill="1" applyBorder="1" applyAlignment="1">
      <alignment horizontal="right" wrapText="1"/>
      <protection/>
    </xf>
    <xf numFmtId="3" fontId="2" fillId="0" borderId="69" xfId="0" applyNumberFormat="1" applyFont="1" applyFill="1" applyBorder="1" applyAlignment="1">
      <alignment/>
    </xf>
    <xf numFmtId="3" fontId="4" fillId="0" borderId="58" xfId="0" applyNumberFormat="1" applyFont="1" applyFill="1" applyBorder="1" applyAlignment="1">
      <alignment vertical="center"/>
    </xf>
    <xf numFmtId="3" fontId="86" fillId="0" borderId="80" xfId="0" applyNumberFormat="1" applyFont="1" applyFill="1" applyBorder="1" applyAlignment="1">
      <alignment vertical="center"/>
    </xf>
    <xf numFmtId="3" fontId="86" fillId="0" borderId="136" xfId="0" applyNumberFormat="1" applyFont="1" applyFill="1" applyBorder="1" applyAlignment="1">
      <alignment vertical="center"/>
    </xf>
    <xf numFmtId="3" fontId="12" fillId="0" borderId="0" xfId="101" applyNumberFormat="1" applyFont="1" applyFill="1" applyBorder="1" applyAlignment="1" applyProtection="1">
      <alignment/>
      <protection locked="0"/>
    </xf>
    <xf numFmtId="0" fontId="16" fillId="0" borderId="20" xfId="101" applyFont="1" applyFill="1" applyBorder="1" applyAlignment="1" applyProtection="1">
      <alignment horizontal="center" vertical="top"/>
      <protection locked="0"/>
    </xf>
    <xf numFmtId="3" fontId="10" fillId="0" borderId="22" xfId="96" applyNumberFormat="1" applyFont="1" applyFill="1" applyBorder="1" applyAlignment="1" applyProtection="1">
      <alignment horizontal="center" vertical="top"/>
      <protection locked="0"/>
    </xf>
    <xf numFmtId="3" fontId="12" fillId="0" borderId="101" xfId="90" applyNumberFormat="1" applyFont="1" applyFill="1" applyBorder="1" applyAlignment="1">
      <alignment horizontal="right" vertical="center" wrapText="1"/>
      <protection/>
    </xf>
    <xf numFmtId="3" fontId="13" fillId="0" borderId="33" xfId="90" applyNumberFormat="1" applyFont="1" applyFill="1" applyBorder="1" applyAlignment="1">
      <alignment horizontal="right" vertical="center" wrapText="1"/>
      <protection/>
    </xf>
    <xf numFmtId="0" fontId="2" fillId="0" borderId="99" xfId="101" applyFont="1" applyFill="1" applyBorder="1" applyAlignment="1">
      <alignment horizontal="center" vertical="top"/>
      <protection/>
    </xf>
    <xf numFmtId="0" fontId="10" fillId="0" borderId="80" xfId="101" applyFont="1" applyFill="1" applyBorder="1" applyAlignment="1">
      <alignment horizontal="center" vertical="center" wrapText="1"/>
      <protection/>
    </xf>
    <xf numFmtId="3" fontId="16" fillId="0" borderId="0" xfId="101" applyNumberFormat="1" applyFont="1" applyFill="1" applyBorder="1" applyAlignment="1" applyProtection="1">
      <alignment horizontal="right"/>
      <protection locked="0"/>
    </xf>
    <xf numFmtId="3" fontId="13" fillId="0" borderId="90" xfId="101" applyNumberFormat="1" applyFont="1" applyFill="1" applyBorder="1" applyAlignment="1" applyProtection="1">
      <alignment horizontal="left"/>
      <protection locked="0"/>
    </xf>
    <xf numFmtId="3" fontId="13" fillId="0" borderId="90" xfId="101" applyNumberFormat="1" applyFont="1" applyFill="1" applyBorder="1" applyAlignment="1" applyProtection="1">
      <alignment horizontal="right" vertical="center"/>
      <protection locked="0"/>
    </xf>
    <xf numFmtId="3" fontId="13" fillId="0" borderId="90" xfId="101" applyNumberFormat="1" applyFont="1" applyFill="1" applyBorder="1" applyAlignment="1" applyProtection="1">
      <alignment horizontal="right"/>
      <protection locked="0"/>
    </xf>
    <xf numFmtId="3" fontId="13" fillId="0" borderId="0" xfId="102" applyNumberFormat="1" applyFont="1" applyFill="1" applyBorder="1" applyAlignment="1" applyProtection="1">
      <alignment horizontal="right"/>
      <protection locked="0"/>
    </xf>
    <xf numFmtId="3" fontId="13" fillId="0" borderId="0" xfId="101" applyNumberFormat="1" applyFont="1" applyFill="1" applyBorder="1" applyAlignment="1" applyProtection="1">
      <alignment horizontal="right"/>
      <protection locked="0"/>
    </xf>
    <xf numFmtId="3" fontId="12" fillId="0" borderId="0" xfId="102" applyNumberFormat="1" applyFont="1" applyFill="1" applyBorder="1" applyAlignment="1" applyProtection="1">
      <alignment/>
      <protection locked="0"/>
    </xf>
    <xf numFmtId="3" fontId="17" fillId="0" borderId="20" xfId="90" applyNumberFormat="1" applyFont="1" applyFill="1" applyBorder="1" applyAlignment="1">
      <alignment horizontal="right" wrapText="1"/>
      <protection/>
    </xf>
    <xf numFmtId="0" fontId="10" fillId="0" borderId="101" xfId="101" applyFont="1" applyFill="1" applyBorder="1" applyAlignment="1">
      <alignment horizontal="center" vertical="center" wrapText="1"/>
      <protection/>
    </xf>
    <xf numFmtId="0" fontId="10" fillId="0" borderId="99" xfId="101" applyFont="1" applyFill="1" applyBorder="1" applyAlignment="1">
      <alignment horizontal="center"/>
      <protection/>
    </xf>
    <xf numFmtId="3" fontId="90" fillId="0" borderId="22" xfId="90" applyNumberFormat="1" applyFont="1" applyFill="1" applyBorder="1" applyAlignment="1">
      <alignment horizontal="right" vertical="center" wrapText="1"/>
      <protection/>
    </xf>
    <xf numFmtId="3" fontId="90" fillId="0" borderId="156" xfId="90" applyNumberFormat="1" applyFont="1" applyFill="1" applyBorder="1" applyAlignment="1">
      <alignment horizontal="right" vertical="center" wrapText="1"/>
      <protection/>
    </xf>
    <xf numFmtId="3" fontId="4" fillId="0" borderId="107" xfId="90" applyNumberFormat="1" applyFont="1" applyFill="1" applyBorder="1" applyAlignment="1">
      <alignment horizontal="right" vertical="center" wrapText="1"/>
      <protection/>
    </xf>
    <xf numFmtId="3" fontId="90" fillId="0" borderId="114" xfId="90" applyNumberFormat="1" applyFont="1" applyFill="1" applyBorder="1" applyAlignment="1">
      <alignment horizontal="right" vertical="center" wrapText="1"/>
      <protection/>
    </xf>
    <xf numFmtId="0" fontId="86" fillId="0" borderId="22" xfId="101" applyFont="1" applyFill="1" applyBorder="1" applyAlignment="1">
      <alignment wrapText="1"/>
      <protection/>
    </xf>
    <xf numFmtId="3" fontId="4" fillId="0" borderId="0" xfId="0" applyNumberFormat="1" applyFont="1" applyFill="1" applyAlignment="1">
      <alignment/>
    </xf>
    <xf numFmtId="3" fontId="4" fillId="0" borderId="33" xfId="90" applyNumberFormat="1" applyFont="1" applyFill="1" applyBorder="1" applyAlignment="1">
      <alignment horizontal="right" wrapText="1"/>
      <protection/>
    </xf>
    <xf numFmtId="3" fontId="26" fillId="0" borderId="19" xfId="88" applyNumberFormat="1" applyFont="1" applyFill="1" applyBorder="1" applyAlignment="1">
      <alignment vertical="center" shrinkToFit="1"/>
      <protection/>
    </xf>
    <xf numFmtId="0" fontId="46" fillId="0" borderId="10" xfId="0" applyFont="1" applyFill="1" applyBorder="1" applyAlignment="1">
      <alignment/>
    </xf>
    <xf numFmtId="0" fontId="10" fillId="0" borderId="20" xfId="101" applyFont="1" applyFill="1" applyBorder="1" applyAlignment="1" applyProtection="1">
      <alignment horizontal="left" shrinkToFit="1"/>
      <protection locked="0"/>
    </xf>
    <xf numFmtId="14" fontId="2" fillId="0" borderId="114" xfId="91" applyNumberFormat="1" applyFont="1" applyBorder="1" applyAlignment="1">
      <alignment horizontal="center" vertical="center" wrapText="1"/>
      <protection/>
    </xf>
    <xf numFmtId="3" fontId="2" fillId="0" borderId="90" xfId="91" applyNumberFormat="1" applyFont="1" applyBorder="1" applyAlignment="1">
      <alignment horizontal="right" vertical="center" wrapText="1"/>
      <protection/>
    </xf>
    <xf numFmtId="3" fontId="2" fillId="0" borderId="22" xfId="91" applyNumberFormat="1" applyFont="1" applyBorder="1" applyAlignment="1">
      <alignment horizontal="right" vertical="center" wrapText="1"/>
      <protection/>
    </xf>
    <xf numFmtId="3" fontId="16" fillId="0" borderId="96" xfId="90" applyNumberFormat="1" applyFont="1" applyFill="1" applyBorder="1" applyAlignment="1">
      <alignment horizontal="right" vertical="center" wrapText="1"/>
      <protection/>
    </xf>
    <xf numFmtId="3" fontId="13" fillId="0" borderId="0" xfId="0" applyNumberFormat="1" applyFont="1" applyFill="1" applyBorder="1" applyAlignment="1">
      <alignment horizontal="right"/>
    </xf>
    <xf numFmtId="0" fontId="10" fillId="0" borderId="99" xfId="101" applyFont="1" applyFill="1" applyBorder="1" applyAlignment="1">
      <alignment horizontal="center" vertical="top"/>
      <protection/>
    </xf>
    <xf numFmtId="3" fontId="12" fillId="0" borderId="96" xfId="90" applyNumberFormat="1" applyFont="1" applyFill="1" applyBorder="1" applyAlignment="1">
      <alignment horizontal="right" wrapText="1"/>
      <protection/>
    </xf>
    <xf numFmtId="0" fontId="10" fillId="0" borderId="20" xfId="101" applyFont="1" applyFill="1" applyBorder="1" applyAlignment="1" applyProtection="1">
      <alignment horizontal="center"/>
      <protection locked="0"/>
    </xf>
    <xf numFmtId="3" fontId="12" fillId="0" borderId="91" xfId="96" applyNumberFormat="1" applyFont="1" applyFill="1" applyBorder="1" applyAlignment="1">
      <alignment/>
      <protection/>
    </xf>
    <xf numFmtId="3" fontId="16" fillId="0" borderId="114" xfId="90" applyNumberFormat="1" applyFont="1" applyFill="1" applyBorder="1" applyAlignment="1">
      <alignment horizontal="right" vertical="center" wrapText="1"/>
      <protection/>
    </xf>
    <xf numFmtId="0" fontId="10" fillId="0" borderId="10" xfId="102" applyFont="1" applyFill="1" applyBorder="1" applyAlignment="1" applyProtection="1">
      <alignment horizontal="center"/>
      <protection locked="0"/>
    </xf>
    <xf numFmtId="0" fontId="10" fillId="0" borderId="52" xfId="102" applyFont="1" applyFill="1" applyBorder="1" applyAlignment="1" applyProtection="1">
      <alignment horizontal="center"/>
      <protection locked="0"/>
    </xf>
    <xf numFmtId="3" fontId="10" fillId="0" borderId="52" xfId="102" applyNumberFormat="1" applyFont="1" applyFill="1" applyBorder="1" applyAlignment="1" applyProtection="1">
      <alignment/>
      <protection locked="0"/>
    </xf>
    <xf numFmtId="3" fontId="10" fillId="0" borderId="52" xfId="101" applyNumberFormat="1" applyFont="1" applyFill="1" applyBorder="1" applyAlignment="1" applyProtection="1">
      <alignment/>
      <protection locked="0"/>
    </xf>
    <xf numFmtId="3" fontId="10" fillId="0" borderId="112" xfId="101" applyNumberFormat="1" applyFont="1" applyFill="1" applyBorder="1" applyAlignment="1" applyProtection="1">
      <alignment horizontal="right"/>
      <protection locked="0"/>
    </xf>
    <xf numFmtId="3" fontId="10" fillId="0" borderId="121" xfId="101" applyNumberFormat="1" applyFont="1" applyFill="1" applyBorder="1" applyAlignment="1" applyProtection="1">
      <alignment horizontal="right"/>
      <protection locked="0"/>
    </xf>
    <xf numFmtId="0" fontId="10" fillId="0" borderId="99" xfId="103" applyFont="1" applyFill="1" applyBorder="1" applyAlignment="1">
      <alignment wrapText="1"/>
      <protection/>
    </xf>
    <xf numFmtId="3" fontId="13" fillId="0" borderId="101" xfId="88" applyNumberFormat="1" applyFont="1" applyFill="1" applyBorder="1" applyAlignment="1">
      <alignment horizontal="right" vertical="center"/>
      <protection/>
    </xf>
    <xf numFmtId="3" fontId="10" fillId="0" borderId="101" xfId="0" applyNumberFormat="1" applyFont="1" applyFill="1" applyBorder="1" applyAlignment="1">
      <alignment horizontal="right" vertical="center" wrapText="1"/>
    </xf>
    <xf numFmtId="3" fontId="10" fillId="0" borderId="153" xfId="0" applyNumberFormat="1" applyFont="1" applyFill="1" applyBorder="1" applyAlignment="1">
      <alignment horizontal="right" vertical="center" wrapText="1"/>
    </xf>
    <xf numFmtId="3" fontId="86" fillId="0" borderId="96" xfId="90" applyNumberFormat="1" applyFont="1" applyFill="1" applyBorder="1" applyAlignment="1">
      <alignment horizontal="right" wrapText="1"/>
      <protection/>
    </xf>
    <xf numFmtId="3" fontId="86" fillId="0" borderId="91" xfId="101" applyNumberFormat="1" applyFont="1" applyFill="1" applyBorder="1" applyAlignment="1">
      <alignment horizontal="right"/>
      <protection/>
    </xf>
    <xf numFmtId="0" fontId="2" fillId="0" borderId="0" xfId="0" applyFont="1" applyFill="1" applyAlignment="1">
      <alignment horizontal="center" vertical="center"/>
    </xf>
    <xf numFmtId="0" fontId="2" fillId="0" borderId="0" xfId="0" applyFont="1" applyAlignment="1">
      <alignment horizontal="left"/>
    </xf>
    <xf numFmtId="0" fontId="2" fillId="0" borderId="0" xfId="102" applyFont="1" applyFill="1" applyBorder="1" applyAlignment="1">
      <alignment horizontal="left"/>
      <protection/>
    </xf>
    <xf numFmtId="3" fontId="2" fillId="0" borderId="0" xfId="0" applyNumberFormat="1" applyFont="1" applyFill="1" applyAlignment="1">
      <alignment horizontal="center" vertical="center"/>
    </xf>
    <xf numFmtId="0" fontId="2" fillId="0" borderId="0" xfId="77" applyFont="1" applyFill="1" applyBorder="1" applyAlignment="1">
      <alignment horizontal="center" vertical="center"/>
      <protection/>
    </xf>
    <xf numFmtId="0" fontId="2" fillId="0" borderId="0" xfId="102" applyFont="1" applyFill="1" applyBorder="1" applyAlignment="1">
      <alignment vertical="center"/>
      <protection/>
    </xf>
    <xf numFmtId="3" fontId="2" fillId="0" borderId="0" xfId="91" applyNumberFormat="1" applyFont="1" applyAlignment="1">
      <alignment horizontal="center" vertical="center"/>
      <protection/>
    </xf>
    <xf numFmtId="3" fontId="2" fillId="0" borderId="0" xfId="0" applyNumberFormat="1" applyFont="1" applyFill="1" applyAlignment="1">
      <alignment horizontal="left"/>
    </xf>
    <xf numFmtId="3" fontId="2" fillId="0" borderId="0" xfId="0" applyNumberFormat="1" applyFont="1" applyAlignment="1">
      <alignment horizontal="left"/>
    </xf>
    <xf numFmtId="0" fontId="2" fillId="0" borderId="0" xfId="102" applyFont="1" applyFill="1" applyBorder="1" applyAlignment="1" applyProtection="1">
      <alignment horizontal="left"/>
      <protection locked="0"/>
    </xf>
    <xf numFmtId="3" fontId="2" fillId="0" borderId="0" xfId="88" applyNumberFormat="1" applyFont="1" applyFill="1" applyAlignment="1">
      <alignment/>
      <protection/>
    </xf>
    <xf numFmtId="3" fontId="13" fillId="0" borderId="114" xfId="90" applyNumberFormat="1" applyFont="1" applyFill="1" applyBorder="1" applyAlignment="1">
      <alignment horizontal="right" vertical="center" wrapText="1"/>
      <protection/>
    </xf>
    <xf numFmtId="3" fontId="13" fillId="0" borderId="0" xfId="101" applyNumberFormat="1" applyFont="1" applyFill="1" applyBorder="1" applyAlignment="1" applyProtection="1">
      <alignment horizontal="right" vertical="center"/>
      <protection locked="0"/>
    </xf>
    <xf numFmtId="3" fontId="2" fillId="0" borderId="157" xfId="91" applyNumberFormat="1" applyFont="1" applyBorder="1" applyAlignment="1">
      <alignment horizontal="center" vertical="center" wrapText="1"/>
      <protection/>
    </xf>
    <xf numFmtId="3" fontId="2" fillId="0" borderId="99" xfId="91" applyNumberFormat="1" applyFont="1" applyBorder="1" applyAlignment="1">
      <alignment horizontal="left" vertical="center" wrapText="1"/>
      <protection/>
    </xf>
    <xf numFmtId="14" fontId="2" fillId="0" borderId="116" xfId="91" applyNumberFormat="1" applyFont="1" applyBorder="1" applyAlignment="1">
      <alignment horizontal="center" vertical="center" wrapText="1"/>
      <protection/>
    </xf>
    <xf numFmtId="3" fontId="2" fillId="0" borderId="158" xfId="91" applyNumberFormat="1" applyFont="1" applyBorder="1" applyAlignment="1">
      <alignment horizontal="right" vertical="center" wrapText="1"/>
      <protection/>
    </xf>
    <xf numFmtId="3" fontId="2" fillId="0" borderId="104" xfId="91" applyNumberFormat="1" applyFont="1" applyBorder="1" applyAlignment="1">
      <alignment horizontal="right" vertical="center" wrapText="1"/>
      <protection/>
    </xf>
    <xf numFmtId="3" fontId="2" fillId="0" borderId="101" xfId="91" applyNumberFormat="1" applyFont="1" applyBorder="1" applyAlignment="1">
      <alignment horizontal="right" vertical="center" wrapText="1"/>
      <protection/>
    </xf>
    <xf numFmtId="3" fontId="2" fillId="0" borderId="99" xfId="91" applyNumberFormat="1" applyFont="1" applyBorder="1" applyAlignment="1">
      <alignment horizontal="right" vertical="center" wrapText="1"/>
      <protection/>
    </xf>
    <xf numFmtId="3" fontId="2" fillId="0" borderId="159" xfId="91" applyNumberFormat="1" applyFont="1" applyBorder="1" applyAlignment="1">
      <alignment horizontal="right" vertical="center" wrapText="1"/>
      <protection/>
    </xf>
    <xf numFmtId="3" fontId="2" fillId="0" borderId="131" xfId="91" applyNumberFormat="1" applyFont="1" applyBorder="1" applyAlignment="1">
      <alignment horizontal="right" vertical="center" wrapText="1"/>
      <protection/>
    </xf>
    <xf numFmtId="3" fontId="2" fillId="0" borderId="50" xfId="91" applyNumberFormat="1" applyFont="1" applyBorder="1" applyAlignment="1">
      <alignment horizontal="center" vertical="center" wrapText="1"/>
      <protection/>
    </xf>
    <xf numFmtId="3" fontId="2" fillId="0" borderId="133" xfId="91" applyNumberFormat="1" applyFont="1" applyBorder="1" applyAlignment="1">
      <alignment horizontal="center" vertical="center" wrapText="1"/>
      <protection/>
    </xf>
    <xf numFmtId="3" fontId="2" fillId="0" borderId="131" xfId="91" applyNumberFormat="1" applyFont="1" applyBorder="1" applyAlignment="1">
      <alignment horizontal="center" vertical="center" wrapText="1"/>
      <protection/>
    </xf>
    <xf numFmtId="3" fontId="13" fillId="0" borderId="99" xfId="90" applyNumberFormat="1" applyFont="1" applyFill="1" applyBorder="1" applyAlignment="1">
      <alignment horizontal="right" vertical="center" wrapText="1"/>
      <protection/>
    </xf>
    <xf numFmtId="3" fontId="13" fillId="0" borderId="116" xfId="90" applyNumberFormat="1" applyFont="1" applyFill="1" applyBorder="1" applyAlignment="1">
      <alignment horizontal="right" vertical="center" wrapText="1"/>
      <protection/>
    </xf>
    <xf numFmtId="3" fontId="4" fillId="0" borderId="53" xfId="101" applyNumberFormat="1" applyFont="1" applyFill="1" applyBorder="1" applyAlignment="1">
      <alignment horizontal="right"/>
      <protection/>
    </xf>
    <xf numFmtId="3" fontId="2" fillId="0" borderId="113" xfId="101" applyNumberFormat="1" applyFont="1" applyFill="1" applyBorder="1" applyAlignment="1">
      <alignment horizontal="right"/>
      <protection/>
    </xf>
    <xf numFmtId="0" fontId="4" fillId="0" borderId="84" xfId="101" applyFont="1" applyFill="1" applyBorder="1" applyAlignment="1">
      <alignment horizontal="center"/>
      <protection/>
    </xf>
    <xf numFmtId="3" fontId="2" fillId="0" borderId="91" xfId="101" applyNumberFormat="1" applyFont="1" applyFill="1" applyBorder="1" applyAlignment="1">
      <alignment horizontal="right"/>
      <protection/>
    </xf>
    <xf numFmtId="3" fontId="4" fillId="0" borderId="80" xfId="101" applyNumberFormat="1" applyFont="1" applyFill="1" applyBorder="1" applyAlignment="1">
      <alignment horizontal="right"/>
      <protection/>
    </xf>
    <xf numFmtId="0" fontId="94" fillId="0" borderId="33" xfId="101" applyFont="1" applyFill="1" applyBorder="1" applyAlignment="1">
      <alignment wrapText="1"/>
      <protection/>
    </xf>
    <xf numFmtId="0" fontId="4" fillId="0" borderId="50" xfId="101" applyFont="1" applyFill="1" applyBorder="1" applyAlignment="1">
      <alignment horizontal="center"/>
      <protection/>
    </xf>
    <xf numFmtId="0" fontId="15" fillId="0" borderId="22" xfId="101" applyFont="1" applyFill="1" applyBorder="1" applyAlignment="1" applyProtection="1">
      <alignment horizontal="left" wrapText="1"/>
      <protection locked="0"/>
    </xf>
    <xf numFmtId="3" fontId="4" fillId="0" borderId="91" xfId="90" applyNumberFormat="1" applyFont="1" applyFill="1" applyBorder="1" applyAlignment="1">
      <alignment horizontal="right" wrapText="1"/>
      <protection/>
    </xf>
    <xf numFmtId="3" fontId="2" fillId="0" borderId="96" xfId="101" applyNumberFormat="1" applyFont="1" applyFill="1" applyBorder="1" applyAlignment="1">
      <alignment horizontal="right"/>
      <protection/>
    </xf>
    <xf numFmtId="3" fontId="13" fillId="0" borderId="103" xfId="101" applyNumberFormat="1" applyFont="1" applyFill="1" applyBorder="1" applyAlignment="1">
      <alignment horizontal="right" vertical="center"/>
      <protection/>
    </xf>
    <xf numFmtId="3" fontId="12" fillId="0" borderId="99" xfId="90" applyNumberFormat="1" applyFont="1" applyFill="1" applyBorder="1" applyAlignment="1">
      <alignment horizontal="right" vertical="center" wrapText="1"/>
      <protection/>
    </xf>
    <xf numFmtId="0" fontId="13" fillId="0" borderId="104" xfId="101" applyFont="1" applyFill="1" applyBorder="1" applyAlignment="1">
      <alignment horizontal="center" vertical="center" wrapText="1"/>
      <protection/>
    </xf>
    <xf numFmtId="3" fontId="16" fillId="0" borderId="116" xfId="90" applyNumberFormat="1" applyFont="1" applyFill="1" applyBorder="1" applyAlignment="1">
      <alignment horizontal="right" vertical="center" wrapText="1"/>
      <protection/>
    </xf>
    <xf numFmtId="3" fontId="2" fillId="0" borderId="0" xfId="87" applyNumberFormat="1" applyFont="1" applyFill="1" applyAlignment="1">
      <alignment horizontal="left"/>
      <protection/>
    </xf>
    <xf numFmtId="3" fontId="2" fillId="0" borderId="0" xfId="88" applyNumberFormat="1" applyFont="1" applyFill="1" applyAlignment="1">
      <alignment horizontal="left"/>
      <protection/>
    </xf>
    <xf numFmtId="3" fontId="4" fillId="0" borderId="0" xfId="88" applyNumberFormat="1" applyFont="1" applyFill="1" applyAlignment="1">
      <alignment horizontal="center"/>
      <protection/>
    </xf>
    <xf numFmtId="3" fontId="4" fillId="0" borderId="0" xfId="88" applyNumberFormat="1" applyFont="1" applyFill="1" applyAlignment="1">
      <alignment horizontal="center" vertical="center"/>
      <protection/>
    </xf>
    <xf numFmtId="0" fontId="2" fillId="0" borderId="0" xfId="102" applyFont="1" applyFill="1" applyBorder="1" applyAlignment="1">
      <alignment horizontal="left"/>
      <protection/>
    </xf>
    <xf numFmtId="0" fontId="4" fillId="0" borderId="20" xfId="90" applyFont="1" applyFill="1" applyBorder="1" applyAlignment="1">
      <alignment wrapText="1"/>
      <protection/>
    </xf>
    <xf numFmtId="3" fontId="4" fillId="0" borderId="156" xfId="101" applyNumberFormat="1" applyFont="1" applyFill="1" applyBorder="1" applyAlignment="1">
      <alignment horizontal="right"/>
      <protection/>
    </xf>
    <xf numFmtId="0" fontId="4" fillId="0" borderId="22" xfId="90" applyFont="1" applyFill="1" applyBorder="1" applyAlignment="1">
      <alignment wrapText="1"/>
      <protection/>
    </xf>
    <xf numFmtId="0" fontId="96" fillId="0" borderId="20" xfId="101" applyFont="1" applyFill="1" applyBorder="1" applyAlignment="1">
      <alignment wrapText="1"/>
      <protection/>
    </xf>
    <xf numFmtId="3" fontId="2" fillId="0" borderId="100" xfId="101" applyNumberFormat="1" applyFont="1" applyFill="1" applyBorder="1" applyAlignment="1">
      <alignment horizontal="right"/>
      <protection/>
    </xf>
    <xf numFmtId="0" fontId="26" fillId="0" borderId="20" xfId="90" applyFont="1" applyFill="1" applyBorder="1" applyAlignment="1">
      <alignment horizontal="left"/>
      <protection/>
    </xf>
    <xf numFmtId="3" fontId="12" fillId="0" borderId="135" xfId="0" applyNumberFormat="1" applyFont="1" applyFill="1" applyBorder="1" applyAlignment="1">
      <alignment vertical="center"/>
    </xf>
    <xf numFmtId="0" fontId="4" fillId="0" borderId="157" xfId="101" applyFont="1" applyFill="1" applyBorder="1" applyAlignment="1">
      <alignment horizontal="center"/>
      <protection/>
    </xf>
    <xf numFmtId="3" fontId="4" fillId="0" borderId="100" xfId="90" applyNumberFormat="1" applyFont="1" applyFill="1" applyBorder="1" applyAlignment="1">
      <alignment horizontal="right" wrapText="1"/>
      <protection/>
    </xf>
    <xf numFmtId="3" fontId="12" fillId="0" borderId="48" xfId="88" applyNumberFormat="1" applyFont="1" applyFill="1" applyBorder="1" applyAlignment="1">
      <alignment wrapText="1"/>
      <protection/>
    </xf>
    <xf numFmtId="3" fontId="5" fillId="0" borderId="101" xfId="90" applyNumberFormat="1" applyFont="1" applyFill="1" applyBorder="1" applyAlignment="1">
      <alignment horizontal="right" wrapText="1"/>
      <protection/>
    </xf>
    <xf numFmtId="3" fontId="12" fillId="0" borderId="91" xfId="96" applyNumberFormat="1" applyFont="1" applyFill="1" applyBorder="1" applyAlignment="1">
      <alignment horizontal="left"/>
      <protection/>
    </xf>
    <xf numFmtId="3" fontId="13" fillId="0" borderId="48" xfId="90" applyNumberFormat="1" applyFont="1" applyFill="1" applyBorder="1" applyAlignment="1">
      <alignment horizontal="right" vertical="center" wrapText="1"/>
      <protection/>
    </xf>
    <xf numFmtId="0" fontId="2" fillId="0" borderId="52" xfId="101" applyFont="1" applyFill="1" applyBorder="1" applyAlignment="1">
      <alignment horizontal="center" vertical="top"/>
      <protection/>
    </xf>
    <xf numFmtId="0" fontId="2" fillId="0" borderId="0" xfId="0" applyFont="1" applyFill="1" applyAlignment="1">
      <alignment wrapText="1" shrinkToFit="1"/>
    </xf>
    <xf numFmtId="0" fontId="10" fillId="0" borderId="20" xfId="101" applyFont="1" applyFill="1" applyBorder="1" applyAlignment="1" applyProtection="1">
      <alignment horizontal="center" vertical="top"/>
      <protection locked="0"/>
    </xf>
    <xf numFmtId="3" fontId="2" fillId="0" borderId="52" xfId="91" applyNumberFormat="1" applyFont="1" applyBorder="1" applyAlignment="1">
      <alignment horizontal="left" vertical="center" wrapText="1"/>
      <protection/>
    </xf>
    <xf numFmtId="3" fontId="6" fillId="0" borderId="0" xfId="0" applyNumberFormat="1" applyFont="1" applyFill="1" applyAlignment="1">
      <alignment/>
    </xf>
    <xf numFmtId="3" fontId="4" fillId="0" borderId="0" xfId="0" applyNumberFormat="1" applyFont="1" applyFill="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left"/>
    </xf>
    <xf numFmtId="0" fontId="2" fillId="0" borderId="0" xfId="0" applyFont="1" applyAlignment="1">
      <alignment horizontal="left"/>
    </xf>
    <xf numFmtId="3" fontId="4" fillId="0" borderId="0" xfId="87" applyNumberFormat="1" applyFont="1" applyFill="1" applyBorder="1" applyAlignment="1">
      <alignment horizontal="center" vertical="center" wrapText="1"/>
      <protection/>
    </xf>
    <xf numFmtId="3" fontId="13" fillId="0" borderId="136" xfId="0" applyNumberFormat="1" applyFont="1" applyFill="1" applyBorder="1" applyAlignment="1">
      <alignment vertical="center"/>
    </xf>
    <xf numFmtId="3" fontId="13" fillId="0" borderId="102" xfId="0" applyNumberFormat="1" applyFont="1" applyFill="1" applyBorder="1" applyAlignment="1">
      <alignment horizontal="right" wrapText="1"/>
    </xf>
    <xf numFmtId="0" fontId="2" fillId="0" borderId="20" xfId="90" applyFont="1" applyFill="1" applyBorder="1" applyAlignment="1">
      <alignment vertical="center" wrapText="1"/>
      <protection/>
    </xf>
    <xf numFmtId="3" fontId="10" fillId="0" borderId="144" xfId="0" applyNumberFormat="1" applyFont="1" applyFill="1" applyBorder="1" applyAlignment="1">
      <alignment horizontal="center" vertical="center" wrapText="1"/>
    </xf>
    <xf numFmtId="0" fontId="0" fillId="0" borderId="91" xfId="0" applyFill="1" applyBorder="1" applyAlignment="1">
      <alignment horizontal="left" wrapText="1"/>
    </xf>
    <xf numFmtId="0" fontId="0" fillId="0" borderId="151" xfId="0" applyFill="1" applyBorder="1" applyAlignment="1">
      <alignment horizontal="left" wrapText="1"/>
    </xf>
    <xf numFmtId="3" fontId="86" fillId="0" borderId="91" xfId="88" applyNumberFormat="1" applyFont="1" applyFill="1" applyBorder="1" applyAlignment="1">
      <alignment horizontal="left" wrapText="1"/>
      <protection/>
    </xf>
    <xf numFmtId="3" fontId="86" fillId="0" borderId="151" xfId="88" applyNumberFormat="1" applyFont="1" applyFill="1" applyBorder="1" applyAlignment="1">
      <alignment horizontal="left" wrapText="1"/>
      <protection/>
    </xf>
    <xf numFmtId="3" fontId="10" fillId="0" borderId="160" xfId="101" applyNumberFormat="1" applyFont="1" applyFill="1" applyBorder="1" applyAlignment="1">
      <alignment horizontal="center" vertical="center" wrapText="1"/>
      <protection/>
    </xf>
    <xf numFmtId="0" fontId="2" fillId="0" borderId="91" xfId="0" applyFont="1" applyFill="1" applyBorder="1" applyAlignment="1">
      <alignment horizontal="left" shrinkToFit="1"/>
    </xf>
    <xf numFmtId="0" fontId="2" fillId="0" borderId="80" xfId="0" applyFont="1" applyFill="1" applyBorder="1" applyAlignment="1">
      <alignment horizontal="left" shrinkToFit="1"/>
    </xf>
    <xf numFmtId="0" fontId="2" fillId="0" borderId="91" xfId="90" applyFont="1" applyFill="1" applyBorder="1" applyAlignment="1">
      <alignment horizontal="left" wrapText="1"/>
      <protection/>
    </xf>
    <xf numFmtId="0" fontId="2" fillId="0" borderId="0" xfId="89" applyFont="1" applyAlignment="1">
      <alignment horizontal="center" vertical="center"/>
      <protection/>
    </xf>
    <xf numFmtId="0" fontId="2" fillId="0" borderId="0" xfId="89" applyFont="1" applyAlignment="1">
      <alignment horizontal="center"/>
      <protection/>
    </xf>
    <xf numFmtId="0" fontId="2" fillId="0" borderId="0" xfId="0" applyFont="1" applyAlignment="1">
      <alignment wrapText="1"/>
    </xf>
    <xf numFmtId="3" fontId="5" fillId="0" borderId="0" xfId="0" applyNumberFormat="1" applyFont="1" applyAlignment="1">
      <alignment horizontal="right"/>
    </xf>
    <xf numFmtId="3" fontId="2" fillId="0" borderId="0" xfId="0" applyNumberFormat="1" applyFont="1" applyAlignment="1">
      <alignment horizontal="right"/>
    </xf>
    <xf numFmtId="0" fontId="2" fillId="0" borderId="0" xfId="0" applyFont="1" applyAlignment="1">
      <alignment horizontal="center" wrapText="1"/>
    </xf>
    <xf numFmtId="3" fontId="2" fillId="0" borderId="0" xfId="0" applyNumberFormat="1" applyFont="1" applyAlignment="1">
      <alignment horizontal="center"/>
    </xf>
    <xf numFmtId="3" fontId="4" fillId="0" borderId="0" xfId="0" applyNumberFormat="1" applyFont="1" applyAlignment="1">
      <alignment horizontal="center"/>
    </xf>
    <xf numFmtId="3" fontId="4" fillId="0" borderId="0" xfId="0" applyNumberFormat="1" applyFont="1" applyAlignment="1">
      <alignment horizontal="right" vertical="center"/>
    </xf>
    <xf numFmtId="3" fontId="4" fillId="0" borderId="113" xfId="0" applyNumberFormat="1" applyFont="1" applyBorder="1" applyAlignment="1">
      <alignment horizontal="right" vertical="center"/>
    </xf>
    <xf numFmtId="3" fontId="4" fillId="0" borderId="0" xfId="89" applyNumberFormat="1" applyFont="1" applyAlignment="1">
      <alignment vertical="center"/>
      <protection/>
    </xf>
    <xf numFmtId="3" fontId="4" fillId="0" borderId="113" xfId="89" applyNumberFormat="1" applyFont="1" applyBorder="1" applyAlignment="1">
      <alignment vertical="center"/>
      <protection/>
    </xf>
    <xf numFmtId="3" fontId="2" fillId="0" borderId="0" xfId="89" applyNumberFormat="1" applyFont="1" applyAlignment="1">
      <alignment vertical="center"/>
      <protection/>
    </xf>
    <xf numFmtId="3" fontId="2" fillId="0" borderId="113" xfId="89" applyNumberFormat="1" applyFont="1" applyBorder="1" applyAlignment="1">
      <alignment vertical="center"/>
      <protection/>
    </xf>
    <xf numFmtId="0" fontId="4" fillId="34" borderId="0" xfId="89" applyFont="1" applyFill="1" applyAlignment="1">
      <alignment vertical="center"/>
      <protection/>
    </xf>
    <xf numFmtId="0" fontId="2" fillId="34" borderId="0" xfId="89" applyFont="1" applyFill="1" applyAlignment="1">
      <alignment vertical="center"/>
      <protection/>
    </xf>
    <xf numFmtId="3" fontId="4" fillId="0" borderId="161" xfId="89" applyNumberFormat="1" applyFont="1" applyBorder="1" applyAlignment="1">
      <alignment vertical="center"/>
      <protection/>
    </xf>
    <xf numFmtId="3" fontId="12" fillId="0" borderId="88" xfId="0" applyNumberFormat="1" applyFont="1" applyFill="1" applyBorder="1" applyAlignment="1">
      <alignment horizontal="center"/>
    </xf>
    <xf numFmtId="3" fontId="12" fillId="0" borderId="152" xfId="0" applyNumberFormat="1" applyFont="1" applyFill="1" applyBorder="1" applyAlignment="1">
      <alignment horizontal="center"/>
    </xf>
    <xf numFmtId="3" fontId="12" fillId="0" borderId="117" xfId="96" applyNumberFormat="1" applyFont="1" applyFill="1" applyBorder="1" applyAlignment="1">
      <alignment/>
      <protection/>
    </xf>
    <xf numFmtId="3" fontId="12" fillId="0" borderId="88" xfId="0" applyNumberFormat="1" applyFont="1" applyFill="1" applyBorder="1" applyAlignment="1">
      <alignment/>
    </xf>
    <xf numFmtId="3" fontId="12" fillId="0" borderId="118" xfId="0" applyNumberFormat="1" applyFont="1" applyFill="1" applyBorder="1" applyAlignment="1">
      <alignment/>
    </xf>
    <xf numFmtId="3" fontId="12" fillId="0" borderId="133" xfId="0" applyNumberFormat="1" applyFont="1" applyFill="1" applyBorder="1" applyAlignment="1">
      <alignment horizontal="center" vertical="center"/>
    </xf>
    <xf numFmtId="3" fontId="12" fillId="0" borderId="131" xfId="0" applyNumberFormat="1" applyFont="1" applyFill="1" applyBorder="1" applyAlignment="1">
      <alignment horizontal="center"/>
    </xf>
    <xf numFmtId="3" fontId="12" fillId="0" borderId="162" xfId="0" applyNumberFormat="1" applyFont="1" applyFill="1" applyBorder="1" applyAlignment="1">
      <alignment horizontal="center"/>
    </xf>
    <xf numFmtId="3" fontId="12" fillId="0" borderId="124" xfId="96" applyNumberFormat="1" applyFont="1" applyFill="1" applyBorder="1" applyAlignment="1">
      <alignment/>
      <protection/>
    </xf>
    <xf numFmtId="3" fontId="12" fillId="0" borderId="131" xfId="0" applyNumberFormat="1" applyFont="1" applyFill="1" applyBorder="1" applyAlignment="1">
      <alignment/>
    </xf>
    <xf numFmtId="3" fontId="12" fillId="0" borderId="163" xfId="0" applyNumberFormat="1" applyFont="1" applyFill="1" applyBorder="1" applyAlignment="1">
      <alignment/>
    </xf>
    <xf numFmtId="3" fontId="12" fillId="0" borderId="88" xfId="0" applyNumberFormat="1" applyFont="1" applyFill="1" applyBorder="1" applyAlignment="1">
      <alignment horizontal="center" vertical="center"/>
    </xf>
    <xf numFmtId="3" fontId="12" fillId="0" borderId="117" xfId="0" applyNumberFormat="1" applyFont="1" applyFill="1" applyBorder="1" applyAlignment="1">
      <alignment horizontal="center" vertical="center"/>
    </xf>
    <xf numFmtId="3" fontId="12" fillId="0" borderId="88" xfId="96" applyNumberFormat="1" applyFont="1" applyFill="1" applyBorder="1" applyAlignment="1">
      <alignment/>
      <protection/>
    </xf>
    <xf numFmtId="3" fontId="12" fillId="0" borderId="88" xfId="0" applyNumberFormat="1" applyFont="1" applyFill="1" applyBorder="1" applyAlignment="1">
      <alignment vertical="center"/>
    </xf>
    <xf numFmtId="3" fontId="12" fillId="0" borderId="89" xfId="0" applyNumberFormat="1" applyFont="1" applyFill="1" applyBorder="1" applyAlignment="1">
      <alignment vertical="center"/>
    </xf>
    <xf numFmtId="3" fontId="12" fillId="0" borderId="87" xfId="0" applyNumberFormat="1" applyFont="1" applyFill="1" applyBorder="1" applyAlignment="1">
      <alignment/>
    </xf>
    <xf numFmtId="3" fontId="12" fillId="0" borderId="88" xfId="0" applyNumberFormat="1" applyFont="1" applyFill="1" applyBorder="1" applyAlignment="1">
      <alignment horizontal="right"/>
    </xf>
    <xf numFmtId="3" fontId="12" fillId="0" borderId="118" xfId="0" applyNumberFormat="1" applyFont="1" applyFill="1" applyBorder="1" applyAlignment="1">
      <alignment horizontal="right"/>
    </xf>
    <xf numFmtId="3" fontId="12" fillId="0" borderId="131" xfId="0" applyNumberFormat="1" applyFont="1" applyFill="1" applyBorder="1" applyAlignment="1">
      <alignment horizontal="center" vertical="center"/>
    </xf>
    <xf numFmtId="3" fontId="12" fillId="0" borderId="124" xfId="0" applyNumberFormat="1" applyFont="1" applyFill="1" applyBorder="1" applyAlignment="1">
      <alignment horizontal="center" vertical="center"/>
    </xf>
    <xf numFmtId="3" fontId="12" fillId="0" borderId="131" xfId="96" applyNumberFormat="1" applyFont="1" applyFill="1" applyBorder="1" applyAlignment="1">
      <alignment/>
      <protection/>
    </xf>
    <xf numFmtId="3" fontId="12" fillId="0" borderId="131" xfId="0" applyNumberFormat="1" applyFont="1" applyFill="1" applyBorder="1" applyAlignment="1">
      <alignment vertical="center"/>
    </xf>
    <xf numFmtId="3" fontId="12" fillId="0" borderId="132" xfId="0" applyNumberFormat="1" applyFont="1" applyFill="1" applyBorder="1" applyAlignment="1">
      <alignment vertical="center"/>
    </xf>
    <xf numFmtId="3" fontId="12" fillId="0" borderId="123" xfId="0" applyNumberFormat="1" applyFont="1" applyFill="1" applyBorder="1" applyAlignment="1">
      <alignment/>
    </xf>
    <xf numFmtId="3" fontId="12" fillId="0" borderId="131" xfId="0" applyNumberFormat="1" applyFont="1" applyFill="1" applyBorder="1" applyAlignment="1">
      <alignment horizontal="right"/>
    </xf>
    <xf numFmtId="3" fontId="12" fillId="0" borderId="163" xfId="0" applyNumberFormat="1" applyFont="1" applyFill="1" applyBorder="1" applyAlignment="1">
      <alignment horizontal="right"/>
    </xf>
    <xf numFmtId="0" fontId="2" fillId="0" borderId="91" xfId="90" applyFont="1" applyFill="1" applyBorder="1" applyAlignment="1">
      <alignment horizontal="left" wrapText="1"/>
      <protection/>
    </xf>
    <xf numFmtId="0" fontId="2" fillId="0" borderId="0" xfId="0" applyFont="1" applyFill="1" applyBorder="1" applyAlignment="1">
      <alignment horizontal="left"/>
    </xf>
    <xf numFmtId="3" fontId="10" fillId="0" borderId="133" xfId="0" applyNumberFormat="1" applyFont="1" applyFill="1" applyBorder="1" applyAlignment="1">
      <alignment horizontal="center" wrapText="1"/>
    </xf>
    <xf numFmtId="3" fontId="10" fillId="0" borderId="131" xfId="0" applyNumberFormat="1" applyFont="1" applyFill="1" applyBorder="1" applyAlignment="1">
      <alignment horizontal="center" wrapText="1"/>
    </xf>
    <xf numFmtId="3" fontId="10" fillId="0" borderId="123" xfId="0" applyNumberFormat="1" applyFont="1" applyFill="1" applyBorder="1" applyAlignment="1">
      <alignment horizontal="center" wrapText="1"/>
    </xf>
    <xf numFmtId="3" fontId="12" fillId="0" borderId="124" xfId="88" applyNumberFormat="1" applyFont="1" applyFill="1" applyBorder="1" applyAlignment="1">
      <alignment horizontal="right"/>
      <protection/>
    </xf>
    <xf numFmtId="3" fontId="10" fillId="0" borderId="131" xfId="0" applyNumberFormat="1" applyFont="1" applyFill="1" applyBorder="1" applyAlignment="1">
      <alignment horizontal="right" wrapText="1"/>
    </xf>
    <xf numFmtId="3" fontId="10" fillId="0" borderId="163" xfId="0" applyNumberFormat="1" applyFont="1" applyFill="1" applyBorder="1" applyAlignment="1">
      <alignment horizontal="right" wrapText="1"/>
    </xf>
    <xf numFmtId="0" fontId="12" fillId="0" borderId="133" xfId="101" applyFont="1" applyFill="1" applyBorder="1" applyAlignment="1">
      <alignment horizontal="center" vertical="center"/>
      <protection/>
    </xf>
    <xf numFmtId="0" fontId="12" fillId="0" borderId="131" xfId="101" applyFont="1" applyFill="1" applyBorder="1" applyAlignment="1">
      <alignment horizontal="center" vertical="top"/>
      <protection/>
    </xf>
    <xf numFmtId="0" fontId="12" fillId="0" borderId="131" xfId="90" applyFont="1" applyFill="1" applyBorder="1" applyAlignment="1">
      <alignment vertical="top" wrapText="1"/>
      <protection/>
    </xf>
    <xf numFmtId="3" fontId="12" fillId="0" borderId="131" xfId="101" applyNumberFormat="1" applyFont="1" applyFill="1" applyBorder="1" applyAlignment="1">
      <alignment horizontal="right" vertical="center"/>
      <protection/>
    </xf>
    <xf numFmtId="3" fontId="12" fillId="0" borderId="131" xfId="90" applyNumberFormat="1" applyFont="1" applyFill="1" applyBorder="1" applyAlignment="1">
      <alignment horizontal="right" vertical="center"/>
      <protection/>
    </xf>
    <xf numFmtId="3" fontId="12" fillId="0" borderId="132" xfId="101" applyNumberFormat="1" applyFont="1" applyFill="1" applyBorder="1" applyAlignment="1">
      <alignment horizontal="right" vertical="center"/>
      <protection/>
    </xf>
    <xf numFmtId="0" fontId="12" fillId="0" borderId="123" xfId="101" applyFont="1" applyFill="1" applyBorder="1" applyAlignment="1">
      <alignment horizontal="center" vertical="center" wrapText="1"/>
      <protection/>
    </xf>
    <xf numFmtId="3" fontId="12" fillId="0" borderId="131" xfId="90" applyNumberFormat="1" applyFont="1" applyFill="1" applyBorder="1" applyAlignment="1">
      <alignment horizontal="right" vertical="center" wrapText="1"/>
      <protection/>
    </xf>
    <xf numFmtId="3" fontId="12" fillId="0" borderId="138" xfId="101" applyNumberFormat="1" applyFont="1" applyFill="1" applyBorder="1" applyAlignment="1">
      <alignment horizontal="right" vertical="center"/>
      <protection/>
    </xf>
    <xf numFmtId="0" fontId="12" fillId="0" borderId="131" xfId="101" applyFont="1" applyFill="1" applyBorder="1" applyAlignment="1">
      <alignment horizontal="center"/>
      <protection/>
    </xf>
    <xf numFmtId="0" fontId="94" fillId="0" borderId="131" xfId="101" applyFont="1" applyFill="1" applyBorder="1" applyAlignment="1">
      <alignment wrapText="1"/>
      <protection/>
    </xf>
    <xf numFmtId="3" fontId="12" fillId="0" borderId="124" xfId="90" applyNumberFormat="1" applyFont="1" applyFill="1" applyBorder="1" applyAlignment="1">
      <alignment horizontal="right" vertical="center" wrapText="1"/>
      <protection/>
    </xf>
    <xf numFmtId="3" fontId="12" fillId="0" borderId="162" xfId="101" applyNumberFormat="1" applyFont="1" applyFill="1" applyBorder="1" applyAlignment="1">
      <alignment/>
      <protection/>
    </xf>
    <xf numFmtId="3" fontId="12" fillId="0" borderId="122" xfId="90" applyNumberFormat="1" applyFont="1" applyFill="1" applyBorder="1" applyAlignment="1">
      <alignment horizontal="right" wrapText="1"/>
      <protection/>
    </xf>
    <xf numFmtId="3" fontId="17" fillId="0" borderId="164" xfId="90" applyNumberFormat="1" applyFont="1" applyFill="1" applyBorder="1" applyAlignment="1">
      <alignment horizontal="right" wrapText="1"/>
      <protection/>
    </xf>
    <xf numFmtId="3" fontId="5" fillId="0" borderId="131" xfId="90" applyNumberFormat="1" applyFont="1" applyFill="1" applyBorder="1" applyAlignment="1">
      <alignment horizontal="right" wrapText="1"/>
      <protection/>
    </xf>
    <xf numFmtId="3" fontId="5" fillId="0" borderId="131" xfId="101" applyNumberFormat="1" applyFont="1" applyFill="1" applyBorder="1" applyAlignment="1">
      <alignment horizontal="right"/>
      <protection/>
    </xf>
    <xf numFmtId="3" fontId="2" fillId="0" borderId="162" xfId="101" applyNumberFormat="1" applyFont="1" applyFill="1" applyBorder="1" applyAlignment="1">
      <alignment horizontal="right"/>
      <protection/>
    </xf>
    <xf numFmtId="3" fontId="5" fillId="0" borderId="124" xfId="101" applyNumberFormat="1" applyFont="1" applyFill="1" applyBorder="1" applyAlignment="1">
      <alignment horizontal="right"/>
      <protection/>
    </xf>
    <xf numFmtId="3" fontId="12" fillId="0" borderId="131" xfId="88" applyNumberFormat="1" applyFont="1" applyFill="1" applyBorder="1" applyAlignment="1">
      <alignment wrapText="1"/>
      <protection/>
    </xf>
    <xf numFmtId="3" fontId="5" fillId="0" borderId="131" xfId="90" applyNumberFormat="1" applyFont="1" applyFill="1" applyBorder="1" applyAlignment="1">
      <alignment horizontal="right" vertical="center" wrapText="1"/>
      <protection/>
    </xf>
    <xf numFmtId="3" fontId="2" fillId="0" borderId="0" xfId="0" applyNumberFormat="1" applyFont="1" applyFill="1" applyBorder="1" applyAlignment="1">
      <alignment horizontal="right" vertical="center" textRotation="180"/>
    </xf>
    <xf numFmtId="3" fontId="2" fillId="0" borderId="0" xfId="0" applyNumberFormat="1" applyFont="1" applyFill="1" applyBorder="1" applyAlignment="1">
      <alignment horizontal="right" vertical="center"/>
    </xf>
    <xf numFmtId="3" fontId="2" fillId="0" borderId="13" xfId="0" applyNumberFormat="1" applyFont="1" applyFill="1" applyBorder="1" applyAlignment="1">
      <alignment horizontal="right" vertical="center"/>
    </xf>
    <xf numFmtId="3" fontId="17" fillId="0" borderId="55" xfId="0" applyNumberFormat="1" applyFont="1" applyFill="1" applyBorder="1" applyAlignment="1">
      <alignment horizontal="center" vertical="center" wrapText="1"/>
    </xf>
    <xf numFmtId="3" fontId="17" fillId="0" borderId="165" xfId="0" applyNumberFormat="1" applyFont="1" applyFill="1" applyBorder="1" applyAlignment="1">
      <alignment horizontal="center" vertical="center" wrapText="1"/>
    </xf>
    <xf numFmtId="3" fontId="2" fillId="0" borderId="166" xfId="0" applyNumberFormat="1" applyFont="1" applyFill="1" applyBorder="1" applyAlignment="1">
      <alignment horizontal="right"/>
    </xf>
    <xf numFmtId="3" fontId="4" fillId="0" borderId="167" xfId="0" applyNumberFormat="1" applyFont="1" applyFill="1" applyBorder="1" applyAlignment="1">
      <alignment horizontal="right" vertical="center"/>
    </xf>
    <xf numFmtId="3" fontId="4" fillId="0" borderId="168" xfId="0" applyNumberFormat="1" applyFont="1" applyFill="1" applyBorder="1" applyAlignment="1">
      <alignment horizontal="right" vertical="center"/>
    </xf>
    <xf numFmtId="3" fontId="4" fillId="0" borderId="169" xfId="0" applyNumberFormat="1" applyFont="1" applyFill="1" applyBorder="1" applyAlignment="1">
      <alignment horizontal="right" vertical="center"/>
    </xf>
    <xf numFmtId="3" fontId="2" fillId="0" borderId="166" xfId="0" applyNumberFormat="1" applyFont="1" applyFill="1" applyBorder="1" applyAlignment="1">
      <alignment horizontal="right" vertical="center"/>
    </xf>
    <xf numFmtId="3" fontId="2" fillId="0" borderId="168" xfId="0" applyNumberFormat="1" applyFont="1" applyFill="1" applyBorder="1" applyAlignment="1">
      <alignment horizontal="right" vertical="center"/>
    </xf>
    <xf numFmtId="3" fontId="2" fillId="0" borderId="170" xfId="0" applyNumberFormat="1" applyFont="1" applyFill="1" applyBorder="1" applyAlignment="1">
      <alignment horizontal="right" vertical="center"/>
    </xf>
    <xf numFmtId="164" fontId="2" fillId="0" borderId="166" xfId="110" applyNumberFormat="1" applyFont="1" applyFill="1" applyBorder="1" applyAlignment="1">
      <alignment horizontal="right"/>
    </xf>
    <xf numFmtId="164" fontId="2" fillId="0" borderId="105" xfId="110" applyNumberFormat="1" applyFont="1" applyFill="1" applyBorder="1" applyAlignment="1">
      <alignment horizontal="right"/>
    </xf>
    <xf numFmtId="3" fontId="2" fillId="0" borderId="171" xfId="0" applyNumberFormat="1" applyFont="1" applyFill="1" applyBorder="1" applyAlignment="1">
      <alignment horizontal="right" vertical="center" textRotation="180"/>
    </xf>
    <xf numFmtId="3" fontId="2" fillId="0" borderId="170" xfId="0" applyNumberFormat="1" applyFont="1" applyFill="1" applyBorder="1" applyAlignment="1">
      <alignment horizontal="right"/>
    </xf>
    <xf numFmtId="0" fontId="2" fillId="28" borderId="38" xfId="91" applyNumberFormat="1" applyFont="1" applyFill="1" applyBorder="1" applyAlignment="1">
      <alignment horizontal="center" vertical="center" wrapText="1"/>
      <protection/>
    </xf>
    <xf numFmtId="0" fontId="2" fillId="28" borderId="98" xfId="91" applyNumberFormat="1" applyFont="1" applyFill="1" applyBorder="1" applyAlignment="1">
      <alignment horizontal="center" vertical="center" wrapText="1"/>
      <protection/>
    </xf>
    <xf numFmtId="3" fontId="2" fillId="28" borderId="20" xfId="91" applyNumberFormat="1" applyFont="1" applyFill="1" applyBorder="1" applyAlignment="1">
      <alignment horizontal="right" vertical="center" wrapText="1"/>
      <protection/>
    </xf>
    <xf numFmtId="3" fontId="85" fillId="28" borderId="20" xfId="91" applyNumberFormat="1" applyFont="1" applyFill="1" applyBorder="1" applyAlignment="1">
      <alignment horizontal="right" vertical="center" wrapText="1"/>
      <protection/>
    </xf>
    <xf numFmtId="3" fontId="2" fillId="28" borderId="22" xfId="91" applyNumberFormat="1" applyFont="1" applyFill="1" applyBorder="1" applyAlignment="1">
      <alignment horizontal="right" vertical="center" wrapText="1"/>
      <protection/>
    </xf>
    <xf numFmtId="0" fontId="2" fillId="28" borderId="52" xfId="91" applyNumberFormat="1" applyFont="1" applyFill="1" applyBorder="1" applyAlignment="1">
      <alignment horizontal="center" vertical="center" wrapText="1"/>
      <protection/>
    </xf>
    <xf numFmtId="3" fontId="2" fillId="28" borderId="99" xfId="91" applyNumberFormat="1" applyFont="1" applyFill="1" applyBorder="1" applyAlignment="1">
      <alignment horizontal="right" vertical="center" wrapText="1"/>
      <protection/>
    </xf>
    <xf numFmtId="3" fontId="2" fillId="28" borderId="131" xfId="91" applyNumberFormat="1" applyFont="1" applyFill="1" applyBorder="1" applyAlignment="1">
      <alignment horizontal="right" vertical="center" wrapText="1"/>
      <protection/>
    </xf>
    <xf numFmtId="3" fontId="4" fillId="28" borderId="109" xfId="91" applyNumberFormat="1" applyFont="1" applyFill="1" applyBorder="1" applyAlignment="1">
      <alignment horizontal="right" vertical="center"/>
      <protection/>
    </xf>
    <xf numFmtId="3" fontId="2" fillId="0" borderId="172" xfId="91" applyNumberFormat="1" applyFont="1" applyBorder="1" applyAlignment="1">
      <alignment horizontal="center" vertical="center" wrapText="1"/>
      <protection/>
    </xf>
    <xf numFmtId="3" fontId="2" fillId="0" borderId="33" xfId="91" applyNumberFormat="1" applyFont="1" applyBorder="1" applyAlignment="1">
      <alignment horizontal="right" vertical="center" wrapText="1"/>
      <protection/>
    </xf>
    <xf numFmtId="3" fontId="2" fillId="0" borderId="112" xfId="91" applyNumberFormat="1" applyFont="1" applyBorder="1" applyAlignment="1">
      <alignment horizontal="center" vertical="center" wrapText="1"/>
      <protection/>
    </xf>
    <xf numFmtId="3" fontId="2" fillId="0" borderId="103" xfId="91" applyNumberFormat="1" applyFont="1" applyBorder="1" applyAlignment="1">
      <alignment horizontal="right" vertical="center" wrapText="1"/>
      <protection/>
    </xf>
    <xf numFmtId="3" fontId="4" fillId="0" borderId="148" xfId="91" applyNumberFormat="1" applyFont="1" applyBorder="1" applyAlignment="1">
      <alignment horizontal="right" vertical="center"/>
      <protection/>
    </xf>
    <xf numFmtId="3" fontId="2" fillId="28" borderId="119" xfId="91" applyNumberFormat="1" applyFont="1" applyFill="1" applyBorder="1" applyAlignment="1">
      <alignment horizontal="center" vertical="center" wrapText="1"/>
      <protection/>
    </xf>
    <xf numFmtId="3" fontId="4" fillId="0" borderId="79" xfId="91" applyNumberFormat="1" applyFont="1" applyBorder="1" applyAlignment="1">
      <alignment horizontal="right" vertical="center" wrapText="1"/>
      <protection/>
    </xf>
    <xf numFmtId="3" fontId="2" fillId="28" borderId="38" xfId="91" applyNumberFormat="1" applyFont="1" applyFill="1" applyBorder="1" applyAlignment="1">
      <alignment horizontal="center" vertical="center" wrapText="1"/>
      <protection/>
    </xf>
    <xf numFmtId="3" fontId="2" fillId="28" borderId="98" xfId="91" applyNumberFormat="1" applyFont="1" applyFill="1" applyBorder="1" applyAlignment="1">
      <alignment horizontal="center" vertical="center" wrapText="1"/>
      <protection/>
    </xf>
    <xf numFmtId="3" fontId="2" fillId="28" borderId="52" xfId="91" applyNumberFormat="1" applyFont="1" applyFill="1" applyBorder="1" applyAlignment="1">
      <alignment horizontal="center" vertical="center" wrapText="1"/>
      <protection/>
    </xf>
    <xf numFmtId="3" fontId="2" fillId="0" borderId="33" xfId="91" applyNumberFormat="1" applyFont="1" applyFill="1" applyBorder="1" applyAlignment="1">
      <alignment horizontal="right" vertical="center" wrapText="1"/>
      <protection/>
    </xf>
    <xf numFmtId="3" fontId="2" fillId="0" borderId="112" xfId="91" applyNumberFormat="1" applyFont="1" applyFill="1" applyBorder="1" applyAlignment="1">
      <alignment horizontal="center" vertical="center" wrapText="1"/>
      <protection/>
    </xf>
    <xf numFmtId="3" fontId="2" fillId="28" borderId="93" xfId="91" applyNumberFormat="1" applyFont="1" applyFill="1" applyBorder="1" applyAlignment="1">
      <alignment horizontal="center" vertical="center" wrapText="1"/>
      <protection/>
    </xf>
    <xf numFmtId="3" fontId="2" fillId="0" borderId="0" xfId="0" applyNumberFormat="1" applyFont="1" applyAlignment="1">
      <alignment vertical="center"/>
    </xf>
    <xf numFmtId="3" fontId="2" fillId="0" borderId="0" xfId="0" applyNumberFormat="1" applyFont="1" applyAlignment="1">
      <alignment horizontal="right" vertical="center"/>
    </xf>
    <xf numFmtId="0" fontId="2" fillId="0" borderId="15" xfId="0" applyFont="1" applyBorder="1" applyAlignment="1">
      <alignment horizontal="center" vertical="center" wrapText="1"/>
    </xf>
    <xf numFmtId="3" fontId="10" fillId="0" borderId="173" xfId="0" applyNumberFormat="1" applyFont="1" applyBorder="1" applyAlignment="1">
      <alignment horizontal="center" vertical="center" wrapText="1"/>
    </xf>
    <xf numFmtId="3" fontId="10" fillId="0" borderId="16" xfId="0" applyNumberFormat="1" applyFont="1" applyBorder="1" applyAlignment="1">
      <alignment horizontal="center" vertical="center" wrapText="1"/>
    </xf>
    <xf numFmtId="0" fontId="2" fillId="0" borderId="106" xfId="0" applyFont="1" applyBorder="1" applyAlignment="1">
      <alignment vertical="center"/>
    </xf>
    <xf numFmtId="3" fontId="2" fillId="0" borderId="35" xfId="0" applyNumberFormat="1" applyFont="1" applyBorder="1" applyAlignment="1">
      <alignment vertical="center"/>
    </xf>
    <xf numFmtId="3" fontId="2" fillId="0" borderId="36" xfId="0" applyNumberFormat="1" applyFont="1" applyBorder="1" applyAlignment="1">
      <alignment vertical="center"/>
    </xf>
    <xf numFmtId="0" fontId="2" fillId="0" borderId="19" xfId="0" applyFont="1" applyBorder="1" applyAlignment="1">
      <alignment vertical="center"/>
    </xf>
    <xf numFmtId="3" fontId="2" fillId="0" borderId="20" xfId="0" applyNumberFormat="1" applyFont="1" applyBorder="1" applyAlignment="1">
      <alignment vertical="center"/>
    </xf>
    <xf numFmtId="3" fontId="2" fillId="0" borderId="21" xfId="0" applyNumberFormat="1" applyFont="1" applyBorder="1" applyAlignment="1">
      <alignment vertical="center"/>
    </xf>
    <xf numFmtId="0" fontId="2" fillId="0" borderId="19" xfId="0" applyFont="1" applyBorder="1" applyAlignment="1">
      <alignment vertical="center" wrapText="1"/>
    </xf>
    <xf numFmtId="0" fontId="2" fillId="0" borderId="133" xfId="0" applyFont="1" applyBorder="1" applyAlignment="1">
      <alignment vertical="center" wrapText="1"/>
    </xf>
    <xf numFmtId="3" fontId="2" fillId="0" borderId="131" xfId="0" applyNumberFormat="1" applyFont="1" applyBorder="1" applyAlignment="1">
      <alignment vertical="center"/>
    </xf>
    <xf numFmtId="3" fontId="2" fillId="0" borderId="163" xfId="0" applyNumberFormat="1" applyFont="1" applyBorder="1" applyAlignment="1">
      <alignment vertical="center"/>
    </xf>
    <xf numFmtId="0" fontId="4" fillId="0" borderId="24" xfId="0" applyFont="1" applyBorder="1" applyAlignment="1">
      <alignment vertical="center"/>
    </xf>
    <xf numFmtId="3" fontId="4" fillId="0" borderId="109" xfId="0" applyNumberFormat="1" applyFont="1" applyBorder="1" applyAlignment="1">
      <alignment vertical="center"/>
    </xf>
    <xf numFmtId="3" fontId="4" fillId="0" borderId="25" xfId="0" applyNumberFormat="1" applyFont="1" applyBorder="1" applyAlignment="1">
      <alignment vertical="center"/>
    </xf>
    <xf numFmtId="0" fontId="4" fillId="0" borderId="0" xfId="0" applyFont="1" applyAlignment="1">
      <alignment vertical="center"/>
    </xf>
    <xf numFmtId="0" fontId="2" fillId="0" borderId="24" xfId="0" applyFont="1" applyBorder="1" applyAlignment="1">
      <alignment vertical="center" wrapText="1"/>
    </xf>
    <xf numFmtId="3" fontId="2" fillId="0" borderId="109" xfId="0" applyNumberFormat="1" applyFont="1" applyBorder="1" applyAlignment="1">
      <alignment vertical="center"/>
    </xf>
    <xf numFmtId="3" fontId="2" fillId="0" borderId="25" xfId="0" applyNumberFormat="1" applyFont="1" applyBorder="1" applyAlignment="1">
      <alignment vertical="center"/>
    </xf>
    <xf numFmtId="3" fontId="48" fillId="0" borderId="20" xfId="90" applyNumberFormat="1" applyFont="1" applyFill="1" applyBorder="1" applyAlignment="1">
      <alignment horizontal="right" wrapText="1"/>
      <protection/>
    </xf>
    <xf numFmtId="3" fontId="6" fillId="0" borderId="20" xfId="90" applyNumberFormat="1" applyFont="1" applyFill="1" applyBorder="1" applyAlignment="1">
      <alignment horizontal="right" wrapText="1"/>
      <protection/>
    </xf>
    <xf numFmtId="3" fontId="48" fillId="0" borderId="96" xfId="90" applyNumberFormat="1" applyFont="1" applyFill="1" applyBorder="1" applyAlignment="1">
      <alignment horizontal="right" wrapText="1"/>
      <protection/>
    </xf>
    <xf numFmtId="0" fontId="48" fillId="0" borderId="20" xfId="0" applyFont="1" applyFill="1" applyBorder="1" applyAlignment="1">
      <alignment horizontal="left" wrapText="1" indent="2" shrinkToFit="1"/>
    </xf>
    <xf numFmtId="3" fontId="6" fillId="0" borderId="20" xfId="101" applyNumberFormat="1" applyFont="1" applyFill="1" applyBorder="1" applyAlignment="1">
      <alignment horizontal="right"/>
      <protection/>
    </xf>
    <xf numFmtId="3" fontId="6" fillId="0" borderId="20" xfId="90" applyNumberFormat="1" applyFont="1" applyFill="1" applyBorder="1" applyAlignment="1">
      <alignment horizontal="right"/>
      <protection/>
    </xf>
    <xf numFmtId="3" fontId="10" fillId="0" borderId="11" xfId="0" applyNumberFormat="1" applyFont="1" applyFill="1" applyBorder="1" applyAlignment="1">
      <alignment horizontal="center" vertical="center" wrapText="1"/>
    </xf>
    <xf numFmtId="3" fontId="10" fillId="0" borderId="33" xfId="96" applyNumberFormat="1" applyFont="1" applyFill="1" applyBorder="1" applyAlignment="1">
      <alignment horizontal="left"/>
      <protection/>
    </xf>
    <xf numFmtId="3" fontId="10" fillId="0" borderId="80" xfId="96" applyNumberFormat="1" applyFont="1" applyFill="1" applyBorder="1" applyAlignment="1">
      <alignment horizontal="left"/>
      <protection/>
    </xf>
    <xf numFmtId="0" fontId="4" fillId="0" borderId="0" xfId="0" applyFont="1" applyFill="1" applyBorder="1" applyAlignment="1">
      <alignment horizontal="left"/>
    </xf>
    <xf numFmtId="3" fontId="5" fillId="28" borderId="31" xfId="91" applyNumberFormat="1" applyFont="1" applyFill="1" applyBorder="1" applyAlignment="1">
      <alignment horizontal="right" vertical="center" wrapText="1"/>
      <protection/>
    </xf>
    <xf numFmtId="3" fontId="5" fillId="28" borderId="174" xfId="91" applyNumberFormat="1" applyFont="1" applyFill="1" applyBorder="1" applyAlignment="1">
      <alignment horizontal="right" vertical="center" wrapText="1"/>
      <protection/>
    </xf>
    <xf numFmtId="3" fontId="5" fillId="28" borderId="85" xfId="91" applyNumberFormat="1" applyFont="1" applyFill="1" applyBorder="1" applyAlignment="1">
      <alignment horizontal="center" vertical="center" wrapText="1"/>
      <protection/>
    </xf>
    <xf numFmtId="3" fontId="5" fillId="28" borderId="158" xfId="91" applyNumberFormat="1" applyFont="1" applyFill="1" applyBorder="1" applyAlignment="1">
      <alignment horizontal="right" vertical="center" wrapText="1"/>
      <protection/>
    </xf>
    <xf numFmtId="3" fontId="17" fillId="28" borderId="30" xfId="91" applyNumberFormat="1" applyFont="1" applyFill="1" applyBorder="1" applyAlignment="1">
      <alignment horizontal="right" vertical="center"/>
      <protection/>
    </xf>
    <xf numFmtId="3" fontId="5" fillId="28" borderId="94" xfId="91" applyNumberFormat="1" applyFont="1" applyFill="1" applyBorder="1" applyAlignment="1">
      <alignment horizontal="center" vertical="center" wrapText="1"/>
      <protection/>
    </xf>
    <xf numFmtId="3" fontId="5" fillId="28" borderId="94" xfId="91" applyNumberFormat="1" applyFont="1" applyFill="1" applyBorder="1">
      <alignment/>
      <protection/>
    </xf>
    <xf numFmtId="3" fontId="5" fillId="28" borderId="94" xfId="91" applyNumberFormat="1" applyFont="1" applyFill="1" applyBorder="1" applyAlignment="1">
      <alignment horizontal="right" vertical="center" wrapText="1"/>
      <protection/>
    </xf>
    <xf numFmtId="3" fontId="5" fillId="28" borderId="94" xfId="91" applyNumberFormat="1" applyFont="1" applyFill="1" applyBorder="1" applyAlignment="1">
      <alignment horizontal="right" vertical="center"/>
      <protection/>
    </xf>
    <xf numFmtId="3" fontId="5" fillId="28" borderId="94" xfId="91" applyNumberFormat="1" applyFont="1" applyFill="1" applyBorder="1" applyAlignment="1">
      <alignment vertical="center"/>
      <protection/>
    </xf>
    <xf numFmtId="3" fontId="5" fillId="28" borderId="138" xfId="91" applyNumberFormat="1" applyFont="1" applyFill="1" applyBorder="1" applyAlignment="1">
      <alignment horizontal="right" vertical="center"/>
      <protection/>
    </xf>
    <xf numFmtId="3" fontId="17" fillId="28" borderId="175" xfId="91" applyNumberFormat="1" applyFont="1" applyFill="1" applyBorder="1" applyAlignment="1">
      <alignment horizontal="right" vertical="center"/>
      <protection/>
    </xf>
    <xf numFmtId="3" fontId="13" fillId="0" borderId="34" xfId="0" applyNumberFormat="1" applyFont="1" applyFill="1" applyBorder="1" applyAlignment="1">
      <alignment vertical="center"/>
    </xf>
    <xf numFmtId="3" fontId="10" fillId="0" borderId="21" xfId="0" applyNumberFormat="1" applyFont="1" applyFill="1" applyBorder="1" applyAlignment="1">
      <alignment horizontal="right" vertical="top"/>
    </xf>
    <xf numFmtId="3" fontId="13" fillId="0" borderId="91" xfId="96" applyNumberFormat="1" applyFont="1" applyFill="1" applyBorder="1" applyAlignment="1">
      <alignment horizontal="left"/>
      <protection/>
    </xf>
    <xf numFmtId="3" fontId="13" fillId="0" borderId="20" xfId="0" applyNumberFormat="1" applyFont="1" applyFill="1" applyBorder="1" applyAlignment="1">
      <alignment horizontal="center"/>
    </xf>
    <xf numFmtId="3" fontId="86" fillId="0" borderId="80" xfId="96" applyNumberFormat="1" applyFont="1" applyFill="1" applyBorder="1" applyAlignment="1">
      <alignment horizontal="left"/>
      <protection/>
    </xf>
    <xf numFmtId="3" fontId="86" fillId="0" borderId="20" xfId="0" applyNumberFormat="1" applyFont="1" applyFill="1" applyBorder="1" applyAlignment="1">
      <alignment vertical="top"/>
    </xf>
    <xf numFmtId="3" fontId="86" fillId="0" borderId="21" xfId="0" applyNumberFormat="1" applyFont="1" applyFill="1" applyBorder="1" applyAlignment="1">
      <alignment vertical="top"/>
    </xf>
    <xf numFmtId="3" fontId="13" fillId="0" borderId="20" xfId="0" applyNumberFormat="1" applyFont="1" applyFill="1" applyBorder="1" applyAlignment="1">
      <alignment vertical="top"/>
    </xf>
    <xf numFmtId="3" fontId="10" fillId="0" borderId="91" xfId="96" applyNumberFormat="1" applyFont="1" applyFill="1" applyBorder="1" applyAlignment="1">
      <alignment horizontal="left" wrapText="1"/>
      <protection/>
    </xf>
    <xf numFmtId="0" fontId="21" fillId="35" borderId="0" xfId="0" applyFont="1" applyFill="1" applyAlignment="1">
      <alignment horizontal="right"/>
    </xf>
    <xf numFmtId="0" fontId="21" fillId="35" borderId="0" xfId="0" applyFont="1" applyFill="1" applyAlignment="1">
      <alignment/>
    </xf>
    <xf numFmtId="3" fontId="86" fillId="0" borderId="20" xfId="96" applyNumberFormat="1" applyFont="1" applyFill="1" applyBorder="1" applyAlignment="1">
      <alignment horizontal="left"/>
      <protection/>
    </xf>
    <xf numFmtId="3" fontId="86" fillId="0" borderId="20" xfId="96" applyNumberFormat="1" applyFont="1" applyFill="1" applyBorder="1" applyAlignment="1">
      <alignment horizontal="center" vertical="center"/>
      <protection/>
    </xf>
    <xf numFmtId="3" fontId="16" fillId="0" borderId="21" xfId="0" applyNumberFormat="1" applyFont="1" applyFill="1" applyBorder="1" applyAlignment="1">
      <alignment/>
    </xf>
    <xf numFmtId="3" fontId="10" fillId="0" borderId="80" xfId="96" applyNumberFormat="1" applyFont="1" applyFill="1" applyBorder="1" applyAlignment="1">
      <alignment wrapText="1"/>
      <protection/>
    </xf>
    <xf numFmtId="3" fontId="2" fillId="0" borderId="104" xfId="91" applyNumberFormat="1" applyFont="1" applyFill="1" applyBorder="1" applyAlignment="1">
      <alignment horizontal="right" vertical="center" wrapText="1"/>
      <protection/>
    </xf>
    <xf numFmtId="3" fontId="12" fillId="0" borderId="36" xfId="101" applyNumberFormat="1" applyFont="1" applyFill="1" applyBorder="1" applyAlignment="1" applyProtection="1">
      <alignment vertical="center" wrapText="1"/>
      <protection locked="0"/>
    </xf>
    <xf numFmtId="3" fontId="12" fillId="0" borderId="26" xfId="101" applyNumberFormat="1" applyFont="1" applyFill="1" applyBorder="1" applyAlignment="1" applyProtection="1">
      <alignment/>
      <protection locked="0"/>
    </xf>
    <xf numFmtId="3" fontId="12" fillId="0" borderId="26" xfId="101" applyNumberFormat="1" applyFont="1" applyBorder="1" applyAlignment="1" applyProtection="1">
      <alignment vertical="center"/>
      <protection locked="0"/>
    </xf>
    <xf numFmtId="3" fontId="12" fillId="0" borderId="26" xfId="101" applyNumberFormat="1" applyFont="1" applyBorder="1" applyProtection="1">
      <alignment/>
      <protection locked="0"/>
    </xf>
    <xf numFmtId="3" fontId="12" fillId="0" borderId="26" xfId="101" applyNumberFormat="1" applyFont="1" applyBorder="1" applyAlignment="1" applyProtection="1">
      <alignment horizontal="right" vertical="center"/>
      <protection locked="0"/>
    </xf>
    <xf numFmtId="3" fontId="12" fillId="0" borderId="26" xfId="101" applyNumberFormat="1" applyFont="1" applyFill="1" applyBorder="1" applyAlignment="1" applyProtection="1">
      <alignment vertical="center"/>
      <protection locked="0"/>
    </xf>
    <xf numFmtId="3" fontId="12" fillId="0" borderId="77" xfId="101" applyNumberFormat="1" applyFont="1" applyBorder="1" applyAlignment="1" applyProtection="1">
      <alignment vertical="center"/>
      <protection locked="0"/>
    </xf>
    <xf numFmtId="3" fontId="16" fillId="0" borderId="176" xfId="101" applyNumberFormat="1" applyFont="1" applyFill="1" applyBorder="1" applyAlignment="1" applyProtection="1">
      <alignment vertical="center"/>
      <protection locked="0"/>
    </xf>
    <xf numFmtId="3" fontId="16" fillId="0" borderId="25" xfId="101" applyNumberFormat="1" applyFont="1" applyFill="1" applyBorder="1" applyAlignment="1" applyProtection="1">
      <alignment vertical="center"/>
      <protection locked="0"/>
    </xf>
    <xf numFmtId="3" fontId="16" fillId="0" borderId="36" xfId="101" applyNumberFormat="1" applyFont="1" applyFill="1" applyBorder="1" applyAlignment="1" applyProtection="1">
      <alignment vertical="center"/>
      <protection locked="0"/>
    </xf>
    <xf numFmtId="3" fontId="12" fillId="0" borderId="21" xfId="101" applyNumberFormat="1" applyFont="1" applyFill="1" applyBorder="1" applyAlignment="1" applyProtection="1">
      <alignment vertical="center"/>
      <protection locked="0"/>
    </xf>
    <xf numFmtId="3" fontId="12" fillId="0" borderId="102" xfId="101" applyNumberFormat="1" applyFont="1" applyFill="1" applyBorder="1" applyAlignment="1" applyProtection="1">
      <alignment vertical="center"/>
      <protection locked="0"/>
    </xf>
    <xf numFmtId="3" fontId="12" fillId="0" borderId="25" xfId="101" applyNumberFormat="1" applyFont="1" applyFill="1" applyBorder="1" applyAlignment="1" applyProtection="1">
      <alignment vertical="center"/>
      <protection locked="0"/>
    </xf>
    <xf numFmtId="3" fontId="5" fillId="0" borderId="161" xfId="87" applyNumberFormat="1" applyFont="1" applyFill="1" applyBorder="1" applyAlignment="1">
      <alignment horizontal="center" vertical="center"/>
      <protection/>
    </xf>
    <xf numFmtId="3" fontId="5" fillId="0" borderId="113" xfId="87" applyNumberFormat="1" applyFont="1" applyFill="1" applyBorder="1">
      <alignment/>
      <protection/>
    </xf>
    <xf numFmtId="3" fontId="17" fillId="0" borderId="177" xfId="87" applyNumberFormat="1" applyFont="1" applyFill="1" applyBorder="1" applyAlignment="1">
      <alignment horizontal="right" wrapText="1"/>
      <protection/>
    </xf>
    <xf numFmtId="3" fontId="17" fillId="0" borderId="113" xfId="87" applyNumberFormat="1" applyFont="1" applyFill="1" applyBorder="1" applyAlignment="1">
      <alignment horizontal="right" wrapText="1"/>
      <protection/>
    </xf>
    <xf numFmtId="3" fontId="5" fillId="0" borderId="113" xfId="0" applyNumberFormat="1" applyFont="1" applyFill="1" applyBorder="1" applyAlignment="1">
      <alignment/>
    </xf>
    <xf numFmtId="3" fontId="17" fillId="0" borderId="113" xfId="0" applyNumberFormat="1" applyFont="1" applyFill="1" applyBorder="1" applyAlignment="1">
      <alignment horizontal="right"/>
    </xf>
    <xf numFmtId="3" fontId="17" fillId="0" borderId="113" xfId="0" applyNumberFormat="1" applyFont="1" applyFill="1" applyBorder="1" applyAlignment="1">
      <alignment/>
    </xf>
    <xf numFmtId="3" fontId="5" fillId="0" borderId="113" xfId="0" applyNumberFormat="1" applyFont="1" applyFill="1" applyBorder="1" applyAlignment="1">
      <alignment horizontal="right"/>
    </xf>
    <xf numFmtId="3" fontId="17" fillId="0" borderId="113" xfId="0" applyNumberFormat="1" applyFont="1" applyFill="1" applyBorder="1" applyAlignment="1">
      <alignment/>
    </xf>
    <xf numFmtId="3" fontId="5" fillId="0" borderId="113" xfId="0" applyNumberFormat="1" applyFont="1" applyFill="1" applyBorder="1" applyAlignment="1">
      <alignment/>
    </xf>
    <xf numFmtId="3" fontId="5" fillId="0" borderId="178" xfId="0" applyNumberFormat="1" applyFont="1" applyFill="1" applyBorder="1" applyAlignment="1">
      <alignment/>
    </xf>
    <xf numFmtId="3" fontId="5" fillId="0" borderId="179" xfId="0" applyNumberFormat="1" applyFont="1" applyFill="1" applyBorder="1" applyAlignment="1">
      <alignment/>
    </xf>
    <xf numFmtId="0" fontId="50" fillId="0" borderId="0" xfId="0" applyFont="1" applyAlignment="1">
      <alignment/>
    </xf>
    <xf numFmtId="0" fontId="51" fillId="0" borderId="0" xfId="0" applyFont="1" applyAlignment="1">
      <alignment vertical="center" wrapText="1"/>
    </xf>
    <xf numFmtId="0" fontId="50" fillId="0" borderId="0" xfId="0" applyFont="1" applyAlignment="1">
      <alignment horizontal="center"/>
    </xf>
    <xf numFmtId="0" fontId="50"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161" xfId="0" applyFont="1" applyBorder="1" applyAlignment="1">
      <alignment horizontal="center" vertical="center" wrapText="1"/>
    </xf>
    <xf numFmtId="0" fontId="4" fillId="0" borderId="180" xfId="0" applyFont="1" applyBorder="1" applyAlignment="1">
      <alignment horizontal="left" vertical="center" wrapText="1"/>
    </xf>
    <xf numFmtId="0" fontId="2" fillId="0" borderId="78" xfId="0" applyFont="1" applyBorder="1" applyAlignment="1">
      <alignment/>
    </xf>
    <xf numFmtId="0" fontId="2" fillId="0" borderId="181" xfId="0" applyFont="1" applyBorder="1" applyAlignment="1">
      <alignment/>
    </xf>
    <xf numFmtId="0" fontId="2" fillId="0" borderId="10" xfId="0" applyFont="1" applyBorder="1" applyAlignment="1">
      <alignment horizontal="left" vertical="top" wrapText="1"/>
    </xf>
    <xf numFmtId="3" fontId="2" fillId="0" borderId="0" xfId="0" applyNumberFormat="1" applyFont="1" applyAlignment="1">
      <alignment horizontal="right" vertical="top" wrapText="1"/>
    </xf>
    <xf numFmtId="3" fontId="2" fillId="0" borderId="113" xfId="0" applyNumberFormat="1" applyFont="1" applyBorder="1" applyAlignment="1">
      <alignment horizontal="right" vertical="top" wrapText="1"/>
    </xf>
    <xf numFmtId="0" fontId="4" fillId="0" borderId="41" xfId="0" applyFont="1" applyBorder="1" applyAlignment="1">
      <alignment horizontal="left" vertical="center" wrapText="1"/>
    </xf>
    <xf numFmtId="3" fontId="4" fillId="0" borderId="12" xfId="0" applyNumberFormat="1" applyFont="1" applyBorder="1" applyAlignment="1">
      <alignment horizontal="right" vertical="center" wrapText="1"/>
    </xf>
    <xf numFmtId="3" fontId="4" fillId="0" borderId="178" xfId="0" applyNumberFormat="1" applyFont="1" applyBorder="1" applyAlignment="1">
      <alignment horizontal="right" vertical="center" wrapText="1"/>
    </xf>
    <xf numFmtId="0" fontId="4" fillId="0" borderId="42" xfId="0" applyFont="1" applyBorder="1" applyAlignment="1">
      <alignment horizontal="left" vertical="center" shrinkToFit="1"/>
    </xf>
    <xf numFmtId="3" fontId="4" fillId="0" borderId="27" xfId="0" applyNumberFormat="1" applyFont="1" applyBorder="1" applyAlignment="1">
      <alignment horizontal="right" vertical="center" wrapText="1"/>
    </xf>
    <xf numFmtId="3" fontId="4" fillId="0" borderId="182" xfId="0" applyNumberFormat="1" applyFont="1" applyBorder="1" applyAlignment="1">
      <alignment horizontal="right" vertical="center" wrapText="1"/>
    </xf>
    <xf numFmtId="0" fontId="4" fillId="0" borderId="42" xfId="0" applyFont="1" applyBorder="1" applyAlignment="1">
      <alignment horizontal="left" vertical="center" wrapText="1"/>
    </xf>
    <xf numFmtId="0" fontId="2" fillId="0" borderId="10" xfId="0" applyFont="1" applyBorder="1" applyAlignment="1">
      <alignment horizontal="left" vertical="center" shrinkToFit="1"/>
    </xf>
    <xf numFmtId="0" fontId="2" fillId="0" borderId="10" xfId="0" applyFont="1" applyBorder="1" applyAlignment="1">
      <alignment horizontal="left" vertical="top" shrinkToFit="1"/>
    </xf>
    <xf numFmtId="0" fontId="4" fillId="0" borderId="62" xfId="0" applyFont="1" applyBorder="1" applyAlignment="1">
      <alignment horizontal="left" vertical="center" wrapText="1"/>
    </xf>
    <xf numFmtId="3" fontId="4" fillId="0" borderId="183" xfId="0" applyNumberFormat="1" applyFont="1" applyBorder="1" applyAlignment="1">
      <alignment horizontal="right" vertical="center" wrapText="1"/>
    </xf>
    <xf numFmtId="3" fontId="4" fillId="0" borderId="184" xfId="0" applyNumberFormat="1" applyFont="1" applyBorder="1" applyAlignment="1">
      <alignment horizontal="right" vertical="center" wrapText="1"/>
    </xf>
    <xf numFmtId="0" fontId="4" fillId="0" borderId="43" xfId="0" applyFont="1" applyBorder="1" applyAlignment="1">
      <alignment horizontal="left" vertical="center" wrapText="1"/>
    </xf>
    <xf numFmtId="3" fontId="4" fillId="0" borderId="28" xfId="0" applyNumberFormat="1" applyFont="1" applyBorder="1" applyAlignment="1">
      <alignment horizontal="right" vertical="center" wrapText="1"/>
    </xf>
    <xf numFmtId="3" fontId="4" fillId="0" borderId="185" xfId="0" applyNumberFormat="1" applyFont="1" applyBorder="1" applyAlignment="1">
      <alignment horizontal="right" vertical="center" wrapText="1"/>
    </xf>
    <xf numFmtId="0" fontId="2" fillId="0" borderId="78" xfId="0" applyFont="1" applyBorder="1" applyAlignment="1">
      <alignment vertical="center"/>
    </xf>
    <xf numFmtId="0" fontId="2" fillId="0" borderId="181" xfId="0" applyFont="1" applyBorder="1" applyAlignment="1">
      <alignment vertical="center"/>
    </xf>
    <xf numFmtId="0" fontId="4" fillId="0" borderId="186" xfId="0" applyFont="1" applyBorder="1" applyAlignment="1">
      <alignment horizontal="left" vertical="center" wrapText="1"/>
    </xf>
    <xf numFmtId="3" fontId="4" fillId="0" borderId="187" xfId="0" applyNumberFormat="1" applyFont="1" applyBorder="1" applyAlignment="1">
      <alignment horizontal="right" vertical="center" wrapText="1"/>
    </xf>
    <xf numFmtId="3" fontId="4" fillId="0" borderId="188" xfId="0" applyNumberFormat="1" applyFont="1" applyBorder="1" applyAlignment="1">
      <alignment horizontal="right" vertical="center" wrapText="1"/>
    </xf>
    <xf numFmtId="0" fontId="2" fillId="0" borderId="0" xfId="64" applyFont="1" applyAlignment="1">
      <alignment vertical="center"/>
      <protection/>
    </xf>
    <xf numFmtId="0" fontId="5" fillId="0" borderId="0" xfId="0" applyFont="1" applyAlignment="1">
      <alignment horizontal="right" vertical="top"/>
    </xf>
    <xf numFmtId="0" fontId="2" fillId="0" borderId="0" xfId="64" applyFont="1" applyAlignment="1">
      <alignment horizontal="center" vertical="center"/>
      <protection/>
    </xf>
    <xf numFmtId="3" fontId="2" fillId="0" borderId="0" xfId="64" applyNumberFormat="1" applyFont="1" applyAlignment="1">
      <alignment horizontal="center" vertical="center"/>
      <protection/>
    </xf>
    <xf numFmtId="0" fontId="4" fillId="0" borderId="189" xfId="64" applyFont="1" applyBorder="1" applyAlignment="1">
      <alignment horizontal="center" vertical="center" wrapText="1"/>
      <protection/>
    </xf>
    <xf numFmtId="3" fontId="4" fillId="0" borderId="189" xfId="64" applyNumberFormat="1" applyFont="1" applyBorder="1" applyAlignment="1">
      <alignment horizontal="center" vertical="center" wrapText="1"/>
      <protection/>
    </xf>
    <xf numFmtId="0" fontId="4" fillId="0" borderId="22" xfId="64" applyFont="1" applyBorder="1" applyAlignment="1">
      <alignment horizontal="center" vertical="center"/>
      <protection/>
    </xf>
    <xf numFmtId="0" fontId="4" fillId="0" borderId="22" xfId="64" applyFont="1" applyBorder="1" applyAlignment="1">
      <alignment vertical="center"/>
      <protection/>
    </xf>
    <xf numFmtId="3" fontId="4" fillId="0" borderId="22" xfId="64" applyNumberFormat="1" applyFont="1" applyBorder="1" applyAlignment="1">
      <alignment vertical="center"/>
      <protection/>
    </xf>
    <xf numFmtId="0" fontId="2" fillId="0" borderId="20" xfId="64" applyFont="1" applyBorder="1" applyAlignment="1">
      <alignment horizontal="center" vertical="center"/>
      <protection/>
    </xf>
    <xf numFmtId="0" fontId="5" fillId="0" borderId="20" xfId="64" applyFont="1" applyBorder="1" applyAlignment="1">
      <alignment horizontal="left" vertical="center" indent="2"/>
      <protection/>
    </xf>
    <xf numFmtId="3" fontId="2" fillId="0" borderId="20" xfId="64" applyNumberFormat="1" applyFont="1" applyBorder="1" applyAlignment="1">
      <alignment vertical="center"/>
      <protection/>
    </xf>
    <xf numFmtId="0" fontId="2" fillId="0" borderId="20" xfId="64" applyFont="1" applyBorder="1" applyAlignment="1">
      <alignment horizontal="left" vertical="center" indent="3"/>
      <protection/>
    </xf>
    <xf numFmtId="0" fontId="2" fillId="0" borderId="20" xfId="64" applyFont="1" applyBorder="1" applyAlignment="1">
      <alignment vertical="center" wrapText="1"/>
      <protection/>
    </xf>
    <xf numFmtId="0" fontId="4" fillId="0" borderId="22" xfId="64" applyFont="1" applyBorder="1" applyAlignment="1">
      <alignment vertical="center" wrapText="1"/>
      <protection/>
    </xf>
    <xf numFmtId="0" fontId="2" fillId="0" borderId="20" xfId="64" applyFont="1" applyBorder="1" applyAlignment="1">
      <alignment horizontal="left" vertical="center" wrapText="1" indent="3"/>
      <protection/>
    </xf>
    <xf numFmtId="2" fontId="2" fillId="0" borderId="0" xfId="0" applyNumberFormat="1" applyFont="1" applyAlignment="1">
      <alignment/>
    </xf>
    <xf numFmtId="0" fontId="2" fillId="0" borderId="0" xfId="0" applyFont="1" applyAlignment="1">
      <alignment horizontal="right"/>
    </xf>
    <xf numFmtId="3" fontId="2" fillId="0" borderId="0" xfId="0" applyNumberFormat="1" applyFont="1" applyAlignment="1">
      <alignment horizontal="center" vertical="center"/>
    </xf>
    <xf numFmtId="2" fontId="2" fillId="0" borderId="0" xfId="0" applyNumberFormat="1" applyFont="1" applyAlignment="1">
      <alignment horizontal="center" vertical="center"/>
    </xf>
    <xf numFmtId="0" fontId="4" fillId="0" borderId="190" xfId="0" applyFont="1" applyBorder="1" applyAlignment="1">
      <alignment horizontal="center"/>
    </xf>
    <xf numFmtId="0" fontId="2" fillId="0" borderId="190" xfId="0" applyFont="1" applyBorder="1" applyAlignment="1">
      <alignment horizontal="center"/>
    </xf>
    <xf numFmtId="2" fontId="4" fillId="0" borderId="191" xfId="0" applyNumberFormat="1" applyFont="1" applyBorder="1" applyAlignment="1">
      <alignment horizontal="center"/>
    </xf>
    <xf numFmtId="0" fontId="4" fillId="0" borderId="139" xfId="0" applyFont="1" applyBorder="1" applyAlignment="1">
      <alignment horizontal="center" vertical="center"/>
    </xf>
    <xf numFmtId="0" fontId="2" fillId="0" borderId="139" xfId="0" applyFont="1" applyBorder="1" applyAlignment="1">
      <alignment horizontal="center" vertical="center"/>
    </xf>
    <xf numFmtId="2" fontId="4" fillId="0" borderId="166" xfId="0" applyNumberFormat="1" applyFont="1" applyBorder="1" applyAlignment="1">
      <alignment horizontal="center" vertical="center"/>
    </xf>
    <xf numFmtId="0" fontId="4" fillId="0" borderId="144" xfId="0" applyFont="1" applyBorder="1" applyAlignment="1">
      <alignment horizontal="center" vertical="top"/>
    </xf>
    <xf numFmtId="0" fontId="2" fillId="0" borderId="144" xfId="0" applyFont="1" applyBorder="1" applyAlignment="1">
      <alignment horizontal="center" vertical="top" wrapText="1"/>
    </xf>
    <xf numFmtId="2" fontId="4" fillId="0" borderId="105" xfId="0" applyNumberFormat="1" applyFont="1" applyBorder="1" applyAlignment="1">
      <alignment horizontal="center" vertical="top"/>
    </xf>
    <xf numFmtId="0" fontId="2" fillId="0" borderId="143" xfId="0" applyFont="1" applyBorder="1" applyAlignment="1">
      <alignment horizontal="justify" vertical="center" wrapText="1"/>
    </xf>
    <xf numFmtId="3" fontId="2" fillId="0" borderId="143" xfId="0" applyNumberFormat="1" applyFont="1" applyBorder="1" applyAlignment="1">
      <alignment vertical="center"/>
    </xf>
    <xf numFmtId="10" fontId="2" fillId="0" borderId="143" xfId="0" applyNumberFormat="1" applyFont="1" applyBorder="1" applyAlignment="1">
      <alignment horizontal="center" vertical="center"/>
    </xf>
    <xf numFmtId="0" fontId="2" fillId="0" borderId="140" xfId="0" applyFont="1" applyBorder="1" applyAlignment="1">
      <alignment horizontal="justify" vertical="center" wrapText="1"/>
    </xf>
    <xf numFmtId="3" fontId="2" fillId="0" borderId="140" xfId="0" applyNumberFormat="1" applyFont="1" applyBorder="1" applyAlignment="1">
      <alignment vertical="center"/>
    </xf>
    <xf numFmtId="10" fontId="2" fillId="0" borderId="140" xfId="0" applyNumberFormat="1" applyFont="1" applyBorder="1" applyAlignment="1">
      <alignment horizontal="center" vertical="center" wrapText="1"/>
    </xf>
    <xf numFmtId="10" fontId="2" fillId="0" borderId="140" xfId="0" applyNumberFormat="1" applyFont="1" applyBorder="1" applyAlignment="1">
      <alignment horizontal="center" vertical="center"/>
    </xf>
    <xf numFmtId="0" fontId="2" fillId="0" borderId="140" xfId="0" applyFont="1" applyBorder="1" applyAlignment="1">
      <alignment vertical="center" wrapText="1"/>
    </xf>
    <xf numFmtId="0" fontId="2" fillId="0" borderId="192" xfId="0" applyFont="1" applyBorder="1" applyAlignment="1">
      <alignment horizontal="justify" vertical="center" wrapText="1"/>
    </xf>
    <xf numFmtId="3" fontId="2" fillId="0" borderId="192" xfId="0" applyNumberFormat="1" applyFont="1" applyBorder="1" applyAlignment="1">
      <alignment vertical="center"/>
    </xf>
    <xf numFmtId="10" fontId="2" fillId="0" borderId="192" xfId="0" applyNumberFormat="1" applyFont="1" applyBorder="1" applyAlignment="1">
      <alignment horizontal="center" vertical="center"/>
    </xf>
    <xf numFmtId="0" fontId="4" fillId="0" borderId="24" xfId="0" applyFont="1" applyBorder="1" applyAlignment="1">
      <alignment horizontal="right" vertical="center"/>
    </xf>
    <xf numFmtId="3" fontId="4" fillId="0" borderId="109" xfId="0" applyNumberFormat="1" applyFont="1" applyBorder="1" applyAlignment="1">
      <alignment horizontal="right" vertical="center"/>
    </xf>
    <xf numFmtId="3" fontId="4" fillId="0" borderId="25" xfId="0" applyNumberFormat="1" applyFont="1" applyBorder="1" applyAlignment="1" quotePrefix="1">
      <alignment horizontal="center" vertical="center"/>
    </xf>
    <xf numFmtId="3" fontId="2" fillId="0" borderId="0" xfId="98" applyNumberFormat="1" applyFont="1" applyAlignment="1">
      <alignment vertical="top"/>
      <protection/>
    </xf>
    <xf numFmtId="165" fontId="2" fillId="0" borderId="0" xfId="98" applyNumberFormat="1" applyFont="1" applyAlignment="1">
      <alignment horizontal="right" vertical="top"/>
      <protection/>
    </xf>
    <xf numFmtId="0" fontId="2" fillId="0" borderId="0" xfId="98" applyFont="1" applyAlignment="1">
      <alignment vertical="top"/>
      <protection/>
    </xf>
    <xf numFmtId="0" fontId="2" fillId="0" borderId="0" xfId="98" applyFont="1" applyAlignment="1">
      <alignment vertical="center"/>
      <protection/>
    </xf>
    <xf numFmtId="0" fontId="2" fillId="0" borderId="0" xfId="98" applyFont="1">
      <alignment/>
      <protection/>
    </xf>
    <xf numFmtId="0" fontId="5" fillId="0" borderId="0" xfId="98" applyFont="1" applyAlignment="1">
      <alignment horizontal="center" vertical="center"/>
      <protection/>
    </xf>
    <xf numFmtId="0" fontId="2" fillId="0" borderId="0" xfId="98" applyFont="1" applyAlignment="1">
      <alignment horizontal="center" vertical="center"/>
      <protection/>
    </xf>
    <xf numFmtId="165" fontId="2" fillId="0" borderId="0" xfId="98" applyNumberFormat="1" applyFont="1" applyAlignment="1">
      <alignment horizontal="center" vertical="center"/>
      <protection/>
    </xf>
    <xf numFmtId="0" fontId="5" fillId="0" borderId="0" xfId="98" applyFont="1" applyAlignment="1">
      <alignment vertical="top"/>
      <protection/>
    </xf>
    <xf numFmtId="165" fontId="5" fillId="0" borderId="0" xfId="98" applyNumberFormat="1" applyFont="1" applyAlignment="1">
      <alignment horizontal="right" vertical="top"/>
      <protection/>
    </xf>
    <xf numFmtId="0" fontId="2" fillId="0" borderId="0" xfId="98" applyFont="1" applyAlignment="1">
      <alignment horizontal="center"/>
      <protection/>
    </xf>
    <xf numFmtId="0" fontId="2" fillId="0" borderId="47" xfId="98" applyFont="1" applyBorder="1" applyAlignment="1">
      <alignment horizontal="center"/>
      <protection/>
    </xf>
    <xf numFmtId="165" fontId="2" fillId="0" borderId="0" xfId="98" applyNumberFormat="1" applyFont="1" applyAlignment="1">
      <alignment horizontal="center"/>
      <protection/>
    </xf>
    <xf numFmtId="3" fontId="4" fillId="0" borderId="173" xfId="98" applyNumberFormat="1" applyFont="1" applyBorder="1" applyAlignment="1">
      <alignment horizontal="center" vertical="center"/>
      <protection/>
    </xf>
    <xf numFmtId="0" fontId="2" fillId="0" borderId="10" xfId="98" applyFont="1" applyBorder="1">
      <alignment/>
      <protection/>
    </xf>
    <xf numFmtId="0" fontId="27" fillId="0" borderId="57" xfId="98" applyFont="1" applyBorder="1">
      <alignment/>
      <protection/>
    </xf>
    <xf numFmtId="3" fontId="2" fillId="0" borderId="139" xfId="98" applyNumberFormat="1" applyFont="1" applyBorder="1">
      <alignment/>
      <protection/>
    </xf>
    <xf numFmtId="165" fontId="2" fillId="0" borderId="166" xfId="98" applyNumberFormat="1" applyFont="1" applyBorder="1">
      <alignment/>
      <protection/>
    </xf>
    <xf numFmtId="0" fontId="2" fillId="0" borderId="10" xfId="98" applyFont="1" applyBorder="1" applyAlignment="1">
      <alignment horizontal="center" vertical="center"/>
      <protection/>
    </xf>
    <xf numFmtId="0" fontId="2" fillId="0" borderId="57" xfId="98" applyFont="1" applyBorder="1" applyAlignment="1">
      <alignment horizontal="center" vertical="center"/>
      <protection/>
    </xf>
    <xf numFmtId="3" fontId="2" fillId="0" borderId="139" xfId="98" applyNumberFormat="1" applyFont="1" applyBorder="1" applyAlignment="1">
      <alignment horizontal="right" vertical="center"/>
      <protection/>
    </xf>
    <xf numFmtId="165" fontId="2" fillId="0" borderId="166" xfId="98" applyNumberFormat="1" applyFont="1" applyBorder="1" applyAlignment="1">
      <alignment vertical="center"/>
      <protection/>
    </xf>
    <xf numFmtId="3" fontId="2" fillId="0" borderId="32" xfId="98" applyNumberFormat="1" applyFont="1" applyBorder="1" applyAlignment="1">
      <alignment horizontal="right" vertical="center"/>
      <protection/>
    </xf>
    <xf numFmtId="165" fontId="2" fillId="0" borderId="193" xfId="98" applyNumberFormat="1" applyFont="1" applyBorder="1" applyAlignment="1">
      <alignment vertical="center"/>
      <protection/>
    </xf>
    <xf numFmtId="0" fontId="27" fillId="0" borderId="57" xfId="98" applyFont="1" applyBorder="1" applyAlignment="1">
      <alignment horizontal="left"/>
      <protection/>
    </xf>
    <xf numFmtId="165" fontId="2" fillId="0" borderId="113" xfId="98" applyNumberFormat="1" applyFont="1" applyBorder="1" applyAlignment="1">
      <alignment vertical="center"/>
      <protection/>
    </xf>
    <xf numFmtId="3" fontId="2" fillId="0" borderId="139" xfId="98" applyNumberFormat="1" applyFont="1" applyBorder="1" applyAlignment="1">
      <alignment vertical="center"/>
      <protection/>
    </xf>
    <xf numFmtId="3" fontId="97" fillId="0" borderId="139" xfId="98" applyNumberFormat="1" applyFont="1" applyBorder="1" applyAlignment="1">
      <alignment horizontal="right" vertical="center"/>
      <protection/>
    </xf>
    <xf numFmtId="3" fontId="4" fillId="0" borderId="32" xfId="98" applyNumberFormat="1" applyFont="1" applyBorder="1" applyAlignment="1">
      <alignment horizontal="right" vertical="center"/>
      <protection/>
    </xf>
    <xf numFmtId="165" fontId="4" fillId="0" borderId="193" xfId="98" applyNumberFormat="1" applyFont="1" applyBorder="1" applyAlignment="1">
      <alignment vertical="center"/>
      <protection/>
    </xf>
    <xf numFmtId="3" fontId="2" fillId="0" borderId="0" xfId="98" applyNumberFormat="1" applyFont="1">
      <alignment/>
      <protection/>
    </xf>
    <xf numFmtId="165" fontId="2" fillId="0" borderId="0" xfId="98" applyNumberFormat="1" applyFont="1">
      <alignment/>
      <protection/>
    </xf>
    <xf numFmtId="3" fontId="2" fillId="0" borderId="0" xfId="86" applyNumberFormat="1" applyFont="1" applyAlignment="1">
      <alignment horizontal="right"/>
      <protection/>
    </xf>
    <xf numFmtId="4" fontId="2" fillId="0" borderId="0" xfId="86" applyNumberFormat="1" applyFont="1" applyAlignment="1">
      <alignment horizontal="right"/>
      <protection/>
    </xf>
    <xf numFmtId="3" fontId="10" fillId="0" borderId="0" xfId="86" applyNumberFormat="1" applyFont="1">
      <alignment/>
      <protection/>
    </xf>
    <xf numFmtId="0" fontId="10" fillId="0" borderId="0" xfId="86" applyFont="1">
      <alignment/>
      <protection/>
    </xf>
    <xf numFmtId="0" fontId="10" fillId="0" borderId="0" xfId="86" applyFont="1" applyAlignment="1">
      <alignment horizontal="center"/>
      <protection/>
    </xf>
    <xf numFmtId="0" fontId="13" fillId="0" borderId="0" xfId="86" applyFont="1" applyAlignment="1">
      <alignment vertical="center"/>
      <protection/>
    </xf>
    <xf numFmtId="3" fontId="13" fillId="0" borderId="0" xfId="86" applyNumberFormat="1" applyFont="1" applyAlignment="1">
      <alignment vertical="center"/>
      <protection/>
    </xf>
    <xf numFmtId="4" fontId="12" fillId="0" borderId="0" xfId="86" applyNumberFormat="1" applyFont="1" applyAlignment="1">
      <alignment horizontal="right"/>
      <protection/>
    </xf>
    <xf numFmtId="0" fontId="10" fillId="0" borderId="0" xfId="86" applyFont="1" applyAlignment="1">
      <alignment horizontal="center" vertical="center"/>
      <protection/>
    </xf>
    <xf numFmtId="3" fontId="10" fillId="0" borderId="0" xfId="86" applyNumberFormat="1" applyFont="1" applyAlignment="1">
      <alignment horizontal="center" vertical="center"/>
      <protection/>
    </xf>
    <xf numFmtId="4" fontId="10" fillId="0" borderId="0" xfId="86" applyNumberFormat="1" applyFont="1" applyAlignment="1">
      <alignment horizontal="center"/>
      <protection/>
    </xf>
    <xf numFmtId="3" fontId="10" fillId="0" borderId="0" xfId="86" applyNumberFormat="1" applyFont="1" applyAlignment="1">
      <alignment horizontal="center"/>
      <protection/>
    </xf>
    <xf numFmtId="0" fontId="11" fillId="28" borderId="24" xfId="86" applyFont="1" applyFill="1" applyBorder="1" applyAlignment="1">
      <alignment horizontal="center" vertical="center" wrapText="1"/>
      <protection/>
    </xf>
    <xf numFmtId="0" fontId="13" fillId="28" borderId="109" xfId="86" applyFont="1" applyFill="1" applyBorder="1" applyAlignment="1">
      <alignment horizontal="center" vertical="center" wrapText="1"/>
      <protection/>
    </xf>
    <xf numFmtId="3" fontId="13" fillId="28" borderId="109" xfId="86" applyNumberFormat="1" applyFont="1" applyFill="1" applyBorder="1" applyAlignment="1">
      <alignment horizontal="center" vertical="center" wrapText="1"/>
      <protection/>
    </xf>
    <xf numFmtId="4" fontId="13" fillId="28" borderId="25" xfId="86" applyNumberFormat="1" applyFont="1" applyFill="1" applyBorder="1" applyAlignment="1">
      <alignment horizontal="center" vertical="center" wrapText="1"/>
      <protection/>
    </xf>
    <xf numFmtId="3" fontId="10" fillId="0" borderId="0" xfId="86" applyNumberFormat="1" applyFont="1" applyAlignment="1">
      <alignment horizontal="center" vertical="center" wrapText="1"/>
      <protection/>
    </xf>
    <xf numFmtId="0" fontId="10" fillId="0" borderId="0" xfId="86" applyFont="1" applyAlignment="1">
      <alignment vertical="center" wrapText="1"/>
      <protection/>
    </xf>
    <xf numFmtId="0" fontId="10" fillId="0" borderId="23" xfId="86" applyFont="1" applyBorder="1" applyAlignment="1">
      <alignment horizontal="center"/>
      <protection/>
    </xf>
    <xf numFmtId="0" fontId="10" fillId="0" borderId="22" xfId="86" applyFont="1" applyBorder="1">
      <alignment/>
      <protection/>
    </xf>
    <xf numFmtId="3" fontId="10" fillId="0" borderId="22" xfId="86" applyNumberFormat="1" applyFont="1" applyBorder="1">
      <alignment/>
      <protection/>
    </xf>
    <xf numFmtId="4" fontId="10" fillId="0" borderId="26" xfId="86" applyNumberFormat="1" applyFont="1" applyBorder="1" applyAlignment="1">
      <alignment horizontal="center"/>
      <protection/>
    </xf>
    <xf numFmtId="0" fontId="13" fillId="0" borderId="19" xfId="86" applyFont="1" applyBorder="1" applyAlignment="1">
      <alignment horizontal="center"/>
      <protection/>
    </xf>
    <xf numFmtId="0" fontId="13" fillId="0" borderId="20" xfId="86" applyFont="1" applyBorder="1">
      <alignment/>
      <protection/>
    </xf>
    <xf numFmtId="3" fontId="13" fillId="0" borderId="20" xfId="86" applyNumberFormat="1" applyFont="1" applyBorder="1">
      <alignment/>
      <protection/>
    </xf>
    <xf numFmtId="4" fontId="13" fillId="0" borderId="21" xfId="86" applyNumberFormat="1" applyFont="1" applyBorder="1" applyAlignment="1">
      <alignment horizontal="center"/>
      <protection/>
    </xf>
    <xf numFmtId="3" fontId="13" fillId="0" borderId="0" xfId="86" applyNumberFormat="1" applyFont="1">
      <alignment/>
      <protection/>
    </xf>
    <xf numFmtId="0" fontId="13" fillId="0" borderId="0" xfId="86" applyFont="1">
      <alignment/>
      <protection/>
    </xf>
    <xf numFmtId="0" fontId="10" fillId="0" borderId="19" xfId="86" applyFont="1" applyBorder="1" applyAlignment="1">
      <alignment horizontal="center"/>
      <protection/>
    </xf>
    <xf numFmtId="0" fontId="10" fillId="0" borderId="20" xfId="86" applyFont="1" applyBorder="1" applyAlignment="1">
      <alignment horizontal="left" indent="1"/>
      <protection/>
    </xf>
    <xf numFmtId="3" fontId="10" fillId="0" borderId="20" xfId="86" applyNumberFormat="1" applyFont="1" applyBorder="1">
      <alignment/>
      <protection/>
    </xf>
    <xf numFmtId="4" fontId="10" fillId="0" borderId="21" xfId="86" applyNumberFormat="1" applyFont="1" applyBorder="1" applyAlignment="1">
      <alignment horizontal="center"/>
      <protection/>
    </xf>
    <xf numFmtId="0" fontId="10" fillId="0" borderId="20" xfId="86" applyFont="1" applyBorder="1" applyAlignment="1">
      <alignment horizontal="left" wrapText="1" indent="1"/>
      <protection/>
    </xf>
    <xf numFmtId="0" fontId="13" fillId="0" borderId="19" xfId="86" applyFont="1" applyBorder="1" applyAlignment="1">
      <alignment horizontal="center" vertical="top"/>
      <protection/>
    </xf>
    <xf numFmtId="0" fontId="13" fillId="0" borderId="20" xfId="86" applyFont="1" applyBorder="1" applyAlignment="1">
      <alignment wrapText="1"/>
      <protection/>
    </xf>
    <xf numFmtId="0" fontId="13" fillId="0" borderId="19" xfId="86" applyFont="1" applyBorder="1" applyAlignment="1">
      <alignment horizontal="center" vertical="center"/>
      <protection/>
    </xf>
    <xf numFmtId="0" fontId="13" fillId="0" borderId="20" xfId="86" applyFont="1" applyBorder="1" applyAlignment="1">
      <alignment vertical="center" wrapText="1"/>
      <protection/>
    </xf>
    <xf numFmtId="3" fontId="13" fillId="0" borderId="20" xfId="86" applyNumberFormat="1" applyFont="1" applyBorder="1" applyAlignment="1">
      <alignment vertical="center"/>
      <protection/>
    </xf>
    <xf numFmtId="4" fontId="13" fillId="0" borderId="21" xfId="86" applyNumberFormat="1" applyFont="1" applyBorder="1" applyAlignment="1">
      <alignment horizontal="center" vertical="center"/>
      <protection/>
    </xf>
    <xf numFmtId="3" fontId="13" fillId="0" borderId="0" xfId="86" applyNumberFormat="1" applyFont="1" applyAlignment="1">
      <alignment vertical="top"/>
      <protection/>
    </xf>
    <xf numFmtId="0" fontId="13" fillId="0" borderId="0" xfId="86" applyFont="1" applyAlignment="1">
      <alignment vertical="top"/>
      <protection/>
    </xf>
    <xf numFmtId="0" fontId="10" fillId="0" borderId="20" xfId="86" applyFont="1" applyBorder="1">
      <alignment/>
      <protection/>
    </xf>
    <xf numFmtId="0" fontId="10" fillId="0" borderId="20" xfId="86" applyFont="1" applyBorder="1" applyAlignment="1">
      <alignment wrapText="1"/>
      <protection/>
    </xf>
    <xf numFmtId="0" fontId="10" fillId="0" borderId="19" xfId="86" applyFont="1" applyBorder="1" applyAlignment="1">
      <alignment horizontal="center" vertical="top"/>
      <protection/>
    </xf>
    <xf numFmtId="0" fontId="13" fillId="0" borderId="20" xfId="86" applyFont="1" applyBorder="1" applyAlignment="1">
      <alignment vertical="center"/>
      <protection/>
    </xf>
    <xf numFmtId="0" fontId="13" fillId="0" borderId="133" xfId="86" applyFont="1" applyBorder="1" applyAlignment="1">
      <alignment horizontal="center" vertical="center"/>
      <protection/>
    </xf>
    <xf numFmtId="0" fontId="13" fillId="0" borderId="131" xfId="86" applyFont="1" applyBorder="1" applyAlignment="1">
      <alignment vertical="center"/>
      <protection/>
    </xf>
    <xf numFmtId="3" fontId="13" fillId="0" borderId="131" xfId="86" applyNumberFormat="1" applyFont="1" applyBorder="1" applyAlignment="1">
      <alignment vertical="center"/>
      <protection/>
    </xf>
    <xf numFmtId="4" fontId="13" fillId="0" borderId="163" xfId="86" applyNumberFormat="1" applyFont="1" applyBorder="1" applyAlignment="1">
      <alignment horizontal="center" vertical="center"/>
      <protection/>
    </xf>
    <xf numFmtId="0" fontId="13" fillId="28" borderId="24" xfId="86" applyFont="1" applyFill="1" applyBorder="1" applyAlignment="1">
      <alignment horizontal="center" vertical="center"/>
      <protection/>
    </xf>
    <xf numFmtId="0" fontId="13" fillId="28" borderId="109" xfId="86" applyFont="1" applyFill="1" applyBorder="1" applyAlignment="1">
      <alignment vertical="center"/>
      <protection/>
    </xf>
    <xf numFmtId="3" fontId="13" fillId="28" borderId="109" xfId="86" applyNumberFormat="1" applyFont="1" applyFill="1" applyBorder="1" applyAlignment="1">
      <alignment vertical="center"/>
      <protection/>
    </xf>
    <xf numFmtId="4" fontId="13" fillId="28" borderId="25" xfId="86" applyNumberFormat="1" applyFont="1" applyFill="1" applyBorder="1" applyAlignment="1">
      <alignment horizontal="center" vertical="center"/>
      <protection/>
    </xf>
    <xf numFmtId="0" fontId="13" fillId="0" borderId="24" xfId="86" applyFont="1" applyBorder="1" applyAlignment="1">
      <alignment horizontal="center" vertical="center"/>
      <protection/>
    </xf>
    <xf numFmtId="0" fontId="13" fillId="0" borderId="109" xfId="86" applyFont="1" applyBorder="1" applyAlignment="1">
      <alignment vertical="center"/>
      <protection/>
    </xf>
    <xf numFmtId="3" fontId="13" fillId="0" borderId="109" xfId="86" applyNumberFormat="1" applyFont="1" applyBorder="1" applyAlignment="1">
      <alignment vertical="center"/>
      <protection/>
    </xf>
    <xf numFmtId="4" fontId="13" fillId="0" borderId="25" xfId="86" applyNumberFormat="1" applyFont="1" applyBorder="1" applyAlignment="1">
      <alignment horizontal="center" vertical="center"/>
      <protection/>
    </xf>
    <xf numFmtId="0" fontId="10" fillId="0" borderId="50" xfId="86" applyFont="1" applyBorder="1" applyAlignment="1">
      <alignment horizontal="center"/>
      <protection/>
    </xf>
    <xf numFmtId="0" fontId="10" fillId="0" borderId="99" xfId="86" applyFont="1" applyBorder="1">
      <alignment/>
      <protection/>
    </xf>
    <xf numFmtId="3" fontId="10" fillId="0" borderId="99" xfId="86" applyNumberFormat="1" applyFont="1" applyBorder="1">
      <alignment/>
      <protection/>
    </xf>
    <xf numFmtId="4" fontId="10" fillId="0" borderId="102" xfId="86" applyNumberFormat="1" applyFont="1" applyBorder="1" applyAlignment="1">
      <alignment horizontal="center"/>
      <protection/>
    </xf>
    <xf numFmtId="0" fontId="10" fillId="0" borderId="106" xfId="86" applyFont="1" applyBorder="1" applyAlignment="1">
      <alignment horizontal="center" vertical="center"/>
      <protection/>
    </xf>
    <xf numFmtId="0" fontId="10" fillId="0" borderId="35" xfId="86" applyFont="1" applyBorder="1" applyAlignment="1">
      <alignment vertical="center" wrapText="1"/>
      <protection/>
    </xf>
    <xf numFmtId="3" fontId="10" fillId="0" borderId="35" xfId="86" applyNumberFormat="1" applyFont="1" applyBorder="1" applyAlignment="1">
      <alignment vertical="center"/>
      <protection/>
    </xf>
    <xf numFmtId="4" fontId="10" fillId="0" borderId="36" xfId="86" applyNumberFormat="1" applyFont="1" applyBorder="1" applyAlignment="1">
      <alignment horizontal="center" vertical="center"/>
      <protection/>
    </xf>
    <xf numFmtId="3" fontId="10" fillId="0" borderId="0" xfId="86" applyNumberFormat="1" applyFont="1" applyAlignment="1">
      <alignment vertical="center"/>
      <protection/>
    </xf>
    <xf numFmtId="0" fontId="10" fillId="0" borderId="0" xfId="86" applyFont="1" applyAlignment="1">
      <alignment vertical="center"/>
      <protection/>
    </xf>
    <xf numFmtId="0" fontId="10" fillId="0" borderId="23" xfId="86" applyFont="1" applyBorder="1" applyAlignment="1">
      <alignment horizontal="center" vertical="top"/>
      <protection/>
    </xf>
    <xf numFmtId="0" fontId="10" fillId="0" borderId="22" xfId="86" applyFont="1" applyBorder="1" applyAlignment="1">
      <alignment horizontal="left" wrapText="1"/>
      <protection/>
    </xf>
    <xf numFmtId="0" fontId="10" fillId="0" borderId="20" xfId="86" applyFont="1" applyBorder="1" applyAlignment="1">
      <alignment horizontal="left" wrapText="1"/>
      <protection/>
    </xf>
    <xf numFmtId="0" fontId="13" fillId="0" borderId="20" xfId="86" applyFont="1" applyBorder="1" applyAlignment="1">
      <alignment horizontal="left" vertical="center"/>
      <protection/>
    </xf>
    <xf numFmtId="0" fontId="13" fillId="0" borderId="131" xfId="86" applyFont="1" applyBorder="1" applyAlignment="1">
      <alignment horizontal="left" vertical="center"/>
      <protection/>
    </xf>
    <xf numFmtId="4" fontId="13" fillId="28" borderId="194" xfId="86" applyNumberFormat="1" applyFont="1" applyFill="1" applyBorder="1" applyAlignment="1">
      <alignment horizontal="center" vertical="center"/>
      <protection/>
    </xf>
    <xf numFmtId="4" fontId="10" fillId="0" borderId="0" xfId="86" applyNumberFormat="1" applyFont="1">
      <alignment/>
      <protection/>
    </xf>
    <xf numFmtId="3" fontId="4" fillId="0" borderId="0" xfId="0" applyNumberFormat="1" applyFont="1" applyBorder="1" applyAlignment="1">
      <alignment vertical="center"/>
    </xf>
    <xf numFmtId="3" fontId="2" fillId="0" borderId="0" xfId="65" applyNumberFormat="1" applyFont="1" applyAlignment="1">
      <alignment vertical="center"/>
      <protection/>
    </xf>
    <xf numFmtId="0" fontId="10" fillId="0" borderId="0" xfId="65" applyFont="1" applyAlignment="1">
      <alignment vertical="center"/>
      <protection/>
    </xf>
    <xf numFmtId="0" fontId="13" fillId="0" borderId="15" xfId="65" applyFont="1" applyBorder="1" applyAlignment="1">
      <alignment vertical="center"/>
      <protection/>
    </xf>
    <xf numFmtId="0" fontId="13" fillId="0" borderId="173" xfId="100" applyFont="1" applyBorder="1" applyAlignment="1">
      <alignment horizontal="center" vertical="center"/>
      <protection/>
    </xf>
    <xf numFmtId="3" fontId="13" fillId="0" borderId="161" xfId="65" applyNumberFormat="1" applyFont="1" applyBorder="1" applyAlignment="1">
      <alignment vertical="center"/>
      <protection/>
    </xf>
    <xf numFmtId="0" fontId="10" fillId="0" borderId="68" xfId="65" applyFont="1" applyBorder="1" applyAlignment="1">
      <alignment vertical="center"/>
      <protection/>
    </xf>
    <xf numFmtId="0" fontId="10" fillId="0" borderId="195" xfId="100" applyFont="1" applyBorder="1" applyAlignment="1">
      <alignment horizontal="center" vertical="center"/>
      <protection/>
    </xf>
    <xf numFmtId="3" fontId="10" fillId="0" borderId="179" xfId="65" applyNumberFormat="1" applyFont="1" applyBorder="1" applyAlignment="1">
      <alignment vertical="center"/>
      <protection/>
    </xf>
    <xf numFmtId="0" fontId="10" fillId="0" borderId="196" xfId="65" applyFont="1" applyBorder="1" applyAlignment="1">
      <alignment vertical="center"/>
      <protection/>
    </xf>
    <xf numFmtId="0" fontId="10" fillId="0" borderId="197" xfId="100" applyFont="1" applyBorder="1" applyAlignment="1">
      <alignment horizontal="center" vertical="center"/>
      <protection/>
    </xf>
    <xf numFmtId="3" fontId="10" fillId="0" borderId="198" xfId="65" applyNumberFormat="1" applyFont="1" applyBorder="1" applyAlignment="1">
      <alignment vertical="center"/>
      <protection/>
    </xf>
    <xf numFmtId="0" fontId="10" fillId="0" borderId="40" xfId="65" applyFont="1" applyBorder="1" applyAlignment="1">
      <alignment vertical="center"/>
      <protection/>
    </xf>
    <xf numFmtId="0" fontId="10" fillId="0" borderId="199" xfId="100" applyFont="1" applyBorder="1" applyAlignment="1">
      <alignment horizontal="center" vertical="center"/>
      <protection/>
    </xf>
    <xf numFmtId="3" fontId="10" fillId="0" borderId="177" xfId="65" applyNumberFormat="1" applyFont="1" applyBorder="1" applyAlignment="1">
      <alignment vertical="center"/>
      <protection/>
    </xf>
    <xf numFmtId="0" fontId="10" fillId="0" borderId="41" xfId="65" applyFont="1" applyBorder="1" applyAlignment="1">
      <alignment vertical="center"/>
      <protection/>
    </xf>
    <xf numFmtId="0" fontId="10" fillId="0" borderId="200" xfId="100" applyFont="1" applyBorder="1" applyAlignment="1">
      <alignment horizontal="center" vertical="center"/>
      <protection/>
    </xf>
    <xf numFmtId="3" fontId="10" fillId="0" borderId="178" xfId="65" applyNumberFormat="1" applyFont="1" applyBorder="1" applyAlignment="1">
      <alignment vertical="center"/>
      <protection/>
    </xf>
    <xf numFmtId="0" fontId="13" fillId="0" borderId="15" xfId="65" applyFont="1" applyBorder="1" applyAlignment="1">
      <alignment vertical="center" wrapText="1"/>
      <protection/>
    </xf>
    <xf numFmtId="0" fontId="10" fillId="0" borderId="44" xfId="65" applyFont="1" applyBorder="1" applyAlignment="1">
      <alignment vertical="center"/>
      <protection/>
    </xf>
    <xf numFmtId="0" fontId="10" fillId="0" borderId="201" xfId="100" applyFont="1" applyBorder="1" applyAlignment="1">
      <alignment horizontal="center" vertical="center"/>
      <protection/>
    </xf>
    <xf numFmtId="3" fontId="10" fillId="0" borderId="202" xfId="65" applyNumberFormat="1" applyFont="1" applyBorder="1" applyAlignment="1">
      <alignment vertical="center"/>
      <protection/>
    </xf>
    <xf numFmtId="0" fontId="13" fillId="36" borderId="173" xfId="65" applyFont="1" applyFill="1" applyBorder="1" applyAlignment="1">
      <alignment vertical="center"/>
      <protection/>
    </xf>
    <xf numFmtId="0" fontId="13" fillId="36" borderId="173" xfId="100" applyFont="1" applyFill="1" applyBorder="1" applyAlignment="1">
      <alignment horizontal="center" vertical="center"/>
      <protection/>
    </xf>
    <xf numFmtId="3" fontId="10" fillId="36" borderId="161" xfId="65" applyNumberFormat="1" applyFont="1" applyFill="1" applyBorder="1" applyAlignment="1">
      <alignment vertical="center"/>
      <protection/>
    </xf>
    <xf numFmtId="0" fontId="10" fillId="0" borderId="0" xfId="100" applyFont="1" applyAlignment="1">
      <alignment vertical="center"/>
      <protection/>
    </xf>
    <xf numFmtId="3" fontId="10" fillId="0" borderId="0" xfId="65" applyNumberFormat="1" applyFont="1" applyAlignment="1">
      <alignment vertical="center"/>
      <protection/>
    </xf>
    <xf numFmtId="4" fontId="10" fillId="0" borderId="0" xfId="86" applyNumberFormat="1" applyFont="1" applyAlignment="1">
      <alignment horizontal="right"/>
      <protection/>
    </xf>
    <xf numFmtId="3" fontId="13" fillId="36" borderId="161" xfId="65" applyNumberFormat="1" applyFont="1" applyFill="1" applyBorder="1" applyAlignment="1">
      <alignment vertical="center"/>
      <protection/>
    </xf>
    <xf numFmtId="0" fontId="13" fillId="0" borderId="0" xfId="65" applyFont="1" applyAlignment="1">
      <alignment vertical="center"/>
      <protection/>
    </xf>
    <xf numFmtId="0" fontId="10" fillId="0" borderId="195" xfId="65" applyFont="1" applyBorder="1" applyAlignment="1">
      <alignment vertical="center"/>
      <protection/>
    </xf>
    <xf numFmtId="0" fontId="13" fillId="0" borderId="195" xfId="65" applyFont="1" applyBorder="1" applyAlignment="1">
      <alignment horizontal="center" vertical="center"/>
      <protection/>
    </xf>
    <xf numFmtId="0" fontId="10" fillId="0" borderId="200" xfId="65" applyFont="1" applyBorder="1" applyAlignment="1">
      <alignment vertical="center"/>
      <protection/>
    </xf>
    <xf numFmtId="0" fontId="13" fillId="0" borderId="200" xfId="65" applyFont="1" applyBorder="1" applyAlignment="1">
      <alignment horizontal="center" vertical="center"/>
      <protection/>
    </xf>
    <xf numFmtId="11" fontId="10" fillId="0" borderId="200" xfId="65" applyNumberFormat="1" applyFont="1" applyBorder="1" applyAlignment="1">
      <alignment vertical="center"/>
      <protection/>
    </xf>
    <xf numFmtId="0" fontId="13" fillId="0" borderId="173" xfId="65" applyFont="1" applyBorder="1" applyAlignment="1">
      <alignment horizontal="center" vertical="center"/>
      <protection/>
    </xf>
    <xf numFmtId="3" fontId="13" fillId="0" borderId="173" xfId="65" applyNumberFormat="1" applyFont="1" applyBorder="1" applyAlignment="1">
      <alignment vertical="center"/>
      <protection/>
    </xf>
    <xf numFmtId="0" fontId="10" fillId="0" borderId="195" xfId="65" applyFont="1" applyBorder="1" applyAlignment="1">
      <alignment horizontal="center" vertical="center"/>
      <protection/>
    </xf>
    <xf numFmtId="3" fontId="10" fillId="0" borderId="195" xfId="65" applyNumberFormat="1" applyFont="1" applyBorder="1" applyAlignment="1">
      <alignment vertical="center"/>
      <protection/>
    </xf>
    <xf numFmtId="0" fontId="10" fillId="0" borderId="10" xfId="65" applyFont="1" applyBorder="1" applyAlignment="1">
      <alignment vertical="center"/>
      <protection/>
    </xf>
    <xf numFmtId="0" fontId="10" fillId="0" borderId="160" xfId="65" applyFont="1" applyBorder="1" applyAlignment="1">
      <alignment horizontal="center" vertical="center"/>
      <protection/>
    </xf>
    <xf numFmtId="3" fontId="10" fillId="0" borderId="160" xfId="65" applyNumberFormat="1" applyFont="1" applyBorder="1" applyAlignment="1">
      <alignment vertical="center"/>
      <protection/>
    </xf>
    <xf numFmtId="0" fontId="10" fillId="0" borderId="201" xfId="65" applyFont="1" applyBorder="1" applyAlignment="1">
      <alignment horizontal="center" vertical="center"/>
      <protection/>
    </xf>
    <xf numFmtId="3" fontId="13" fillId="0" borderId="201" xfId="65" applyNumberFormat="1" applyFont="1" applyBorder="1" applyAlignment="1">
      <alignment vertical="center"/>
      <protection/>
    </xf>
    <xf numFmtId="0" fontId="13" fillId="36" borderId="15" xfId="65" applyFont="1" applyFill="1" applyBorder="1" applyAlignment="1">
      <alignment vertical="center"/>
      <protection/>
    </xf>
    <xf numFmtId="3" fontId="13" fillId="36" borderId="173" xfId="65" applyNumberFormat="1" applyFont="1" applyFill="1" applyBorder="1" applyAlignment="1">
      <alignment vertical="center"/>
      <protection/>
    </xf>
    <xf numFmtId="0" fontId="10" fillId="0" borderId="0" xfId="99" applyFont="1" applyAlignment="1">
      <alignment vertical="center"/>
      <protection/>
    </xf>
    <xf numFmtId="0" fontId="4" fillId="0" borderId="0" xfId="102" applyFont="1" applyFill="1" applyBorder="1" applyAlignment="1">
      <alignment/>
      <protection/>
    </xf>
    <xf numFmtId="0" fontId="4" fillId="0" borderId="0" xfId="0" applyFont="1" applyFill="1" applyBorder="1" applyAlignment="1">
      <alignment horizontal="center" vertical="center"/>
    </xf>
    <xf numFmtId="3" fontId="10" fillId="0" borderId="80" xfId="96" applyNumberFormat="1" applyFont="1" applyFill="1" applyBorder="1" applyAlignment="1">
      <alignment horizontal="left"/>
      <protection/>
    </xf>
    <xf numFmtId="3" fontId="10" fillId="0" borderId="11" xfId="0" applyNumberFormat="1" applyFont="1" applyFill="1" applyBorder="1" applyAlignment="1">
      <alignment horizontal="center" vertical="center" wrapText="1"/>
    </xf>
    <xf numFmtId="0" fontId="4" fillId="0" borderId="0" xfId="0" applyFont="1" applyFill="1" applyBorder="1" applyAlignment="1">
      <alignment horizontal="left" wrapText="1"/>
    </xf>
    <xf numFmtId="0" fontId="2" fillId="0" borderId="0" xfId="0" applyFont="1" applyAlignment="1">
      <alignment horizontal="center" vertical="center"/>
    </xf>
    <xf numFmtId="3" fontId="5" fillId="0" borderId="113" xfId="87" applyNumberFormat="1" applyFont="1" applyFill="1" applyBorder="1" applyAlignment="1">
      <alignment/>
      <protection/>
    </xf>
    <xf numFmtId="0" fontId="2" fillId="0" borderId="0" xfId="95" applyFont="1" applyAlignment="1">
      <alignment horizontal="center" vertical="center"/>
      <protection/>
    </xf>
    <xf numFmtId="0" fontId="2" fillId="0" borderId="0" xfId="92" applyFont="1" applyAlignment="1">
      <alignment horizontal="center"/>
      <protection/>
    </xf>
    <xf numFmtId="0" fontId="2" fillId="0" borderId="0" xfId="95" applyFont="1">
      <alignment/>
      <protection/>
    </xf>
    <xf numFmtId="0" fontId="2" fillId="0" borderId="0" xfId="95" applyFont="1" applyAlignment="1">
      <alignment vertical="center"/>
      <protection/>
    </xf>
    <xf numFmtId="0" fontId="2" fillId="0" borderId="0" xfId="92" applyFont="1" applyAlignment="1">
      <alignment horizontal="center" vertical="center"/>
      <protection/>
    </xf>
    <xf numFmtId="0" fontId="2" fillId="0" borderId="0" xfId="93" applyFont="1" applyAlignment="1">
      <alignment horizontal="center"/>
      <protection/>
    </xf>
    <xf numFmtId="0" fontId="2" fillId="0" borderId="203" xfId="92" applyFont="1" applyBorder="1" applyAlignment="1">
      <alignment horizontal="center" vertical="center" wrapText="1"/>
      <protection/>
    </xf>
    <xf numFmtId="0" fontId="2" fillId="0" borderId="23" xfId="95" applyFont="1" applyBorder="1" applyAlignment="1">
      <alignment horizontal="center" vertical="top"/>
      <protection/>
    </xf>
    <xf numFmtId="0" fontId="2" fillId="0" borderId="22" xfId="95" applyFont="1" applyBorder="1" applyAlignment="1">
      <alignment vertical="center" wrapText="1"/>
      <protection/>
    </xf>
    <xf numFmtId="0" fontId="2" fillId="0" borderId="22" xfId="95" applyFont="1" applyBorder="1" applyAlignment="1">
      <alignment horizontal="center" vertical="center" wrapText="1"/>
      <protection/>
    </xf>
    <xf numFmtId="14" fontId="2" fillId="0" borderId="22" xfId="95" applyNumberFormat="1" applyFont="1" applyBorder="1" applyAlignment="1">
      <alignment horizontal="center" vertical="center" wrapText="1"/>
      <protection/>
    </xf>
    <xf numFmtId="14" fontId="2" fillId="0" borderId="22" xfId="95" applyNumberFormat="1" applyFont="1" applyBorder="1" applyAlignment="1">
      <alignment horizontal="center" vertical="center"/>
      <protection/>
    </xf>
    <xf numFmtId="3" fontId="2" fillId="0" borderId="22" xfId="94" applyNumberFormat="1" applyFont="1" applyBorder="1" applyAlignment="1">
      <alignment horizontal="right" vertical="center"/>
      <protection/>
    </xf>
    <xf numFmtId="0" fontId="2" fillId="0" borderId="19" xfId="95" applyFont="1" applyBorder="1" applyAlignment="1">
      <alignment horizontal="center" vertical="top"/>
      <protection/>
    </xf>
    <xf numFmtId="0" fontId="2" fillId="0" borderId="20" xfId="95" applyFont="1" applyBorder="1" applyAlignment="1">
      <alignment vertical="center" wrapText="1"/>
      <protection/>
    </xf>
    <xf numFmtId="0" fontId="2" fillId="0" borderId="20" xfId="95" applyFont="1" applyBorder="1" applyAlignment="1">
      <alignment horizontal="center" vertical="center" wrapText="1"/>
      <protection/>
    </xf>
    <xf numFmtId="14" fontId="2" fillId="0" borderId="20" xfId="95" applyNumberFormat="1" applyFont="1" applyBorder="1" applyAlignment="1">
      <alignment horizontal="center" vertical="center"/>
      <protection/>
    </xf>
    <xf numFmtId="3" fontId="2" fillId="0" borderId="20" xfId="53" applyNumberFormat="1" applyFont="1" applyFill="1" applyBorder="1" applyAlignment="1">
      <alignment horizontal="right" vertical="center"/>
    </xf>
    <xf numFmtId="3" fontId="2" fillId="0" borderId="20" xfId="55" applyNumberFormat="1" applyFont="1" applyFill="1" applyBorder="1" applyAlignment="1">
      <alignment horizontal="right" vertical="center"/>
    </xf>
    <xf numFmtId="0" fontId="2" fillId="0" borderId="50" xfId="95" applyFont="1" applyBorder="1" applyAlignment="1">
      <alignment horizontal="center" vertical="top"/>
      <protection/>
    </xf>
    <xf numFmtId="0" fontId="2" fillId="0" borderId="99" xfId="95" applyFont="1" applyBorder="1" applyAlignment="1">
      <alignment vertical="center" wrapText="1"/>
      <protection/>
    </xf>
    <xf numFmtId="0" fontId="2" fillId="0" borderId="99" xfId="95" applyFont="1" applyBorder="1" applyAlignment="1">
      <alignment horizontal="center" vertical="center" wrapText="1"/>
      <protection/>
    </xf>
    <xf numFmtId="14" fontId="2" fillId="0" borderId="99" xfId="95" applyNumberFormat="1" applyFont="1" applyBorder="1" applyAlignment="1">
      <alignment horizontal="center" vertical="center"/>
      <protection/>
    </xf>
    <xf numFmtId="3" fontId="2" fillId="0" borderId="99" xfId="53" applyNumberFormat="1" applyFont="1" applyFill="1" applyBorder="1" applyAlignment="1">
      <alignment horizontal="right" vertical="center"/>
    </xf>
    <xf numFmtId="3" fontId="2" fillId="0" borderId="99" xfId="55" applyNumberFormat="1" applyFont="1" applyFill="1" applyBorder="1" applyAlignment="1">
      <alignment horizontal="right" vertical="center"/>
    </xf>
    <xf numFmtId="14" fontId="2" fillId="37" borderId="99" xfId="95" applyNumberFormat="1" applyFont="1" applyFill="1" applyBorder="1" applyAlignment="1">
      <alignment horizontal="center" vertical="center"/>
      <protection/>
    </xf>
    <xf numFmtId="3" fontId="2" fillId="0" borderId="88" xfId="53" applyNumberFormat="1" applyFont="1" applyFill="1" applyBorder="1" applyAlignment="1">
      <alignment horizontal="right" vertical="center"/>
    </xf>
    <xf numFmtId="3" fontId="2" fillId="0" borderId="88" xfId="55" applyNumberFormat="1" applyFont="1" applyFill="1" applyBorder="1" applyAlignment="1">
      <alignment horizontal="right" vertical="center"/>
    </xf>
    <xf numFmtId="0" fontId="4" fillId="0" borderId="204" xfId="92" applyFont="1" applyBorder="1" applyAlignment="1">
      <alignment horizontal="center" vertical="center"/>
      <protection/>
    </xf>
    <xf numFmtId="3" fontId="4" fillId="0" borderId="108" xfId="95" applyNumberFormat="1" applyFont="1" applyBorder="1" applyAlignment="1">
      <alignment vertical="center"/>
      <protection/>
    </xf>
    <xf numFmtId="3" fontId="4" fillId="0" borderId="205" xfId="95" applyNumberFormat="1" applyFont="1" applyBorder="1" applyAlignment="1">
      <alignment vertical="center"/>
      <protection/>
    </xf>
    <xf numFmtId="0" fontId="2" fillId="0" borderId="0" xfId="92" applyFont="1">
      <alignment/>
      <protection/>
    </xf>
    <xf numFmtId="3" fontId="2" fillId="0" borderId="0" xfId="87" applyNumberFormat="1" applyFont="1" applyAlignment="1">
      <alignment/>
      <protection/>
    </xf>
    <xf numFmtId="0" fontId="2" fillId="0" borderId="206" xfId="92" applyFont="1" applyBorder="1" applyAlignment="1">
      <alignment horizontal="center" vertical="center" wrapText="1"/>
      <protection/>
    </xf>
    <xf numFmtId="3" fontId="2" fillId="0" borderId="26" xfId="94" applyNumberFormat="1" applyFont="1" applyBorder="1" applyAlignment="1">
      <alignment horizontal="right" vertical="center"/>
      <protection/>
    </xf>
    <xf numFmtId="3" fontId="2" fillId="0" borderId="21" xfId="53" applyNumberFormat="1" applyFont="1" applyFill="1" applyBorder="1" applyAlignment="1">
      <alignment horizontal="right" vertical="center"/>
    </xf>
    <xf numFmtId="3" fontId="2" fillId="0" borderId="102" xfId="53" applyNumberFormat="1" applyFont="1" applyFill="1" applyBorder="1" applyAlignment="1">
      <alignment horizontal="right" vertical="center"/>
    </xf>
    <xf numFmtId="3" fontId="4" fillId="0" borderId="176" xfId="95" applyNumberFormat="1" applyFont="1" applyBorder="1" applyAlignment="1">
      <alignment vertical="center"/>
      <protection/>
    </xf>
    <xf numFmtId="3" fontId="12" fillId="0" borderId="22" xfId="0" applyNumberFormat="1" applyFont="1" applyFill="1" applyBorder="1" applyAlignment="1">
      <alignment/>
    </xf>
    <xf numFmtId="3" fontId="87" fillId="0" borderId="99" xfId="0" applyNumberFormat="1" applyFont="1" applyFill="1" applyBorder="1" applyAlignment="1">
      <alignment vertical="center"/>
    </xf>
    <xf numFmtId="3" fontId="16" fillId="0" borderId="99" xfId="0" applyNumberFormat="1" applyFont="1" applyFill="1" applyBorder="1" applyAlignment="1">
      <alignment vertical="center"/>
    </xf>
    <xf numFmtId="3" fontId="12" fillId="0" borderId="35" xfId="0" applyNumberFormat="1" applyFont="1" applyFill="1" applyBorder="1" applyAlignment="1">
      <alignment vertical="center"/>
    </xf>
    <xf numFmtId="3" fontId="15" fillId="0" borderId="11" xfId="0" applyNumberFormat="1" applyFont="1" applyFill="1" applyBorder="1" applyAlignment="1">
      <alignment horizontal="center" vertical="center" wrapText="1"/>
    </xf>
    <xf numFmtId="3" fontId="16" fillId="0" borderId="20" xfId="0" applyNumberFormat="1" applyFont="1" applyFill="1" applyBorder="1" applyAlignment="1">
      <alignment/>
    </xf>
    <xf numFmtId="3" fontId="12" fillId="0" borderId="20" xfId="0" applyNumberFormat="1" applyFont="1" applyFill="1" applyBorder="1" applyAlignment="1">
      <alignment vertical="top"/>
    </xf>
    <xf numFmtId="0" fontId="21" fillId="0" borderId="20" xfId="0" applyFont="1" applyFill="1" applyBorder="1" applyAlignment="1">
      <alignment/>
    </xf>
    <xf numFmtId="3" fontId="87" fillId="0" borderId="99" xfId="0" applyNumberFormat="1" applyFont="1" applyFill="1" applyBorder="1" applyAlignment="1">
      <alignment vertical="top"/>
    </xf>
    <xf numFmtId="3" fontId="16" fillId="0" borderId="99" xfId="0" applyNumberFormat="1" applyFont="1" applyFill="1" applyBorder="1" applyAlignment="1">
      <alignment vertical="top"/>
    </xf>
    <xf numFmtId="3" fontId="12" fillId="0" borderId="22" xfId="0" applyNumberFormat="1" applyFont="1" applyFill="1" applyBorder="1" applyAlignment="1">
      <alignment vertical="center"/>
    </xf>
    <xf numFmtId="3" fontId="87" fillId="0" borderId="20" xfId="0" applyNumberFormat="1" applyFont="1" applyFill="1" applyBorder="1" applyAlignment="1">
      <alignment vertical="top"/>
    </xf>
    <xf numFmtId="3" fontId="16" fillId="0" borderId="20" xfId="0" applyNumberFormat="1" applyFont="1" applyFill="1" applyBorder="1" applyAlignment="1">
      <alignment vertical="top"/>
    </xf>
    <xf numFmtId="3" fontId="86" fillId="0" borderId="91" xfId="88" applyNumberFormat="1" applyFont="1" applyFill="1" applyBorder="1" applyAlignment="1">
      <alignment horizontal="left" wrapText="1"/>
      <protection/>
    </xf>
    <xf numFmtId="0" fontId="0" fillId="0" borderId="91" xfId="0" applyFill="1" applyBorder="1" applyAlignment="1">
      <alignment horizontal="left" wrapText="1"/>
    </xf>
    <xf numFmtId="3" fontId="5" fillId="0" borderId="193" xfId="87" applyNumberFormat="1" applyFont="1" applyFill="1" applyBorder="1" applyAlignment="1">
      <alignment horizontal="center" vertical="center"/>
      <protection/>
    </xf>
    <xf numFmtId="3" fontId="13" fillId="0" borderId="48" xfId="88" applyNumberFormat="1" applyFont="1" applyFill="1" applyBorder="1" applyAlignment="1">
      <alignment wrapText="1"/>
      <protection/>
    </xf>
    <xf numFmtId="3" fontId="4" fillId="0" borderId="114" xfId="90" applyNumberFormat="1" applyFont="1" applyFill="1" applyBorder="1" applyAlignment="1">
      <alignment horizontal="right" wrapText="1"/>
      <protection/>
    </xf>
    <xf numFmtId="3" fontId="4" fillId="0" borderId="81" xfId="90" applyNumberFormat="1" applyFont="1" applyFill="1" applyBorder="1" applyAlignment="1">
      <alignment horizontal="right" wrapText="1"/>
      <protection/>
    </xf>
    <xf numFmtId="3" fontId="90" fillId="0" borderId="207" xfId="101" applyNumberFormat="1" applyFont="1" applyFill="1" applyBorder="1" applyAlignment="1">
      <alignment horizontal="right"/>
      <protection/>
    </xf>
    <xf numFmtId="0" fontId="43" fillId="0" borderId="18" xfId="90" applyFont="1" applyFill="1" applyBorder="1" applyAlignment="1">
      <alignment horizontal="center"/>
      <protection/>
    </xf>
    <xf numFmtId="3" fontId="90" fillId="0" borderId="114" xfId="101" applyNumberFormat="1" applyFont="1" applyFill="1" applyBorder="1" applyAlignment="1">
      <alignment horizontal="right"/>
      <protection/>
    </xf>
    <xf numFmtId="0" fontId="2" fillId="0" borderId="18" xfId="101" applyFont="1" applyFill="1" applyBorder="1" applyAlignment="1">
      <alignment horizontal="center" vertical="top"/>
      <protection/>
    </xf>
    <xf numFmtId="3" fontId="2" fillId="0" borderId="18" xfId="101" applyNumberFormat="1" applyFont="1" applyFill="1" applyBorder="1" applyAlignment="1">
      <alignment horizontal="right"/>
      <protection/>
    </xf>
    <xf numFmtId="0" fontId="2" fillId="0" borderId="82" xfId="101" applyFont="1" applyFill="1" applyBorder="1" applyAlignment="1">
      <alignment horizontal="center" wrapText="1"/>
      <protection/>
    </xf>
    <xf numFmtId="3" fontId="4" fillId="0" borderId="81" xfId="101" applyNumberFormat="1" applyFont="1" applyFill="1" applyBorder="1" applyAlignment="1">
      <alignment horizontal="right"/>
      <protection/>
    </xf>
    <xf numFmtId="3" fontId="2" fillId="0" borderId="207" xfId="101" applyNumberFormat="1" applyFont="1" applyFill="1" applyBorder="1" applyAlignment="1">
      <alignment horizontal="right"/>
      <protection/>
    </xf>
    <xf numFmtId="3" fontId="4" fillId="0" borderId="114" xfId="101" applyNumberFormat="1" applyFont="1" applyFill="1" applyBorder="1" applyAlignment="1">
      <alignment horizontal="right"/>
      <protection/>
    </xf>
    <xf numFmtId="3" fontId="2" fillId="0" borderId="208" xfId="101" applyNumberFormat="1" applyFont="1" applyFill="1" applyBorder="1" applyAlignment="1">
      <alignment horizontal="right"/>
      <protection/>
    </xf>
    <xf numFmtId="3" fontId="4" fillId="0" borderId="149" xfId="101" applyNumberFormat="1" applyFont="1" applyFill="1" applyBorder="1" applyAlignment="1">
      <alignment horizontal="right"/>
      <protection/>
    </xf>
    <xf numFmtId="3" fontId="2" fillId="0" borderId="145" xfId="101" applyNumberFormat="1" applyFont="1" applyFill="1" applyBorder="1" applyAlignment="1">
      <alignment horizontal="right"/>
      <protection/>
    </xf>
    <xf numFmtId="3" fontId="5" fillId="0" borderId="100" xfId="90" applyNumberFormat="1" applyFont="1" applyFill="1" applyBorder="1" applyAlignment="1">
      <alignment horizontal="right" wrapText="1"/>
      <protection/>
    </xf>
    <xf numFmtId="3" fontId="5" fillId="0" borderId="122" xfId="90" applyNumberFormat="1" applyFont="1" applyFill="1" applyBorder="1" applyAlignment="1">
      <alignment horizontal="right" vertical="center" wrapText="1"/>
      <protection/>
    </xf>
    <xf numFmtId="3" fontId="2" fillId="0" borderId="122" xfId="90" applyNumberFormat="1" applyFont="1" applyFill="1" applyBorder="1" applyAlignment="1">
      <alignment horizontal="right" vertical="center" wrapText="1"/>
      <protection/>
    </xf>
    <xf numFmtId="3" fontId="5" fillId="0" borderId="122" xfId="101" applyNumberFormat="1" applyFont="1" applyFill="1" applyBorder="1" applyAlignment="1">
      <alignment horizontal="right"/>
      <protection/>
    </xf>
    <xf numFmtId="3" fontId="5" fillId="0" borderId="96" xfId="101" applyNumberFormat="1" applyFont="1" applyFill="1" applyBorder="1" applyAlignment="1">
      <alignment horizontal="right"/>
      <protection/>
    </xf>
    <xf numFmtId="3" fontId="5" fillId="0" borderId="122" xfId="90" applyNumberFormat="1" applyFont="1" applyFill="1" applyBorder="1" applyAlignment="1">
      <alignment horizontal="right" wrapText="1"/>
      <protection/>
    </xf>
    <xf numFmtId="3" fontId="5" fillId="0" borderId="116" xfId="90" applyNumberFormat="1" applyFont="1" applyFill="1" applyBorder="1" applyAlignment="1">
      <alignment horizontal="right" wrapText="1"/>
      <protection/>
    </xf>
    <xf numFmtId="3" fontId="2" fillId="0" borderId="96" xfId="90" applyNumberFormat="1" applyFont="1" applyFill="1" applyBorder="1" applyAlignment="1">
      <alignment horizontal="right" wrapText="1"/>
      <protection/>
    </xf>
    <xf numFmtId="0" fontId="5" fillId="0" borderId="0" xfId="0" applyFont="1" applyAlignment="1">
      <alignment horizontal="left"/>
    </xf>
    <xf numFmtId="3" fontId="17" fillId="0" borderId="178" xfId="87" applyNumberFormat="1" applyFont="1" applyFill="1" applyBorder="1" applyAlignment="1">
      <alignment horizontal="right" wrapText="1"/>
      <protection/>
    </xf>
    <xf numFmtId="3" fontId="17" fillId="0" borderId="178" xfId="0" applyNumberFormat="1" applyFont="1" applyFill="1" applyBorder="1" applyAlignment="1">
      <alignment horizontal="right" vertical="center"/>
    </xf>
    <xf numFmtId="3" fontId="17" fillId="0" borderId="182" xfId="0" applyNumberFormat="1" applyFont="1" applyFill="1" applyBorder="1" applyAlignment="1">
      <alignment horizontal="right" vertical="center"/>
    </xf>
    <xf numFmtId="3" fontId="17" fillId="0" borderId="185" xfId="0" applyNumberFormat="1" applyFont="1" applyFill="1" applyBorder="1" applyAlignment="1">
      <alignment horizontal="right" vertical="center"/>
    </xf>
    <xf numFmtId="3" fontId="17" fillId="0" borderId="113" xfId="0" applyNumberFormat="1" applyFont="1" applyFill="1" applyBorder="1" applyAlignment="1">
      <alignment horizontal="right" vertical="center"/>
    </xf>
    <xf numFmtId="3" fontId="17" fillId="0" borderId="202" xfId="0" applyNumberFormat="1" applyFont="1" applyFill="1" applyBorder="1" applyAlignment="1">
      <alignment horizontal="right" vertical="center"/>
    </xf>
    <xf numFmtId="3" fontId="5" fillId="0" borderId="0" xfId="87" applyNumberFormat="1" applyFont="1" applyFill="1" applyAlignment="1">
      <alignment horizontal="left"/>
      <protection/>
    </xf>
    <xf numFmtId="3" fontId="17" fillId="0" borderId="177" xfId="87" applyNumberFormat="1" applyFont="1" applyFill="1" applyBorder="1">
      <alignment/>
      <protection/>
    </xf>
    <xf numFmtId="3" fontId="17" fillId="0" borderId="178" xfId="87" applyNumberFormat="1" applyFont="1" applyFill="1" applyBorder="1">
      <alignment/>
      <protection/>
    </xf>
    <xf numFmtId="3" fontId="17" fillId="0" borderId="113" xfId="87" applyNumberFormat="1" applyFont="1" applyFill="1" applyBorder="1">
      <alignment/>
      <protection/>
    </xf>
    <xf numFmtId="3" fontId="5" fillId="0" borderId="113" xfId="87" applyNumberFormat="1" applyFont="1" applyFill="1" applyBorder="1" applyAlignment="1">
      <alignment vertical="center"/>
      <protection/>
    </xf>
    <xf numFmtId="3" fontId="17" fillId="0" borderId="161" xfId="87" applyNumberFormat="1" applyFont="1" applyFill="1" applyBorder="1" applyAlignment="1">
      <alignment vertical="center"/>
      <protection/>
    </xf>
    <xf numFmtId="3" fontId="5" fillId="0" borderId="113" xfId="87" applyNumberFormat="1" applyFont="1" applyFill="1" applyBorder="1" applyAlignment="1">
      <alignment vertical="top"/>
      <protection/>
    </xf>
    <xf numFmtId="3" fontId="17" fillId="0" borderId="0" xfId="87" applyNumberFormat="1" applyFont="1" applyFill="1">
      <alignment/>
      <protection/>
    </xf>
    <xf numFmtId="0" fontId="4" fillId="0" borderId="0" xfId="0" applyFont="1" applyAlignment="1">
      <alignment horizontal="center"/>
    </xf>
    <xf numFmtId="0" fontId="2" fillId="0" borderId="0" xfId="0" applyFont="1" applyAlignment="1">
      <alignment horizontal="center" vertical="center"/>
    </xf>
    <xf numFmtId="0" fontId="4" fillId="0" borderId="15" xfId="0" applyFont="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left"/>
    </xf>
    <xf numFmtId="3" fontId="13" fillId="0" borderId="98" xfId="0" applyNumberFormat="1" applyFont="1" applyBorder="1" applyAlignment="1">
      <alignment horizontal="center" vertical="center" wrapText="1"/>
    </xf>
    <xf numFmtId="3" fontId="13" fillId="0" borderId="205" xfId="0" applyNumberFormat="1" applyFont="1" applyBorder="1" applyAlignment="1">
      <alignment horizontal="center" vertical="center" wrapText="1"/>
    </xf>
    <xf numFmtId="3" fontId="4" fillId="0" borderId="209" xfId="0" applyNumberFormat="1" applyFont="1" applyBorder="1" applyAlignment="1">
      <alignment horizontal="center" vertical="center" wrapText="1"/>
    </xf>
    <xf numFmtId="3" fontId="4" fillId="0" borderId="194" xfId="0" applyNumberFormat="1" applyFont="1" applyBorder="1" applyAlignment="1">
      <alignment horizontal="center" vertical="center" wrapText="1"/>
    </xf>
    <xf numFmtId="0" fontId="4" fillId="0" borderId="0" xfId="89" applyFont="1" applyAlignment="1">
      <alignment horizontal="center" vertical="center"/>
      <protection/>
    </xf>
    <xf numFmtId="0" fontId="4" fillId="0" borderId="0" xfId="0" applyFont="1" applyAlignment="1">
      <alignment horizontal="center"/>
    </xf>
    <xf numFmtId="0" fontId="4" fillId="0" borderId="0" xfId="0" applyFont="1" applyAlignment="1">
      <alignment horizontal="center" vertical="center"/>
    </xf>
    <xf numFmtId="0" fontId="4" fillId="0" borderId="106" xfId="0" applyFont="1" applyBorder="1" applyAlignment="1">
      <alignment horizontal="center" vertical="center"/>
    </xf>
    <xf numFmtId="0" fontId="4" fillId="0" borderId="133" xfId="0" applyFont="1" applyBorder="1" applyAlignment="1">
      <alignment horizontal="center" vertical="center"/>
    </xf>
    <xf numFmtId="3" fontId="4" fillId="0" borderId="35" xfId="0" applyNumberFormat="1" applyFont="1" applyBorder="1" applyAlignment="1">
      <alignment horizontal="center" vertical="center" wrapText="1"/>
    </xf>
    <xf numFmtId="3" fontId="4" fillId="0" borderId="131" xfId="0" applyNumberFormat="1" applyFont="1" applyBorder="1" applyAlignment="1">
      <alignment horizontal="center" vertical="center" wrapText="1"/>
    </xf>
    <xf numFmtId="3" fontId="4" fillId="0" borderId="0" xfId="87" applyNumberFormat="1" applyFont="1" applyFill="1" applyAlignment="1">
      <alignment horizontal="center" vertical="center"/>
      <protection/>
    </xf>
    <xf numFmtId="3" fontId="4" fillId="0" borderId="0" xfId="0" applyNumberFormat="1" applyFont="1" applyFill="1" applyAlignment="1">
      <alignment horizontal="left"/>
    </xf>
    <xf numFmtId="3" fontId="4" fillId="0" borderId="0" xfId="0" applyNumberFormat="1" applyFont="1" applyFill="1" applyAlignment="1">
      <alignment horizontal="center" vertical="center"/>
    </xf>
    <xf numFmtId="3" fontId="12" fillId="0" borderId="0" xfId="0" applyNumberFormat="1" applyFont="1" applyFill="1" applyAlignment="1">
      <alignment horizontal="right" vertical="center"/>
    </xf>
    <xf numFmtId="3" fontId="6" fillId="0" borderId="47" xfId="0" applyNumberFormat="1" applyFont="1" applyFill="1" applyBorder="1" applyAlignment="1">
      <alignment horizontal="center" vertical="center"/>
    </xf>
    <xf numFmtId="3" fontId="10" fillId="0" borderId="210" xfId="0" applyNumberFormat="1" applyFont="1" applyFill="1" applyBorder="1" applyAlignment="1">
      <alignment horizontal="center" vertical="center" wrapText="1"/>
    </xf>
    <xf numFmtId="3" fontId="13" fillId="0" borderId="191" xfId="0" applyNumberFormat="1" applyFont="1" applyFill="1" applyBorder="1" applyAlignment="1">
      <alignment horizontal="center" vertical="center" wrapText="1"/>
    </xf>
    <xf numFmtId="3" fontId="13" fillId="0" borderId="105" xfId="0" applyNumberFormat="1" applyFont="1" applyFill="1" applyBorder="1" applyAlignment="1">
      <alignment horizontal="center" vertical="center" wrapText="1"/>
    </xf>
    <xf numFmtId="3" fontId="10" fillId="0" borderId="33" xfId="96" applyNumberFormat="1" applyFont="1" applyFill="1" applyBorder="1" applyAlignment="1">
      <alignment horizontal="left"/>
      <protection/>
    </xf>
    <xf numFmtId="3" fontId="10" fillId="0" borderId="80" xfId="96" applyNumberFormat="1" applyFont="1" applyFill="1" applyBorder="1" applyAlignment="1">
      <alignment horizontal="left"/>
      <protection/>
    </xf>
    <xf numFmtId="3" fontId="16" fillId="0" borderId="92" xfId="0" applyNumberFormat="1" applyFont="1" applyFill="1" applyBorder="1" applyAlignment="1">
      <alignment horizontal="left" vertical="center"/>
    </xf>
    <xf numFmtId="3" fontId="16" fillId="0" borderId="208" xfId="0" applyNumberFormat="1" applyFont="1" applyFill="1" applyBorder="1" applyAlignment="1">
      <alignment horizontal="left" vertical="center"/>
    </xf>
    <xf numFmtId="3" fontId="16" fillId="0" borderId="81" xfId="0" applyNumberFormat="1" applyFont="1" applyFill="1" applyBorder="1" applyAlignment="1">
      <alignment horizontal="left" vertical="center"/>
    </xf>
    <xf numFmtId="3" fontId="10" fillId="0" borderId="33" xfId="96" applyNumberFormat="1" applyFont="1" applyFill="1" applyBorder="1" applyAlignment="1">
      <alignment horizontal="left" wrapText="1"/>
      <protection/>
    </xf>
    <xf numFmtId="3" fontId="10" fillId="0" borderId="80" xfId="96" applyNumberFormat="1" applyFont="1" applyFill="1" applyBorder="1" applyAlignment="1">
      <alignment horizontal="left" wrapText="1"/>
      <protection/>
    </xf>
    <xf numFmtId="3" fontId="13" fillId="0" borderId="211" xfId="0" applyNumberFormat="1" applyFont="1" applyFill="1" applyBorder="1" applyAlignment="1">
      <alignment horizontal="center" vertical="center"/>
    </xf>
    <xf numFmtId="3" fontId="13" fillId="0" borderId="212" xfId="0" applyNumberFormat="1" applyFont="1" applyFill="1" applyBorder="1" applyAlignment="1">
      <alignment horizontal="center" vertical="center"/>
    </xf>
    <xf numFmtId="3" fontId="13" fillId="0" borderId="107" xfId="0" applyNumberFormat="1" applyFont="1" applyFill="1" applyBorder="1" applyAlignment="1">
      <alignment horizontal="center" vertical="center"/>
    </xf>
    <xf numFmtId="3" fontId="13" fillId="0" borderId="211" xfId="96" applyNumberFormat="1" applyFont="1" applyFill="1" applyBorder="1" applyAlignment="1">
      <alignment horizontal="center" vertical="center"/>
      <protection/>
    </xf>
    <xf numFmtId="3" fontId="13" fillId="0" borderId="212" xfId="96" applyNumberFormat="1" applyFont="1" applyFill="1" applyBorder="1" applyAlignment="1">
      <alignment horizontal="center" vertical="center"/>
      <protection/>
    </xf>
    <xf numFmtId="3" fontId="13" fillId="0" borderId="107" xfId="96" applyNumberFormat="1" applyFont="1" applyFill="1" applyBorder="1" applyAlignment="1">
      <alignment horizontal="center" vertical="center"/>
      <protection/>
    </xf>
    <xf numFmtId="3" fontId="10" fillId="0" borderId="11" xfId="0" applyNumberFormat="1" applyFont="1" applyFill="1" applyBorder="1" applyAlignment="1">
      <alignment horizontal="center" vertical="center" wrapText="1"/>
    </xf>
    <xf numFmtId="3" fontId="10" fillId="0" borderId="213" xfId="0" applyNumberFormat="1" applyFont="1" applyFill="1" applyBorder="1" applyAlignment="1">
      <alignment horizontal="center" vertical="center" textRotation="90"/>
    </xf>
    <xf numFmtId="3" fontId="10" fillId="0" borderId="214" xfId="0" applyNumberFormat="1" applyFont="1" applyFill="1" applyBorder="1" applyAlignment="1">
      <alignment horizontal="center" vertical="center" textRotation="90"/>
    </xf>
    <xf numFmtId="3" fontId="10" fillId="0" borderId="215" xfId="0" applyNumberFormat="1" applyFont="1" applyFill="1" applyBorder="1" applyAlignment="1">
      <alignment horizontal="center" vertical="center" textRotation="90"/>
    </xf>
    <xf numFmtId="0" fontId="0" fillId="0" borderId="76" xfId="0" applyFont="1" applyFill="1" applyBorder="1" applyAlignment="1">
      <alignment horizontal="center" vertical="center"/>
    </xf>
    <xf numFmtId="3" fontId="13" fillId="0" borderId="215" xfId="0" applyNumberFormat="1" applyFont="1" applyFill="1" applyBorder="1" applyAlignment="1">
      <alignment horizontal="center" vertical="center"/>
    </xf>
    <xf numFmtId="3" fontId="13" fillId="0" borderId="181" xfId="0" applyNumberFormat="1" applyFont="1" applyFill="1" applyBorder="1" applyAlignment="1">
      <alignment horizontal="center" vertical="center"/>
    </xf>
    <xf numFmtId="3" fontId="13" fillId="0" borderId="76" xfId="0" applyNumberFormat="1" applyFont="1" applyFill="1" applyBorder="1" applyAlignment="1">
      <alignment horizontal="center" vertical="center"/>
    </xf>
    <xf numFmtId="3" fontId="13" fillId="0" borderId="110" xfId="0" applyNumberFormat="1" applyFont="1" applyFill="1" applyBorder="1" applyAlignment="1">
      <alignment horizontal="center" vertical="center"/>
    </xf>
    <xf numFmtId="3" fontId="10" fillId="0" borderId="210" xfId="0" applyNumberFormat="1" applyFont="1" applyFill="1" applyBorder="1" applyAlignment="1">
      <alignment horizontal="center" vertical="center"/>
    </xf>
    <xf numFmtId="3" fontId="10" fillId="0" borderId="180" xfId="0" applyNumberFormat="1" applyFont="1" applyFill="1" applyBorder="1" applyAlignment="1">
      <alignment horizontal="center" vertical="center"/>
    </xf>
    <xf numFmtId="3" fontId="10" fillId="0" borderId="78" xfId="0" applyNumberFormat="1" applyFont="1" applyFill="1" applyBorder="1" applyAlignment="1">
      <alignment horizontal="center" vertical="center"/>
    </xf>
    <xf numFmtId="3" fontId="10" fillId="0" borderId="181" xfId="0" applyNumberFormat="1" applyFont="1" applyFill="1" applyBorder="1" applyAlignment="1">
      <alignment horizontal="center" vertical="center"/>
    </xf>
    <xf numFmtId="3" fontId="10" fillId="0" borderId="210" xfId="87" applyNumberFormat="1" applyFont="1" applyFill="1" applyBorder="1" applyAlignment="1">
      <alignment horizontal="center" vertical="center" wrapText="1"/>
      <protection/>
    </xf>
    <xf numFmtId="3" fontId="10" fillId="0" borderId="190" xfId="0" applyNumberFormat="1" applyFont="1" applyFill="1" applyBorder="1" applyAlignment="1">
      <alignment horizontal="center" vertical="center" wrapText="1"/>
    </xf>
    <xf numFmtId="3" fontId="10" fillId="0" borderId="144" xfId="0" applyNumberFormat="1" applyFont="1" applyFill="1" applyBorder="1" applyAlignment="1">
      <alignment horizontal="center" vertical="center" wrapText="1"/>
    </xf>
    <xf numFmtId="3" fontId="10" fillId="0" borderId="216" xfId="0" applyNumberFormat="1" applyFont="1" applyFill="1" applyBorder="1" applyAlignment="1">
      <alignment horizontal="center" vertical="center" wrapText="1"/>
    </xf>
    <xf numFmtId="3" fontId="10" fillId="0" borderId="217" xfId="0" applyNumberFormat="1" applyFont="1" applyFill="1" applyBorder="1" applyAlignment="1">
      <alignment horizontal="center" vertical="center" wrapText="1"/>
    </xf>
    <xf numFmtId="3" fontId="13" fillId="0" borderId="129" xfId="0" applyNumberFormat="1" applyFont="1" applyFill="1" applyBorder="1" applyAlignment="1">
      <alignment horizontal="center" vertical="center" wrapText="1"/>
    </xf>
    <xf numFmtId="3" fontId="13" fillId="0" borderId="218" xfId="0" applyNumberFormat="1" applyFont="1" applyFill="1" applyBorder="1" applyAlignment="1">
      <alignment horizontal="center" vertical="center" wrapText="1"/>
    </xf>
    <xf numFmtId="3" fontId="12" fillId="0" borderId="0" xfId="0" applyNumberFormat="1" applyFont="1" applyFill="1" applyAlignment="1">
      <alignment horizontal="right"/>
    </xf>
    <xf numFmtId="3" fontId="10" fillId="0" borderId="190" xfId="0" applyNumberFormat="1" applyFont="1" applyFill="1" applyBorder="1" applyAlignment="1">
      <alignment horizontal="center" vertical="center" textRotation="90"/>
    </xf>
    <xf numFmtId="3" fontId="10" fillId="0" borderId="144" xfId="0" applyNumberFormat="1" applyFont="1" applyFill="1" applyBorder="1" applyAlignment="1">
      <alignment horizontal="center" vertical="center" textRotation="90"/>
    </xf>
    <xf numFmtId="3" fontId="13" fillId="0" borderId="219" xfId="0" applyNumberFormat="1" applyFont="1" applyFill="1" applyBorder="1" applyAlignment="1">
      <alignment horizontal="center" vertical="center"/>
    </xf>
    <xf numFmtId="3" fontId="13" fillId="0" borderId="220" xfId="0" applyNumberFormat="1" applyFont="1" applyFill="1" applyBorder="1" applyAlignment="1">
      <alignment horizontal="center" vertical="center"/>
    </xf>
    <xf numFmtId="3" fontId="10" fillId="0" borderId="190" xfId="0" applyNumberFormat="1" applyFont="1" applyFill="1" applyBorder="1" applyAlignment="1">
      <alignment horizontal="center" vertical="center" textRotation="90" wrapText="1"/>
    </xf>
    <xf numFmtId="0" fontId="0" fillId="0" borderId="144" xfId="0" applyFont="1" applyFill="1" applyBorder="1" applyAlignment="1">
      <alignment horizontal="center" vertical="center" textRotation="90" wrapText="1"/>
    </xf>
    <xf numFmtId="3" fontId="10" fillId="0" borderId="33" xfId="96" applyNumberFormat="1" applyFont="1" applyFill="1" applyBorder="1" applyAlignment="1">
      <alignment horizontal="left" vertical="top" wrapText="1"/>
      <protection/>
    </xf>
    <xf numFmtId="3" fontId="10" fillId="0" borderId="80" xfId="96" applyNumberFormat="1" applyFont="1" applyFill="1" applyBorder="1" applyAlignment="1">
      <alignment horizontal="left" vertical="top" wrapText="1"/>
      <protection/>
    </xf>
    <xf numFmtId="3" fontId="10" fillId="0" borderId="91" xfId="96" applyNumberFormat="1" applyFont="1" applyFill="1" applyBorder="1" applyAlignment="1">
      <alignment horizontal="left" wrapText="1"/>
      <protection/>
    </xf>
    <xf numFmtId="3" fontId="2" fillId="0" borderId="33" xfId="91" applyNumberFormat="1" applyFont="1" applyBorder="1" applyAlignment="1">
      <alignment horizontal="left" vertical="center" wrapText="1"/>
      <protection/>
    </xf>
    <xf numFmtId="3" fontId="2" fillId="0" borderId="91" xfId="91" applyNumberFormat="1" applyFont="1" applyBorder="1" applyAlignment="1">
      <alignment horizontal="left" vertical="center" wrapText="1"/>
      <protection/>
    </xf>
    <xf numFmtId="3" fontId="2" fillId="0" borderId="80" xfId="91" applyNumberFormat="1" applyFont="1" applyBorder="1" applyAlignment="1">
      <alignment horizontal="left" vertical="center" wrapText="1"/>
      <protection/>
    </xf>
    <xf numFmtId="3" fontId="16" fillId="0" borderId="92" xfId="96" applyNumberFormat="1" applyFont="1" applyFill="1" applyBorder="1" applyAlignment="1">
      <alignment horizontal="left" vertical="center"/>
      <protection/>
    </xf>
    <xf numFmtId="3" fontId="16" fillId="0" borderId="208" xfId="96" applyNumberFormat="1" applyFont="1" applyFill="1" applyBorder="1" applyAlignment="1">
      <alignment horizontal="left" vertical="center"/>
      <protection/>
    </xf>
    <xf numFmtId="3" fontId="16" fillId="0" borderId="81" xfId="96" applyNumberFormat="1" applyFont="1" applyFill="1" applyBorder="1" applyAlignment="1">
      <alignment horizontal="left" vertical="center"/>
      <protection/>
    </xf>
    <xf numFmtId="3" fontId="12" fillId="0" borderId="19" xfId="0" applyNumberFormat="1" applyFont="1" applyFill="1" applyBorder="1" applyAlignment="1">
      <alignment horizontal="left" vertical="center" wrapText="1"/>
    </xf>
    <xf numFmtId="3" fontId="12" fillId="0" borderId="80" xfId="0" applyNumberFormat="1" applyFont="1" applyFill="1" applyBorder="1" applyAlignment="1">
      <alignment horizontal="left" vertical="center" wrapText="1"/>
    </xf>
    <xf numFmtId="3" fontId="12" fillId="0" borderId="20" xfId="0" applyNumberFormat="1" applyFont="1" applyFill="1" applyBorder="1" applyAlignment="1">
      <alignment horizontal="left" vertical="center" wrapText="1"/>
    </xf>
    <xf numFmtId="3" fontId="12" fillId="0" borderId="19" xfId="0" applyNumberFormat="1" applyFont="1" applyFill="1" applyBorder="1" applyAlignment="1">
      <alignment horizontal="left" vertical="top" wrapText="1"/>
    </xf>
    <xf numFmtId="3" fontId="12" fillId="0" borderId="80" xfId="0" applyNumberFormat="1" applyFont="1" applyFill="1" applyBorder="1" applyAlignment="1">
      <alignment horizontal="left" vertical="top" wrapText="1"/>
    </xf>
    <xf numFmtId="3" fontId="12" fillId="0" borderId="20" xfId="0" applyNumberFormat="1" applyFont="1" applyFill="1" applyBorder="1" applyAlignment="1">
      <alignment horizontal="left" vertical="top" wrapText="1"/>
    </xf>
    <xf numFmtId="3" fontId="10" fillId="0" borderId="89" xfId="96" applyNumberFormat="1" applyFont="1" applyFill="1" applyBorder="1" applyAlignment="1">
      <alignment horizontal="left" wrapText="1"/>
      <protection/>
    </xf>
    <xf numFmtId="3" fontId="10" fillId="0" borderId="117" xfId="96" applyNumberFormat="1" applyFont="1" applyFill="1" applyBorder="1" applyAlignment="1">
      <alignment horizontal="left" wrapText="1"/>
      <protection/>
    </xf>
    <xf numFmtId="3" fontId="12" fillId="0" borderId="106" xfId="0" applyNumberFormat="1" applyFont="1" applyFill="1" applyBorder="1" applyAlignment="1">
      <alignment horizontal="left" vertical="center"/>
    </xf>
    <xf numFmtId="3" fontId="12" fillId="0" borderId="107" xfId="0" applyNumberFormat="1" applyFont="1" applyFill="1" applyBorder="1" applyAlignment="1">
      <alignment horizontal="left" vertical="center"/>
    </xf>
    <xf numFmtId="3" fontId="12" fillId="0" borderId="35" xfId="0" applyNumberFormat="1" applyFont="1" applyFill="1" applyBorder="1" applyAlignment="1">
      <alignment horizontal="left" vertical="center"/>
    </xf>
    <xf numFmtId="0" fontId="4" fillId="0" borderId="0" xfId="101" applyFont="1" applyFill="1" applyBorder="1" applyAlignment="1" applyProtection="1">
      <alignment horizontal="center"/>
      <protection locked="0"/>
    </xf>
    <xf numFmtId="0" fontId="4" fillId="0" borderId="0" xfId="102" applyFont="1" applyFill="1" applyBorder="1" applyAlignment="1" applyProtection="1">
      <alignment horizontal="center" vertical="center"/>
      <protection locked="0"/>
    </xf>
    <xf numFmtId="3" fontId="10" fillId="0" borderId="213" xfId="88" applyNumberFormat="1" applyFont="1" applyFill="1" applyBorder="1" applyAlignment="1" applyProtection="1">
      <alignment horizontal="center" vertical="center" textRotation="90"/>
      <protection locked="0"/>
    </xf>
    <xf numFmtId="3" fontId="10" fillId="0" borderId="214" xfId="88" applyNumberFormat="1" applyFont="1" applyFill="1" applyBorder="1" applyAlignment="1" applyProtection="1">
      <alignment horizontal="center" vertical="center" textRotation="90"/>
      <protection locked="0"/>
    </xf>
    <xf numFmtId="3" fontId="10" fillId="0" borderId="190" xfId="88" applyNumberFormat="1" applyFont="1" applyFill="1" applyBorder="1" applyAlignment="1" applyProtection="1">
      <alignment horizontal="center" vertical="center" textRotation="90"/>
      <protection locked="0"/>
    </xf>
    <xf numFmtId="3" fontId="10" fillId="0" borderId="144" xfId="88" applyNumberFormat="1" applyFont="1" applyFill="1" applyBorder="1" applyAlignment="1" applyProtection="1">
      <alignment horizontal="center" vertical="center" textRotation="90"/>
      <protection locked="0"/>
    </xf>
    <xf numFmtId="0" fontId="13" fillId="0" borderId="190" xfId="101" applyFont="1" applyFill="1" applyBorder="1" applyAlignment="1" applyProtection="1">
      <alignment horizontal="center" vertical="center" wrapText="1"/>
      <protection locked="0"/>
    </xf>
    <xf numFmtId="0" fontId="13" fillId="0" borderId="144" xfId="101" applyFont="1" applyFill="1" applyBorder="1" applyAlignment="1" applyProtection="1">
      <alignment horizontal="center" vertical="center" wrapText="1"/>
      <protection locked="0"/>
    </xf>
    <xf numFmtId="0" fontId="10" fillId="0" borderId="190" xfId="101" applyFont="1" applyFill="1" applyBorder="1" applyAlignment="1" applyProtection="1">
      <alignment horizontal="center" vertical="center" textRotation="90" wrapText="1"/>
      <protection locked="0"/>
    </xf>
    <xf numFmtId="0" fontId="10" fillId="0" borderId="144" xfId="101" applyFont="1" applyFill="1" applyBorder="1" applyAlignment="1" applyProtection="1">
      <alignment horizontal="center" vertical="center" textRotation="90" wrapText="1"/>
      <protection locked="0"/>
    </xf>
    <xf numFmtId="3" fontId="10" fillId="0" borderId="190" xfId="101" applyNumberFormat="1" applyFont="1" applyFill="1" applyBorder="1" applyAlignment="1" applyProtection="1">
      <alignment horizontal="center" vertical="center" wrapText="1"/>
      <protection locked="0"/>
    </xf>
    <xf numFmtId="3" fontId="10" fillId="0" borderId="144" xfId="101" applyNumberFormat="1" applyFont="1" applyFill="1" applyBorder="1" applyAlignment="1" applyProtection="1">
      <alignment horizontal="center" vertical="center" wrapText="1"/>
      <protection locked="0"/>
    </xf>
    <xf numFmtId="3" fontId="10" fillId="0" borderId="215" xfId="101" applyNumberFormat="1" applyFont="1" applyFill="1" applyBorder="1" applyAlignment="1" applyProtection="1">
      <alignment horizontal="center" vertical="center" wrapText="1"/>
      <protection locked="0"/>
    </xf>
    <xf numFmtId="3" fontId="10" fillId="0" borderId="76" xfId="101" applyNumberFormat="1" applyFont="1" applyFill="1" applyBorder="1" applyAlignment="1" applyProtection="1">
      <alignment horizontal="center" vertical="center" wrapText="1"/>
      <protection locked="0"/>
    </xf>
    <xf numFmtId="3" fontId="13" fillId="0" borderId="190" xfId="101" applyNumberFormat="1" applyFont="1" applyFill="1" applyBorder="1" applyAlignment="1" applyProtection="1">
      <alignment horizontal="center" vertical="center" wrapText="1"/>
      <protection locked="0"/>
    </xf>
    <xf numFmtId="3" fontId="13" fillId="0" borderId="144" xfId="101" applyNumberFormat="1" applyFont="1" applyFill="1" applyBorder="1" applyAlignment="1" applyProtection="1">
      <alignment horizontal="center" vertical="center" wrapText="1"/>
      <protection locked="0"/>
    </xf>
    <xf numFmtId="3" fontId="12" fillId="0" borderId="191" xfId="101" applyNumberFormat="1" applyFont="1" applyFill="1" applyBorder="1" applyAlignment="1" applyProtection="1">
      <alignment horizontal="center" vertical="center" wrapText="1"/>
      <protection locked="0"/>
    </xf>
    <xf numFmtId="3" fontId="12" fillId="0" borderId="105" xfId="101" applyNumberFormat="1" applyFont="1" applyFill="1" applyBorder="1" applyAlignment="1" applyProtection="1">
      <alignment horizontal="center" vertical="center" wrapText="1"/>
      <protection locked="0"/>
    </xf>
    <xf numFmtId="3" fontId="13" fillId="0" borderId="221" xfId="101" applyNumberFormat="1" applyFont="1" applyFill="1" applyBorder="1" applyAlignment="1" applyProtection="1">
      <alignment horizontal="center" vertical="center" wrapText="1"/>
      <protection locked="0"/>
    </xf>
    <xf numFmtId="3" fontId="13" fillId="0" borderId="71" xfId="101" applyNumberFormat="1" applyFont="1" applyFill="1" applyBorder="1" applyAlignment="1" applyProtection="1">
      <alignment horizontal="center" vertical="center" wrapText="1"/>
      <protection locked="0"/>
    </xf>
    <xf numFmtId="3" fontId="45" fillId="0" borderId="150" xfId="88" applyNumberFormat="1" applyFont="1" applyFill="1" applyBorder="1" applyAlignment="1" applyProtection="1">
      <alignment horizontal="left" vertical="center"/>
      <protection locked="0"/>
    </xf>
    <xf numFmtId="3" fontId="45" fillId="0" borderId="107" xfId="88" applyNumberFormat="1" applyFont="1" applyFill="1" applyBorder="1" applyAlignment="1" applyProtection="1">
      <alignment horizontal="left" vertical="center"/>
      <protection locked="0"/>
    </xf>
    <xf numFmtId="3" fontId="45" fillId="0" borderId="35" xfId="88" applyNumberFormat="1" applyFont="1" applyFill="1" applyBorder="1" applyAlignment="1" applyProtection="1">
      <alignment horizontal="left" vertical="center"/>
      <protection locked="0"/>
    </xf>
    <xf numFmtId="0" fontId="13" fillId="0" borderId="15" xfId="102" applyFont="1" applyFill="1" applyBorder="1" applyAlignment="1" applyProtection="1">
      <alignment horizontal="center" vertical="center"/>
      <protection locked="0"/>
    </xf>
    <xf numFmtId="0" fontId="13" fillId="0" borderId="16" xfId="102" applyFont="1" applyFill="1" applyBorder="1" applyAlignment="1" applyProtection="1">
      <alignment horizontal="center" vertical="center"/>
      <protection locked="0"/>
    </xf>
    <xf numFmtId="0" fontId="13" fillId="0" borderId="146" xfId="102" applyFont="1" applyFill="1" applyBorder="1" applyAlignment="1" applyProtection="1">
      <alignment horizontal="center" vertical="center"/>
      <protection locked="0"/>
    </xf>
    <xf numFmtId="0" fontId="16" fillId="0" borderId="33" xfId="102" applyFont="1" applyFill="1" applyBorder="1" applyAlignment="1" applyProtection="1">
      <alignment horizontal="left"/>
      <protection locked="0"/>
    </xf>
    <xf numFmtId="0" fontId="16" fillId="0" borderId="80" xfId="102" applyFont="1" applyFill="1" applyBorder="1" applyAlignment="1" applyProtection="1">
      <alignment horizontal="left"/>
      <protection locked="0"/>
    </xf>
    <xf numFmtId="0" fontId="13" fillId="0" borderId="43" xfId="102" applyFont="1" applyFill="1" applyBorder="1" applyAlignment="1" applyProtection="1">
      <alignment horizontal="center" vertical="center"/>
      <protection locked="0"/>
    </xf>
    <xf numFmtId="0" fontId="13" fillId="0" borderId="28" xfId="102" applyFont="1" applyFill="1" applyBorder="1" applyAlignment="1" applyProtection="1">
      <alignment horizontal="center" vertical="center"/>
      <protection locked="0"/>
    </xf>
    <xf numFmtId="0" fontId="13" fillId="0" borderId="222" xfId="102" applyFont="1" applyFill="1" applyBorder="1" applyAlignment="1" applyProtection="1">
      <alignment horizontal="center" vertical="center"/>
      <protection locked="0"/>
    </xf>
    <xf numFmtId="3" fontId="6" fillId="0" borderId="0" xfId="0" applyNumberFormat="1" applyFont="1" applyFill="1" applyBorder="1" applyAlignment="1">
      <alignment horizontal="left" vertical="top"/>
    </xf>
    <xf numFmtId="3" fontId="13" fillId="0" borderId="65" xfId="88" applyNumberFormat="1" applyFont="1" applyFill="1" applyBorder="1" applyAlignment="1">
      <alignment horizontal="center" vertical="center" wrapText="1"/>
      <protection/>
    </xf>
    <xf numFmtId="3" fontId="13" fillId="0" borderId="66" xfId="88" applyNumberFormat="1" applyFont="1" applyFill="1" applyBorder="1" applyAlignment="1">
      <alignment horizontal="center" vertical="center" wrapText="1"/>
      <protection/>
    </xf>
    <xf numFmtId="3" fontId="13" fillId="0" borderId="223" xfId="88" applyNumberFormat="1" applyFont="1" applyFill="1" applyBorder="1" applyAlignment="1">
      <alignment horizontal="center" vertical="center" wrapText="1"/>
      <protection/>
    </xf>
    <xf numFmtId="3" fontId="86" fillId="0" borderId="33" xfId="88" applyNumberFormat="1" applyFont="1" applyFill="1" applyBorder="1" applyAlignment="1">
      <alignment horizontal="left" wrapText="1"/>
      <protection/>
    </xf>
    <xf numFmtId="3" fontId="86" fillId="0" borderId="91" xfId="88" applyNumberFormat="1" applyFont="1" applyFill="1" applyBorder="1" applyAlignment="1">
      <alignment horizontal="left" wrapText="1"/>
      <protection/>
    </xf>
    <xf numFmtId="3" fontId="86" fillId="0" borderId="151" xfId="88" applyNumberFormat="1" applyFont="1" applyFill="1" applyBorder="1" applyAlignment="1">
      <alignment horizontal="left" wrapText="1"/>
      <protection/>
    </xf>
    <xf numFmtId="3" fontId="12" fillId="0" borderId="33" xfId="88" applyNumberFormat="1" applyFont="1" applyFill="1" applyBorder="1" applyAlignment="1">
      <alignment horizontal="left" wrapText="1"/>
      <protection/>
    </xf>
    <xf numFmtId="0" fontId="0" fillId="0" borderId="91" xfId="0" applyFill="1" applyBorder="1" applyAlignment="1">
      <alignment horizontal="left" wrapText="1"/>
    </xf>
    <xf numFmtId="0" fontId="0" fillId="0" borderId="151" xfId="0" applyFill="1" applyBorder="1" applyAlignment="1">
      <alignment horizontal="left" wrapText="1"/>
    </xf>
    <xf numFmtId="3" fontId="4" fillId="0" borderId="0" xfId="88" applyNumberFormat="1" applyFont="1" applyFill="1" applyAlignment="1">
      <alignment horizontal="center"/>
      <protection/>
    </xf>
    <xf numFmtId="3" fontId="4" fillId="0" borderId="0" xfId="88" applyNumberFormat="1" applyFont="1" applyFill="1" applyAlignment="1">
      <alignment horizontal="center" vertical="center"/>
      <protection/>
    </xf>
    <xf numFmtId="3" fontId="12" fillId="0" borderId="0" xfId="88" applyNumberFormat="1" applyFont="1" applyFill="1" applyAlignment="1">
      <alignment horizontal="right"/>
      <protection/>
    </xf>
    <xf numFmtId="3" fontId="12" fillId="0" borderId="91" xfId="88" applyNumberFormat="1" applyFont="1" applyFill="1" applyBorder="1" applyAlignment="1">
      <alignment horizontal="left" wrapText="1"/>
      <protection/>
    </xf>
    <xf numFmtId="3" fontId="12" fillId="0" borderId="151" xfId="88" applyNumberFormat="1" applyFont="1" applyFill="1" applyBorder="1" applyAlignment="1">
      <alignment horizontal="left" wrapText="1"/>
      <protection/>
    </xf>
    <xf numFmtId="0" fontId="4" fillId="0" borderId="0" xfId="102" applyFont="1" applyFill="1" applyBorder="1" applyAlignment="1">
      <alignment horizontal="left"/>
      <protection/>
    </xf>
    <xf numFmtId="3" fontId="13" fillId="0" borderId="224" xfId="88" applyNumberFormat="1" applyFont="1" applyFill="1" applyBorder="1" applyAlignment="1">
      <alignment horizontal="center" vertical="center" wrapText="1"/>
      <protection/>
    </xf>
    <xf numFmtId="3" fontId="13" fillId="0" borderId="225" xfId="88" applyNumberFormat="1" applyFont="1" applyFill="1" applyBorder="1" applyAlignment="1">
      <alignment horizontal="center" vertical="center" wrapText="1"/>
      <protection/>
    </xf>
    <xf numFmtId="3" fontId="10" fillId="0" borderId="226" xfId="0" applyNumberFormat="1" applyFont="1" applyFill="1" applyBorder="1" applyAlignment="1">
      <alignment horizontal="center" vertical="center"/>
    </xf>
    <xf numFmtId="3" fontId="10" fillId="0" borderId="227" xfId="0" applyNumberFormat="1" applyFont="1" applyFill="1" applyBorder="1" applyAlignment="1">
      <alignment horizontal="center" vertical="center"/>
    </xf>
    <xf numFmtId="3" fontId="10" fillId="0" borderId="224" xfId="88" applyNumberFormat="1" applyFont="1" applyFill="1" applyBorder="1" applyAlignment="1">
      <alignment horizontal="center" vertical="center" wrapText="1"/>
      <protection/>
    </xf>
    <xf numFmtId="3" fontId="10" fillId="0" borderId="225" xfId="88" applyNumberFormat="1" applyFont="1" applyFill="1" applyBorder="1" applyAlignment="1">
      <alignment horizontal="center" vertical="center" wrapText="1"/>
      <protection/>
    </xf>
    <xf numFmtId="3" fontId="10" fillId="0" borderId="228" xfId="88" applyNumberFormat="1" applyFont="1" applyFill="1" applyBorder="1" applyAlignment="1">
      <alignment horizontal="center" vertical="center" textRotation="90"/>
      <protection/>
    </xf>
    <xf numFmtId="3" fontId="10" fillId="0" borderId="229" xfId="88" applyNumberFormat="1" applyFont="1" applyFill="1" applyBorder="1" applyAlignment="1">
      <alignment horizontal="center" vertical="center" textRotation="90"/>
      <protection/>
    </xf>
    <xf numFmtId="3" fontId="10" fillId="0" borderId="224" xfId="88" applyNumberFormat="1" applyFont="1" applyFill="1" applyBorder="1" applyAlignment="1">
      <alignment horizontal="center" vertical="center" textRotation="90"/>
      <protection/>
    </xf>
    <xf numFmtId="3" fontId="10" fillId="0" borderId="225" xfId="88" applyNumberFormat="1" applyFont="1" applyFill="1" applyBorder="1" applyAlignment="1">
      <alignment horizontal="center" vertical="center" textRotation="90"/>
      <protection/>
    </xf>
    <xf numFmtId="3" fontId="10" fillId="0" borderId="230" xfId="88" applyNumberFormat="1" applyFont="1" applyFill="1" applyBorder="1" applyAlignment="1">
      <alignment horizontal="center" vertical="center" wrapText="1"/>
      <protection/>
    </xf>
    <xf numFmtId="3" fontId="10" fillId="0" borderId="231" xfId="88" applyNumberFormat="1" applyFont="1" applyFill="1" applyBorder="1" applyAlignment="1">
      <alignment horizontal="center" vertical="center" wrapText="1"/>
      <protection/>
    </xf>
    <xf numFmtId="0" fontId="13" fillId="0" borderId="224" xfId="88" applyFont="1" applyFill="1" applyBorder="1" applyAlignment="1">
      <alignment horizontal="center" vertical="center" wrapText="1"/>
      <protection/>
    </xf>
    <xf numFmtId="0" fontId="13" fillId="0" borderId="225" xfId="88" applyFont="1" applyFill="1" applyBorder="1" applyAlignment="1">
      <alignment horizontal="center" vertical="center" wrapText="1"/>
      <protection/>
    </xf>
    <xf numFmtId="3" fontId="10" fillId="0" borderId="219" xfId="0" applyNumberFormat="1" applyFont="1" applyFill="1" applyBorder="1" applyAlignment="1">
      <alignment horizontal="center" vertical="center" textRotation="90" wrapText="1"/>
    </xf>
    <xf numFmtId="0" fontId="10" fillId="0" borderId="220" xfId="0" applyFont="1" applyFill="1" applyBorder="1" applyAlignment="1">
      <alignment horizontal="center" vertical="center" textRotation="90" wrapText="1"/>
    </xf>
    <xf numFmtId="3" fontId="12" fillId="0" borderId="92" xfId="0" applyNumberFormat="1" applyFont="1" applyFill="1" applyBorder="1" applyAlignment="1">
      <alignment horizontal="left" wrapText="1"/>
    </xf>
    <xf numFmtId="3" fontId="12" fillId="0" borderId="208" xfId="0" applyNumberFormat="1" applyFont="1" applyFill="1" applyBorder="1" applyAlignment="1">
      <alignment horizontal="left" wrapText="1"/>
    </xf>
    <xf numFmtId="3" fontId="12" fillId="0" borderId="232" xfId="0" applyNumberFormat="1" applyFont="1" applyFill="1" applyBorder="1" applyAlignment="1">
      <alignment horizontal="left" wrapText="1"/>
    </xf>
    <xf numFmtId="3" fontId="12" fillId="0" borderId="33" xfId="0" applyNumberFormat="1" applyFont="1" applyFill="1" applyBorder="1" applyAlignment="1">
      <alignment horizontal="left" wrapText="1"/>
    </xf>
    <xf numFmtId="3" fontId="12" fillId="0" borderId="132" xfId="88" applyNumberFormat="1" applyFont="1" applyFill="1" applyBorder="1" applyAlignment="1">
      <alignment horizontal="left" wrapText="1"/>
      <protection/>
    </xf>
    <xf numFmtId="0" fontId="0" fillId="0" borderId="162" xfId="0" applyFill="1" applyBorder="1" applyAlignment="1">
      <alignment horizontal="left" wrapText="1"/>
    </xf>
    <xf numFmtId="0" fontId="0" fillId="0" borderId="233" xfId="0" applyFill="1" applyBorder="1" applyAlignment="1">
      <alignment horizontal="left" wrapText="1"/>
    </xf>
    <xf numFmtId="0" fontId="12" fillId="0" borderId="0" xfId="88" applyFont="1" applyFill="1" applyBorder="1" applyAlignment="1">
      <alignment horizontal="right" wrapText="1"/>
      <protection/>
    </xf>
    <xf numFmtId="0" fontId="4" fillId="0" borderId="234" xfId="88" applyFont="1" applyFill="1" applyBorder="1" applyAlignment="1">
      <alignment horizontal="center" vertical="center" wrapText="1"/>
      <protection/>
    </xf>
    <xf numFmtId="0" fontId="4" fillId="0" borderId="235" xfId="88" applyFont="1" applyFill="1" applyBorder="1" applyAlignment="1">
      <alignment horizontal="center" vertical="center" wrapText="1"/>
      <protection/>
    </xf>
    <xf numFmtId="3" fontId="2" fillId="0" borderId="209" xfId="0" applyNumberFormat="1" applyFont="1" applyFill="1" applyBorder="1" applyAlignment="1">
      <alignment horizontal="center" vertical="center" wrapText="1"/>
    </xf>
    <xf numFmtId="3" fontId="2" fillId="0" borderId="236" xfId="0" applyNumberFormat="1" applyFont="1" applyFill="1" applyBorder="1" applyAlignment="1">
      <alignment horizontal="center" vertical="center" wrapText="1"/>
    </xf>
    <xf numFmtId="3" fontId="13" fillId="0" borderId="0" xfId="88" applyNumberFormat="1" applyFont="1" applyFill="1" applyAlignment="1">
      <alignment horizontal="center" vertical="center" wrapText="1"/>
      <protection/>
    </xf>
    <xf numFmtId="3" fontId="13" fillId="0" borderId="180" xfId="90" applyNumberFormat="1" applyFont="1" applyFill="1" applyBorder="1" applyAlignment="1">
      <alignment horizontal="center" vertical="center" wrapText="1"/>
      <protection/>
    </xf>
    <xf numFmtId="3" fontId="13" fillId="0" borderId="78" xfId="90" applyNumberFormat="1" applyFont="1" applyFill="1" applyBorder="1" applyAlignment="1">
      <alignment horizontal="center" vertical="center" wrapText="1"/>
      <protection/>
    </xf>
    <xf numFmtId="3" fontId="13" fillId="0" borderId="237" xfId="90" applyNumberFormat="1" applyFont="1" applyFill="1" applyBorder="1" applyAlignment="1">
      <alignment horizontal="center" vertical="center" wrapText="1"/>
      <protection/>
    </xf>
    <xf numFmtId="0" fontId="4" fillId="0" borderId="0" xfId="101" applyFont="1" applyFill="1" applyBorder="1" applyAlignment="1">
      <alignment horizontal="center"/>
      <protection/>
    </xf>
    <xf numFmtId="0" fontId="4" fillId="0" borderId="0" xfId="102" applyFont="1" applyFill="1" applyBorder="1" applyAlignment="1">
      <alignment horizontal="center" vertical="center"/>
      <protection/>
    </xf>
    <xf numFmtId="3" fontId="10" fillId="0" borderId="238" xfId="88" applyNumberFormat="1" applyFont="1" applyFill="1" applyBorder="1" applyAlignment="1">
      <alignment horizontal="center" vertical="center" textRotation="90"/>
      <protection/>
    </xf>
    <xf numFmtId="3" fontId="10" fillId="0" borderId="239" xfId="88" applyNumberFormat="1" applyFont="1" applyFill="1" applyBorder="1" applyAlignment="1">
      <alignment horizontal="center" vertical="center" textRotation="90"/>
      <protection/>
    </xf>
    <xf numFmtId="3" fontId="10" fillId="0" borderId="240" xfId="88" applyNumberFormat="1" applyFont="1" applyFill="1" applyBorder="1" applyAlignment="1">
      <alignment horizontal="center" vertical="center" textRotation="90"/>
      <protection/>
    </xf>
    <xf numFmtId="3" fontId="10" fillId="0" borderId="241" xfId="88" applyNumberFormat="1" applyFont="1" applyFill="1" applyBorder="1" applyAlignment="1">
      <alignment horizontal="center" vertical="center" textRotation="90"/>
      <protection/>
    </xf>
    <xf numFmtId="3" fontId="10" fillId="0" borderId="140" xfId="88" applyNumberFormat="1" applyFont="1" applyFill="1" applyBorder="1" applyAlignment="1">
      <alignment horizontal="center" vertical="center" textRotation="90"/>
      <protection/>
    </xf>
    <xf numFmtId="3" fontId="10" fillId="0" borderId="38" xfId="88" applyNumberFormat="1" applyFont="1" applyFill="1" applyBorder="1" applyAlignment="1">
      <alignment horizontal="center" vertical="center" textRotation="90"/>
      <protection/>
    </xf>
    <xf numFmtId="0" fontId="13" fillId="0" borderId="190" xfId="101" applyFont="1" applyFill="1" applyBorder="1" applyAlignment="1">
      <alignment horizontal="center" vertical="center" wrapText="1"/>
      <protection/>
    </xf>
    <xf numFmtId="0" fontId="13" fillId="0" borderId="139" xfId="101" applyFont="1" applyFill="1" applyBorder="1" applyAlignment="1">
      <alignment horizontal="center" vertical="center" wrapText="1"/>
      <protection/>
    </xf>
    <xf numFmtId="0" fontId="13" fillId="0" borderId="144" xfId="101" applyFont="1" applyFill="1" applyBorder="1" applyAlignment="1">
      <alignment horizontal="center" vertical="center" wrapText="1"/>
      <protection/>
    </xf>
    <xf numFmtId="3" fontId="10" fillId="0" borderId="241" xfId="101" applyNumberFormat="1" applyFont="1" applyFill="1" applyBorder="1" applyAlignment="1">
      <alignment horizontal="center" vertical="center" wrapText="1"/>
      <protection/>
    </xf>
    <xf numFmtId="3" fontId="10" fillId="0" borderId="140" xfId="101" applyNumberFormat="1" applyFont="1" applyFill="1" applyBorder="1" applyAlignment="1">
      <alignment horizontal="center" vertical="center" wrapText="1"/>
      <protection/>
    </xf>
    <xf numFmtId="3" fontId="10" fillId="0" borderId="38" xfId="101" applyNumberFormat="1" applyFont="1" applyFill="1" applyBorder="1" applyAlignment="1">
      <alignment horizontal="center" vertical="center" wrapText="1"/>
      <protection/>
    </xf>
    <xf numFmtId="3" fontId="10" fillId="0" borderId="55" xfId="101" applyNumberFormat="1" applyFont="1" applyFill="1" applyBorder="1" applyAlignment="1">
      <alignment horizontal="center" vertical="center" wrapText="1"/>
      <protection/>
    </xf>
    <xf numFmtId="3" fontId="10" fillId="0" borderId="59" xfId="101" applyNumberFormat="1" applyFont="1" applyFill="1" applyBorder="1" applyAlignment="1">
      <alignment horizontal="center" vertical="center" wrapText="1"/>
      <protection/>
    </xf>
    <xf numFmtId="3" fontId="10" fillId="0" borderId="242" xfId="101" applyNumberFormat="1" applyFont="1" applyFill="1" applyBorder="1" applyAlignment="1">
      <alignment horizontal="center" vertical="center" wrapText="1"/>
      <protection/>
    </xf>
    <xf numFmtId="0" fontId="10" fillId="0" borderId="243" xfId="101" applyFont="1" applyFill="1" applyBorder="1" applyAlignment="1">
      <alignment horizontal="center" vertical="center" textRotation="90" wrapText="1"/>
      <protection/>
    </xf>
    <xf numFmtId="0" fontId="10" fillId="0" borderId="244" xfId="101" applyFont="1" applyFill="1" applyBorder="1" applyAlignment="1">
      <alignment horizontal="center" vertical="center" textRotation="90" wrapText="1"/>
      <protection/>
    </xf>
    <xf numFmtId="0" fontId="10" fillId="0" borderId="39" xfId="101" applyFont="1" applyFill="1" applyBorder="1" applyAlignment="1">
      <alignment horizontal="center" vertical="center" textRotation="90" wrapText="1"/>
      <protection/>
    </xf>
    <xf numFmtId="3" fontId="13" fillId="0" borderId="219" xfId="101" applyNumberFormat="1" applyFont="1" applyFill="1" applyBorder="1" applyAlignment="1">
      <alignment horizontal="center" vertical="center" wrapText="1"/>
      <protection/>
    </xf>
    <xf numFmtId="3" fontId="13" fillId="0" borderId="190" xfId="101" applyNumberFormat="1" applyFont="1" applyFill="1" applyBorder="1" applyAlignment="1">
      <alignment horizontal="center" vertical="center" wrapText="1"/>
      <protection/>
    </xf>
    <xf numFmtId="3" fontId="13" fillId="0" borderId="216" xfId="101" applyNumberFormat="1" applyFont="1" applyFill="1" applyBorder="1" applyAlignment="1">
      <alignment horizontal="center" vertical="center" wrapText="1"/>
      <protection/>
    </xf>
    <xf numFmtId="3" fontId="10" fillId="0" borderId="177" xfId="101" applyNumberFormat="1" applyFont="1" applyFill="1" applyBorder="1" applyAlignment="1">
      <alignment horizontal="center" vertical="center" wrapText="1"/>
      <protection/>
    </xf>
    <xf numFmtId="3" fontId="10" fillId="0" borderId="178" xfId="101" applyNumberFormat="1" applyFont="1" applyFill="1" applyBorder="1" applyAlignment="1">
      <alignment horizontal="center" vertical="center" wrapText="1"/>
      <protection/>
    </xf>
    <xf numFmtId="3" fontId="10" fillId="0" borderId="202" xfId="101" applyNumberFormat="1" applyFont="1" applyFill="1" applyBorder="1" applyAlignment="1">
      <alignment horizontal="center" vertical="center" wrapText="1"/>
      <protection/>
    </xf>
    <xf numFmtId="3" fontId="10" fillId="0" borderId="160" xfId="101" applyNumberFormat="1" applyFont="1" applyFill="1" applyBorder="1" applyAlignment="1">
      <alignment horizontal="center" vertical="center" wrapText="1"/>
      <protection/>
    </xf>
    <xf numFmtId="3" fontId="13" fillId="0" borderId="245" xfId="101" applyNumberFormat="1" applyFont="1" applyFill="1" applyBorder="1" applyAlignment="1">
      <alignment horizontal="center" vertical="center" wrapText="1"/>
      <protection/>
    </xf>
    <xf numFmtId="3" fontId="13" fillId="0" borderId="246" xfId="101" applyNumberFormat="1" applyFont="1" applyFill="1" applyBorder="1" applyAlignment="1">
      <alignment horizontal="center" vertical="center" wrapText="1"/>
      <protection/>
    </xf>
    <xf numFmtId="3" fontId="13" fillId="0" borderId="211" xfId="90" applyNumberFormat="1" applyFont="1" applyFill="1" applyBorder="1" applyAlignment="1">
      <alignment horizontal="center" vertical="center" wrapText="1"/>
      <protection/>
    </xf>
    <xf numFmtId="3" fontId="13" fillId="0" borderId="212" xfId="90" applyNumberFormat="1" applyFont="1" applyFill="1" applyBorder="1" applyAlignment="1">
      <alignment horizontal="center" vertical="center" wrapText="1"/>
      <protection/>
    </xf>
    <xf numFmtId="3" fontId="13" fillId="0" borderId="247" xfId="90" applyNumberFormat="1" applyFont="1" applyFill="1" applyBorder="1" applyAlignment="1">
      <alignment horizontal="center" vertical="center" wrapText="1"/>
      <protection/>
    </xf>
    <xf numFmtId="3" fontId="13" fillId="0" borderId="78" xfId="101" applyNumberFormat="1" applyFont="1" applyFill="1" applyBorder="1" applyAlignment="1">
      <alignment horizontal="center" vertical="center" wrapText="1"/>
      <protection/>
    </xf>
    <xf numFmtId="3" fontId="13" fillId="0" borderId="237" xfId="101" applyNumberFormat="1" applyFont="1" applyFill="1" applyBorder="1" applyAlignment="1">
      <alignment horizontal="center" vertical="center" wrapText="1"/>
      <protection/>
    </xf>
    <xf numFmtId="0" fontId="26" fillId="0" borderId="33" xfId="101" applyFont="1" applyFill="1" applyBorder="1" applyAlignment="1">
      <alignment horizontal="left" wrapText="1"/>
      <protection/>
    </xf>
    <xf numFmtId="0" fontId="26" fillId="0" borderId="91" xfId="101" applyFont="1" applyFill="1" applyBorder="1" applyAlignment="1">
      <alignment horizontal="left" wrapText="1"/>
      <protection/>
    </xf>
    <xf numFmtId="0" fontId="26" fillId="0" borderId="80" xfId="101" applyFont="1" applyFill="1" applyBorder="1" applyAlignment="1">
      <alignment horizontal="left" wrapText="1"/>
      <protection/>
    </xf>
    <xf numFmtId="3" fontId="2" fillId="0" borderId="197" xfId="101" applyNumberFormat="1" applyFont="1" applyFill="1" applyBorder="1" applyAlignment="1">
      <alignment horizontal="center" vertical="center" wrapText="1"/>
      <protection/>
    </xf>
    <xf numFmtId="3" fontId="4" fillId="0" borderId="248" xfId="101" applyNumberFormat="1" applyFont="1" applyFill="1" applyBorder="1" applyAlignment="1">
      <alignment horizontal="center" vertical="center" wrapText="1"/>
      <protection/>
    </xf>
    <xf numFmtId="3" fontId="4" fillId="0" borderId="246" xfId="101" applyNumberFormat="1" applyFont="1" applyFill="1" applyBorder="1" applyAlignment="1">
      <alignment horizontal="center" vertical="center" wrapText="1"/>
      <protection/>
    </xf>
    <xf numFmtId="3" fontId="86" fillId="0" borderId="48" xfId="88" applyNumberFormat="1" applyFont="1" applyFill="1" applyBorder="1" applyAlignment="1">
      <alignment horizontal="left" wrapText="1"/>
      <protection/>
    </xf>
    <xf numFmtId="3" fontId="86" fillId="0" borderId="90" xfId="88" applyNumberFormat="1" applyFont="1" applyFill="1" applyBorder="1" applyAlignment="1">
      <alignment horizontal="left" wrapText="1"/>
      <protection/>
    </xf>
    <xf numFmtId="3" fontId="86" fillId="0" borderId="249" xfId="88" applyNumberFormat="1" applyFont="1" applyFill="1" applyBorder="1" applyAlignment="1">
      <alignment horizontal="left" wrapText="1"/>
      <protection/>
    </xf>
    <xf numFmtId="0" fontId="0" fillId="0" borderId="162" xfId="0" applyBorder="1" applyAlignment="1">
      <alignment horizontal="left" wrapText="1"/>
    </xf>
    <xf numFmtId="0" fontId="0" fillId="0" borderId="233" xfId="0" applyBorder="1" applyAlignment="1">
      <alignment horizontal="left" wrapText="1"/>
    </xf>
    <xf numFmtId="3" fontId="4" fillId="0" borderId="211" xfId="90" applyNumberFormat="1" applyFont="1" applyFill="1" applyBorder="1" applyAlignment="1">
      <alignment horizontal="center" vertical="center" wrapText="1"/>
      <protection/>
    </xf>
    <xf numFmtId="3" fontId="4" fillId="0" borderId="212" xfId="90" applyNumberFormat="1" applyFont="1" applyFill="1" applyBorder="1" applyAlignment="1">
      <alignment horizontal="center" vertical="center" wrapText="1"/>
      <protection/>
    </xf>
    <xf numFmtId="3" fontId="4" fillId="0" borderId="247" xfId="90" applyNumberFormat="1" applyFont="1" applyFill="1" applyBorder="1" applyAlignment="1">
      <alignment horizontal="center" vertical="center" wrapText="1"/>
      <protection/>
    </xf>
    <xf numFmtId="3" fontId="2" fillId="0" borderId="241" xfId="88" applyNumberFormat="1" applyFont="1" applyFill="1" applyBorder="1" applyAlignment="1">
      <alignment horizontal="center" vertical="center" textRotation="90"/>
      <protection/>
    </xf>
    <xf numFmtId="3" fontId="2" fillId="0" borderId="140" xfId="88" applyNumberFormat="1" applyFont="1" applyFill="1" applyBorder="1" applyAlignment="1">
      <alignment horizontal="center" vertical="center" textRotation="90"/>
      <protection/>
    </xf>
    <xf numFmtId="3" fontId="2" fillId="0" borderId="38" xfId="88" applyNumberFormat="1" applyFont="1" applyFill="1" applyBorder="1" applyAlignment="1">
      <alignment horizontal="center" vertical="center" textRotation="90"/>
      <protection/>
    </xf>
    <xf numFmtId="0" fontId="2" fillId="0" borderId="0" xfId="101" applyFont="1" applyFill="1" applyBorder="1" applyAlignment="1">
      <alignment horizontal="center"/>
      <protection/>
    </xf>
    <xf numFmtId="3" fontId="2" fillId="0" borderId="238" xfId="88" applyNumberFormat="1" applyFont="1" applyFill="1" applyBorder="1" applyAlignment="1">
      <alignment horizontal="center" vertical="center" textRotation="90"/>
      <protection/>
    </xf>
    <xf numFmtId="3" fontId="2" fillId="0" borderId="239" xfId="88" applyNumberFormat="1" applyFont="1" applyFill="1" applyBorder="1" applyAlignment="1">
      <alignment horizontal="center" vertical="center" textRotation="90"/>
      <protection/>
    </xf>
    <xf numFmtId="3" fontId="2" fillId="0" borderId="240" xfId="88" applyNumberFormat="1" applyFont="1" applyFill="1" applyBorder="1" applyAlignment="1">
      <alignment horizontal="center" vertical="center" textRotation="90"/>
      <protection/>
    </xf>
    <xf numFmtId="3" fontId="2" fillId="0" borderId="241" xfId="101" applyNumberFormat="1" applyFont="1" applyFill="1" applyBorder="1" applyAlignment="1">
      <alignment horizontal="center" vertical="center" wrapText="1"/>
      <protection/>
    </xf>
    <xf numFmtId="3" fontId="2" fillId="0" borderId="140" xfId="101" applyNumberFormat="1" applyFont="1" applyFill="1" applyBorder="1" applyAlignment="1">
      <alignment horizontal="center" vertical="center" wrapText="1"/>
      <protection/>
    </xf>
    <xf numFmtId="3" fontId="2" fillId="0" borderId="38" xfId="101" applyNumberFormat="1" applyFont="1" applyFill="1" applyBorder="1" applyAlignment="1">
      <alignment horizontal="center" vertical="center" wrapText="1"/>
      <protection/>
    </xf>
    <xf numFmtId="0" fontId="4" fillId="0" borderId="0" xfId="102" applyFont="1" applyFill="1" applyBorder="1" applyAlignment="1">
      <alignment horizontal="center"/>
      <protection/>
    </xf>
    <xf numFmtId="0" fontId="2" fillId="0" borderId="190" xfId="101" applyFont="1" applyFill="1" applyBorder="1" applyAlignment="1">
      <alignment horizontal="center" vertical="center"/>
      <protection/>
    </xf>
    <xf numFmtId="0" fontId="2" fillId="0" borderId="139" xfId="101" applyFont="1" applyFill="1" applyBorder="1" applyAlignment="1">
      <alignment horizontal="center" vertical="center"/>
      <protection/>
    </xf>
    <xf numFmtId="0" fontId="2" fillId="0" borderId="144" xfId="101" applyFont="1" applyFill="1" applyBorder="1" applyAlignment="1">
      <alignment horizontal="center" vertical="center"/>
      <protection/>
    </xf>
    <xf numFmtId="3" fontId="2" fillId="0" borderId="55" xfId="101" applyNumberFormat="1" applyFont="1" applyFill="1" applyBorder="1" applyAlignment="1">
      <alignment horizontal="center" vertical="center" wrapText="1"/>
      <protection/>
    </xf>
    <xf numFmtId="3" fontId="2" fillId="0" borderId="59" xfId="101" applyNumberFormat="1" applyFont="1" applyFill="1" applyBorder="1" applyAlignment="1">
      <alignment horizontal="center" vertical="center" wrapText="1"/>
      <protection/>
    </xf>
    <xf numFmtId="3" fontId="2" fillId="0" borderId="242" xfId="101" applyNumberFormat="1" applyFont="1" applyFill="1" applyBorder="1" applyAlignment="1">
      <alignment horizontal="center" vertical="center" wrapText="1"/>
      <protection/>
    </xf>
    <xf numFmtId="3" fontId="2" fillId="0" borderId="54" xfId="101" applyNumberFormat="1" applyFont="1" applyFill="1" applyBorder="1" applyAlignment="1">
      <alignment horizontal="center" vertical="center" wrapText="1"/>
      <protection/>
    </xf>
    <xf numFmtId="3" fontId="2" fillId="0" borderId="250" xfId="101" applyNumberFormat="1" applyFont="1" applyFill="1" applyBorder="1" applyAlignment="1">
      <alignment horizontal="center" vertical="center" wrapText="1"/>
      <protection/>
    </xf>
    <xf numFmtId="3" fontId="2" fillId="0" borderId="177" xfId="101" applyNumberFormat="1" applyFont="1" applyFill="1" applyBorder="1" applyAlignment="1">
      <alignment horizontal="center" vertical="center" wrapText="1"/>
      <protection/>
    </xf>
    <xf numFmtId="3" fontId="2" fillId="0" borderId="178" xfId="101" applyNumberFormat="1" applyFont="1" applyFill="1" applyBorder="1" applyAlignment="1">
      <alignment horizontal="center" vertical="center" wrapText="1"/>
      <protection/>
    </xf>
    <xf numFmtId="3" fontId="2" fillId="0" borderId="202" xfId="101" applyNumberFormat="1" applyFont="1" applyFill="1" applyBorder="1" applyAlignment="1">
      <alignment horizontal="center" vertical="center" wrapText="1"/>
      <protection/>
    </xf>
    <xf numFmtId="3" fontId="2" fillId="0" borderId="251" xfId="101" applyNumberFormat="1" applyFont="1" applyFill="1" applyBorder="1" applyAlignment="1">
      <alignment horizontal="center" vertical="center" wrapText="1"/>
      <protection/>
    </xf>
    <xf numFmtId="3" fontId="2" fillId="0" borderId="192" xfId="101" applyNumberFormat="1" applyFont="1" applyFill="1" applyBorder="1" applyAlignment="1">
      <alignment horizontal="center" vertical="center" wrapText="1"/>
      <protection/>
    </xf>
    <xf numFmtId="3" fontId="2" fillId="0" borderId="252" xfId="101" applyNumberFormat="1" applyFont="1" applyFill="1" applyBorder="1" applyAlignment="1">
      <alignment horizontal="center" vertical="center" wrapText="1"/>
      <protection/>
    </xf>
    <xf numFmtId="0" fontId="44" fillId="0" borderId="33" xfId="0" applyFont="1" applyFill="1" applyBorder="1" applyAlignment="1">
      <alignment horizontal="left" wrapText="1" shrinkToFit="1"/>
    </xf>
    <xf numFmtId="0" fontId="44" fillId="0" borderId="91" xfId="0" applyFont="1" applyFill="1" applyBorder="1" applyAlignment="1">
      <alignment horizontal="left" wrapText="1" shrinkToFit="1"/>
    </xf>
    <xf numFmtId="0" fontId="44" fillId="0" borderId="80" xfId="0" applyFont="1" applyFill="1" applyBorder="1" applyAlignment="1">
      <alignment horizontal="left" wrapText="1" shrinkToFit="1"/>
    </xf>
    <xf numFmtId="0" fontId="2" fillId="0" borderId="33" xfId="0" applyFont="1" applyFill="1" applyBorder="1" applyAlignment="1">
      <alignment horizontal="left" shrinkToFit="1"/>
    </xf>
    <xf numFmtId="0" fontId="2" fillId="0" borderId="91" xfId="0" applyFont="1" applyFill="1" applyBorder="1" applyAlignment="1">
      <alignment horizontal="left" shrinkToFit="1"/>
    </xf>
    <xf numFmtId="0" fontId="2" fillId="0" borderId="80" xfId="0" applyFont="1" applyFill="1" applyBorder="1" applyAlignment="1">
      <alignment horizontal="left" shrinkToFit="1"/>
    </xf>
    <xf numFmtId="0" fontId="48" fillId="0" borderId="33" xfId="0" applyFont="1" applyFill="1" applyBorder="1" applyAlignment="1">
      <alignment horizontal="left" wrapText="1" shrinkToFit="1"/>
    </xf>
    <xf numFmtId="0" fontId="48" fillId="0" borderId="91" xfId="0" applyFont="1" applyFill="1" applyBorder="1" applyAlignment="1">
      <alignment horizontal="left" wrapText="1" shrinkToFit="1"/>
    </xf>
    <xf numFmtId="0" fontId="48" fillId="0" borderId="80" xfId="0" applyFont="1" applyFill="1" applyBorder="1" applyAlignment="1">
      <alignment horizontal="left" wrapText="1" shrinkToFit="1"/>
    </xf>
    <xf numFmtId="0" fontId="2" fillId="0" borderId="33" xfId="90" applyFont="1" applyFill="1" applyBorder="1" applyAlignment="1">
      <alignment horizontal="left" wrapText="1"/>
      <protection/>
    </xf>
    <xf numFmtId="0" fontId="2" fillId="0" borderId="91" xfId="90" applyFont="1" applyFill="1" applyBorder="1" applyAlignment="1">
      <alignment horizontal="left" wrapText="1"/>
      <protection/>
    </xf>
    <xf numFmtId="0" fontId="2" fillId="0" borderId="151" xfId="90" applyFont="1" applyFill="1" applyBorder="1" applyAlignment="1">
      <alignment horizontal="left" wrapText="1"/>
      <protection/>
    </xf>
    <xf numFmtId="3" fontId="4" fillId="0" borderId="15" xfId="91" applyNumberFormat="1" applyFont="1" applyBorder="1" applyAlignment="1">
      <alignment horizontal="center" vertical="center"/>
      <protection/>
    </xf>
    <xf numFmtId="3" fontId="4" fillId="0" borderId="16" xfId="91" applyNumberFormat="1" applyFont="1" applyBorder="1" applyAlignment="1">
      <alignment horizontal="center" vertical="center"/>
      <protection/>
    </xf>
    <xf numFmtId="0" fontId="2" fillId="0" borderId="0" xfId="0" applyFont="1" applyAlignment="1">
      <alignment horizontal="left" vertical="center"/>
    </xf>
    <xf numFmtId="3" fontId="4" fillId="0" borderId="0" xfId="91" applyNumberFormat="1" applyFont="1" applyAlignment="1">
      <alignment horizontal="center"/>
      <protection/>
    </xf>
    <xf numFmtId="3" fontId="12" fillId="0" borderId="0" xfId="91" applyNumberFormat="1" applyFont="1" applyBorder="1" applyAlignment="1">
      <alignment horizontal="right"/>
      <protection/>
    </xf>
    <xf numFmtId="3" fontId="17" fillId="28" borderId="137" xfId="91" applyNumberFormat="1" applyFont="1" applyFill="1" applyBorder="1" applyAlignment="1">
      <alignment horizontal="center" vertical="center" wrapText="1"/>
      <protection/>
    </xf>
    <xf numFmtId="3" fontId="17" fillId="28" borderId="94" xfId="91" applyNumberFormat="1" applyFont="1" applyFill="1" applyBorder="1" applyAlignment="1">
      <alignment horizontal="center" vertical="center" wrapText="1"/>
      <protection/>
    </xf>
    <xf numFmtId="3" fontId="17" fillId="28" borderId="138" xfId="91" applyNumberFormat="1" applyFont="1" applyFill="1" applyBorder="1" applyAlignment="1">
      <alignment horizontal="center" vertical="center" wrapText="1"/>
      <protection/>
    </xf>
    <xf numFmtId="3" fontId="2" fillId="0" borderId="0" xfId="91" applyNumberFormat="1" applyFont="1" applyAlignment="1">
      <alignment horizontal="left" wrapText="1"/>
      <protection/>
    </xf>
    <xf numFmtId="3" fontId="2" fillId="0" borderId="243" xfId="91" applyNumberFormat="1" applyFont="1" applyBorder="1" applyAlignment="1">
      <alignment horizontal="center" vertical="center" wrapText="1"/>
      <protection/>
    </xf>
    <xf numFmtId="3" fontId="2" fillId="0" borderId="241" xfId="91" applyNumberFormat="1" applyFont="1" applyBorder="1" applyAlignment="1">
      <alignment horizontal="center" vertical="center" wrapText="1"/>
      <protection/>
    </xf>
    <xf numFmtId="3" fontId="2" fillId="0" borderId="244" xfId="91" applyNumberFormat="1" applyFont="1" applyBorder="1" applyAlignment="1">
      <alignment horizontal="center" vertical="center" wrapText="1"/>
      <protection/>
    </xf>
    <xf numFmtId="3" fontId="2" fillId="0" borderId="140" xfId="91" applyNumberFormat="1" applyFont="1" applyBorder="1" applyAlignment="1">
      <alignment horizontal="center" vertical="center" wrapText="1"/>
      <protection/>
    </xf>
    <xf numFmtId="3" fontId="2" fillId="0" borderId="55" xfId="91" applyNumberFormat="1" applyFont="1" applyBorder="1" applyAlignment="1">
      <alignment horizontal="center" vertical="center" wrapText="1"/>
      <protection/>
    </xf>
    <xf numFmtId="3" fontId="2" fillId="0" borderId="59" xfId="91" applyNumberFormat="1" applyFont="1" applyBorder="1" applyAlignment="1">
      <alignment horizontal="center" vertical="center" wrapText="1"/>
      <protection/>
    </xf>
    <xf numFmtId="3" fontId="2" fillId="0" borderId="242" xfId="91" applyNumberFormat="1" applyFont="1" applyBorder="1" applyAlignment="1">
      <alignment horizontal="center" vertical="center" wrapText="1"/>
      <protection/>
    </xf>
    <xf numFmtId="3" fontId="2" fillId="0" borderId="253" xfId="91" applyNumberFormat="1" applyFont="1" applyBorder="1" applyAlignment="1">
      <alignment horizontal="center" vertical="center" wrapText="1"/>
      <protection/>
    </xf>
    <xf numFmtId="3" fontId="2" fillId="0" borderId="254" xfId="91" applyNumberFormat="1" applyFont="1" applyBorder="1" applyAlignment="1">
      <alignment horizontal="center" vertical="center" wrapText="1"/>
      <protection/>
    </xf>
    <xf numFmtId="3" fontId="2" fillId="0" borderId="192" xfId="91" applyNumberFormat="1" applyFont="1" applyFill="1" applyBorder="1" applyAlignment="1">
      <alignment horizontal="center" vertical="center" wrapText="1"/>
      <protection/>
    </xf>
    <xf numFmtId="3" fontId="2" fillId="0" borderId="144" xfId="91" applyNumberFormat="1" applyFont="1" applyFill="1" applyBorder="1" applyAlignment="1">
      <alignment horizontal="center" vertical="center" wrapText="1"/>
      <protection/>
    </xf>
    <xf numFmtId="0" fontId="2" fillId="0" borderId="140" xfId="91" applyNumberFormat="1" applyFont="1" applyBorder="1" applyAlignment="1">
      <alignment horizontal="center" vertical="center" wrapText="1"/>
      <protection/>
    </xf>
    <xf numFmtId="3" fontId="2" fillId="0" borderId="213" xfId="91" applyNumberFormat="1" applyFont="1" applyBorder="1" applyAlignment="1">
      <alignment horizontal="center" vertical="center" textRotation="90" wrapText="1"/>
      <protection/>
    </xf>
    <xf numFmtId="3" fontId="2" fillId="0" borderId="255" xfId="91" applyNumberFormat="1" applyFont="1" applyBorder="1" applyAlignment="1">
      <alignment horizontal="center" vertical="center" textRotation="90" wrapText="1"/>
      <protection/>
    </xf>
    <xf numFmtId="3" fontId="2" fillId="0" borderId="214" xfId="91" applyNumberFormat="1" applyFont="1" applyBorder="1" applyAlignment="1">
      <alignment horizontal="center" vertical="center" textRotation="90" wrapText="1"/>
      <protection/>
    </xf>
    <xf numFmtId="3" fontId="2" fillId="0" borderId="190" xfId="91" applyNumberFormat="1" applyFont="1" applyBorder="1" applyAlignment="1">
      <alignment horizontal="center" vertical="center" textRotation="90" wrapText="1"/>
      <protection/>
    </xf>
    <xf numFmtId="3" fontId="2" fillId="0" borderId="139" xfId="91" applyNumberFormat="1" applyFont="1" applyBorder="1" applyAlignment="1">
      <alignment horizontal="center" vertical="center" textRotation="90" wrapText="1"/>
      <protection/>
    </xf>
    <xf numFmtId="3" fontId="2" fillId="0" borderId="144" xfId="91" applyNumberFormat="1" applyFont="1" applyBorder="1" applyAlignment="1">
      <alignment horizontal="center" vertical="center" textRotation="90" wrapText="1"/>
      <protection/>
    </xf>
    <xf numFmtId="3" fontId="2" fillId="0" borderId="219" xfId="91" applyNumberFormat="1" applyFont="1" applyBorder="1" applyAlignment="1">
      <alignment horizontal="center" vertical="center" wrapText="1"/>
      <protection/>
    </xf>
    <xf numFmtId="3" fontId="2" fillId="0" borderId="67" xfId="91" applyNumberFormat="1" applyFont="1" applyBorder="1" applyAlignment="1">
      <alignment horizontal="center" vertical="center" wrapText="1"/>
      <protection/>
    </xf>
    <xf numFmtId="3" fontId="2" fillId="0" borderId="220" xfId="91" applyNumberFormat="1" applyFont="1" applyBorder="1" applyAlignment="1">
      <alignment horizontal="center" vertical="center" wrapText="1"/>
      <protection/>
    </xf>
    <xf numFmtId="14" fontId="2" fillId="0" borderId="215" xfId="91" applyNumberFormat="1" applyFont="1" applyBorder="1" applyAlignment="1">
      <alignment horizontal="center" vertical="center" wrapText="1"/>
      <protection/>
    </xf>
    <xf numFmtId="14" fontId="2" fillId="0" borderId="57" xfId="91" applyNumberFormat="1" applyFont="1" applyBorder="1" applyAlignment="1">
      <alignment horizontal="center" vertical="center" wrapText="1"/>
      <protection/>
    </xf>
    <xf numFmtId="14" fontId="2" fillId="0" borderId="76" xfId="91" applyNumberFormat="1" applyFont="1" applyBorder="1" applyAlignment="1">
      <alignment horizontal="center" vertical="center" wrapText="1"/>
      <protection/>
    </xf>
    <xf numFmtId="3" fontId="2" fillId="0" borderId="54" xfId="91" applyNumberFormat="1" applyFont="1" applyBorder="1" applyAlignment="1">
      <alignment horizontal="center" vertical="center" wrapText="1"/>
      <protection/>
    </xf>
    <xf numFmtId="3" fontId="17" fillId="28" borderId="119" xfId="91" applyNumberFormat="1" applyFont="1" applyFill="1" applyBorder="1" applyAlignment="1">
      <alignment horizontal="center" vertical="center" wrapText="1"/>
      <protection/>
    </xf>
    <xf numFmtId="3" fontId="17" fillId="28" borderId="85" xfId="91" applyNumberFormat="1" applyFont="1" applyFill="1" applyBorder="1" applyAlignment="1">
      <alignment horizontal="center" vertical="center" wrapText="1"/>
      <protection/>
    </xf>
    <xf numFmtId="3" fontId="17" fillId="28" borderId="256" xfId="91" applyNumberFormat="1" applyFont="1" applyFill="1" applyBorder="1" applyAlignment="1">
      <alignment horizontal="center" vertical="center" wrapText="1"/>
      <protection/>
    </xf>
    <xf numFmtId="3" fontId="2" fillId="0" borderId="0" xfId="91" applyNumberFormat="1" applyFont="1" applyBorder="1" applyAlignment="1">
      <alignment horizontal="left" wrapText="1"/>
      <protection/>
    </xf>
    <xf numFmtId="0" fontId="4" fillId="0" borderId="0" xfId="0" applyFont="1" applyAlignment="1">
      <alignment horizontal="center" vertical="center" wrapText="1"/>
    </xf>
    <xf numFmtId="10" fontId="5" fillId="0" borderId="0" xfId="0" applyNumberFormat="1" applyFont="1" applyAlignment="1">
      <alignment horizontal="right" vertical="center"/>
    </xf>
    <xf numFmtId="0" fontId="2" fillId="0" borderId="0" xfId="0" applyFont="1" applyFill="1" applyAlignment="1">
      <alignment horizontal="left" vertical="center"/>
    </xf>
    <xf numFmtId="0" fontId="2" fillId="0" borderId="0" xfId="0" applyFont="1" applyAlignment="1">
      <alignment horizontal="center" vertical="top"/>
    </xf>
    <xf numFmtId="0" fontId="4" fillId="0" borderId="0" xfId="92" applyFont="1" applyAlignment="1">
      <alignment horizontal="center" vertical="center"/>
      <protection/>
    </xf>
    <xf numFmtId="0" fontId="2" fillId="0" borderId="47" xfId="93" applyFont="1" applyBorder="1" applyAlignment="1">
      <alignment horizontal="center"/>
      <protection/>
    </xf>
    <xf numFmtId="0" fontId="2" fillId="0" borderId="257" xfId="92" applyFont="1" applyBorder="1" applyAlignment="1">
      <alignment horizontal="center" vertical="center" wrapText="1"/>
      <protection/>
    </xf>
    <xf numFmtId="0" fontId="2" fillId="0" borderId="258" xfId="92" applyFont="1" applyBorder="1" applyAlignment="1">
      <alignment horizontal="center" vertical="center" wrapText="1"/>
      <protection/>
    </xf>
    <xf numFmtId="0" fontId="2" fillId="0" borderId="0" xfId="0" applyFont="1" applyAlignment="1">
      <alignment horizontal="center" vertical="center"/>
    </xf>
    <xf numFmtId="0" fontId="4" fillId="0" borderId="213" xfId="0" applyFont="1" applyBorder="1" applyAlignment="1">
      <alignment horizontal="center" vertical="center"/>
    </xf>
    <xf numFmtId="0" fontId="4" fillId="0" borderId="255" xfId="0" applyFont="1" applyBorder="1" applyAlignment="1">
      <alignment horizontal="center" vertical="center"/>
    </xf>
    <xf numFmtId="0" fontId="4" fillId="0" borderId="214" xfId="0" applyFont="1" applyBorder="1" applyAlignment="1">
      <alignment horizontal="center" vertical="center"/>
    </xf>
    <xf numFmtId="0" fontId="4" fillId="0" borderId="190" xfId="0" applyFont="1" applyBorder="1" applyAlignment="1">
      <alignment horizontal="center" vertical="center" wrapText="1"/>
    </xf>
    <xf numFmtId="0" fontId="4" fillId="0" borderId="139" xfId="0" applyFont="1" applyBorder="1" applyAlignment="1">
      <alignment horizontal="center" vertical="center" wrapText="1"/>
    </xf>
    <xf numFmtId="0" fontId="4" fillId="0" borderId="144" xfId="0"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xf>
    <xf numFmtId="0" fontId="4" fillId="0" borderId="15" xfId="98" applyFont="1" applyBorder="1" applyAlignment="1">
      <alignment horizontal="center" vertical="center"/>
      <protection/>
    </xf>
    <xf numFmtId="0" fontId="4" fillId="0" borderId="16" xfId="98" applyFont="1" applyBorder="1" applyAlignment="1">
      <alignment horizontal="center" vertical="center"/>
      <protection/>
    </xf>
    <xf numFmtId="0" fontId="4" fillId="0" borderId="259" xfId="98" applyFont="1" applyBorder="1" applyAlignment="1">
      <alignment horizontal="center" vertical="center"/>
      <protection/>
    </xf>
    <xf numFmtId="0" fontId="2" fillId="0" borderId="0" xfId="97" applyFont="1" applyAlignment="1">
      <alignment horizontal="left" vertical="top"/>
      <protection/>
    </xf>
    <xf numFmtId="0" fontId="4" fillId="0" borderId="0" xfId="98" applyFont="1" applyAlignment="1">
      <alignment horizontal="center" vertical="center" wrapText="1"/>
      <protection/>
    </xf>
    <xf numFmtId="0" fontId="2" fillId="0" borderId="0" xfId="98" applyFont="1" applyAlignment="1">
      <alignment vertical="center" wrapText="1"/>
      <protection/>
    </xf>
    <xf numFmtId="0" fontId="4" fillId="0" borderId="0" xfId="98" applyFont="1" applyAlignment="1">
      <alignment horizontal="center" vertical="center"/>
      <protection/>
    </xf>
    <xf numFmtId="0" fontId="2" fillId="0" borderId="0" xfId="98" applyFont="1" applyAlignment="1">
      <alignment vertical="center"/>
      <protection/>
    </xf>
    <xf numFmtId="0" fontId="5" fillId="0" borderId="0" xfId="98" applyFont="1" applyAlignment="1">
      <alignment horizontal="center" vertical="center"/>
      <protection/>
    </xf>
    <xf numFmtId="0" fontId="2" fillId="0" borderId="0" xfId="98" applyFont="1" applyAlignment="1">
      <alignment horizontal="center" vertical="center"/>
      <protection/>
    </xf>
    <xf numFmtId="0" fontId="2" fillId="0" borderId="47" xfId="98" applyFont="1" applyBorder="1" applyAlignment="1">
      <alignment horizontal="center"/>
      <protection/>
    </xf>
    <xf numFmtId="3" fontId="4" fillId="0" borderId="210" xfId="98" applyNumberFormat="1" applyFont="1" applyBorder="1" applyAlignment="1">
      <alignment horizontal="center" vertical="center" wrapText="1"/>
      <protection/>
    </xf>
    <xf numFmtId="0" fontId="2" fillId="0" borderId="160" xfId="98" applyFont="1" applyBorder="1" applyAlignment="1">
      <alignment vertical="center"/>
      <protection/>
    </xf>
    <xf numFmtId="0" fontId="2" fillId="0" borderId="11" xfId="98" applyFont="1" applyBorder="1" applyAlignment="1">
      <alignment vertical="center"/>
      <protection/>
    </xf>
    <xf numFmtId="2" fontId="4" fillId="0" borderId="180" xfId="98" applyNumberFormat="1" applyFont="1" applyBorder="1" applyAlignment="1">
      <alignment horizontal="center" vertical="center" wrapText="1"/>
      <protection/>
    </xf>
    <xf numFmtId="2" fontId="2" fillId="0" borderId="181" xfId="98" applyNumberFormat="1" applyFont="1" applyBorder="1" applyAlignment="1">
      <alignment vertical="center" wrapText="1"/>
      <protection/>
    </xf>
    <xf numFmtId="2" fontId="2" fillId="0" borderId="10" xfId="98" applyNumberFormat="1" applyFont="1" applyBorder="1" applyAlignment="1">
      <alignment vertical="center" wrapText="1"/>
      <protection/>
    </xf>
    <xf numFmtId="2" fontId="2" fillId="0" borderId="113" xfId="98" applyNumberFormat="1" applyFont="1" applyBorder="1" applyAlignment="1">
      <alignment vertical="center" wrapText="1"/>
      <protection/>
    </xf>
    <xf numFmtId="2" fontId="2" fillId="0" borderId="70" xfId="98" applyNumberFormat="1" applyFont="1" applyBorder="1" applyAlignment="1">
      <alignment vertical="center" wrapText="1"/>
      <protection/>
    </xf>
    <xf numFmtId="2" fontId="2" fillId="0" borderId="110" xfId="98" applyNumberFormat="1" applyFont="1" applyBorder="1" applyAlignment="1">
      <alignment vertical="center" wrapText="1"/>
      <protection/>
    </xf>
    <xf numFmtId="165" fontId="2" fillId="0" borderId="210" xfId="98" applyNumberFormat="1" applyFont="1" applyBorder="1" applyAlignment="1">
      <alignment horizontal="center" vertical="center" wrapText="1"/>
      <protection/>
    </xf>
    <xf numFmtId="165" fontId="2" fillId="0" borderId="160" xfId="98" applyNumberFormat="1" applyFont="1" applyBorder="1" applyAlignment="1">
      <alignment horizontal="center" vertical="center" wrapText="1"/>
      <protection/>
    </xf>
    <xf numFmtId="165" fontId="2" fillId="0" borderId="11" xfId="98" applyNumberFormat="1" applyFont="1" applyBorder="1" applyAlignment="1">
      <alignment horizontal="center" vertical="center" wrapText="1"/>
      <protection/>
    </xf>
    <xf numFmtId="3" fontId="2" fillId="0" borderId="210" xfId="98" applyNumberFormat="1" applyFont="1" applyBorder="1" applyAlignment="1">
      <alignment horizontal="center" vertical="center" wrapText="1"/>
      <protection/>
    </xf>
    <xf numFmtId="3" fontId="2" fillId="0" borderId="160" xfId="98" applyNumberFormat="1" applyFont="1" applyBorder="1" applyAlignment="1">
      <alignment horizontal="center" vertical="center" wrapText="1"/>
      <protection/>
    </xf>
    <xf numFmtId="3" fontId="2" fillId="0" borderId="11" xfId="98" applyNumberFormat="1" applyFont="1" applyBorder="1" applyAlignment="1">
      <alignment horizontal="center" vertical="center" wrapText="1"/>
      <protection/>
    </xf>
    <xf numFmtId="0" fontId="2" fillId="0" borderId="57" xfId="98" applyFont="1" applyBorder="1" applyAlignment="1">
      <alignment horizontal="left" vertical="center" wrapText="1" indent="2"/>
      <protection/>
    </xf>
    <xf numFmtId="0" fontId="2" fillId="0" borderId="0" xfId="0" applyFont="1" applyAlignment="1">
      <alignment horizontal="left" vertical="center" wrapText="1" indent="2"/>
    </xf>
    <xf numFmtId="0" fontId="13" fillId="0" borderId="40" xfId="100" applyFont="1" applyBorder="1" applyAlignment="1">
      <alignment horizontal="center" vertical="center"/>
      <protection/>
    </xf>
    <xf numFmtId="0" fontId="13" fillId="0" borderId="44" xfId="100" applyFont="1" applyBorder="1" applyAlignment="1">
      <alignment horizontal="center" vertical="center"/>
      <protection/>
    </xf>
    <xf numFmtId="0" fontId="13" fillId="0" borderId="199" xfId="100" applyFont="1" applyBorder="1" applyAlignment="1">
      <alignment horizontal="center" vertical="center" wrapText="1"/>
      <protection/>
    </xf>
    <xf numFmtId="0" fontId="13" fillId="0" borderId="201" xfId="100" applyFont="1" applyBorder="1" applyAlignment="1">
      <alignment horizontal="center" vertical="center"/>
      <protection/>
    </xf>
    <xf numFmtId="3" fontId="13" fillId="0" borderId="210" xfId="100" applyNumberFormat="1" applyFont="1" applyBorder="1" applyAlignment="1">
      <alignment horizontal="center" vertical="center" wrapText="1"/>
      <protection/>
    </xf>
    <xf numFmtId="3" fontId="13" fillId="0" borderId="11" xfId="100" applyNumberFormat="1" applyFont="1" applyBorder="1" applyAlignment="1">
      <alignment horizontal="center" vertical="center" wrapText="1"/>
      <protection/>
    </xf>
    <xf numFmtId="0" fontId="4" fillId="0" borderId="0" xfId="86" applyFont="1" applyAlignment="1">
      <alignment horizontal="center" vertical="center"/>
      <protection/>
    </xf>
    <xf numFmtId="0" fontId="5" fillId="0" borderId="0" xfId="86" applyFont="1" applyAlignment="1">
      <alignment horizontal="center" vertical="center"/>
      <protection/>
    </xf>
    <xf numFmtId="0" fontId="13" fillId="28" borderId="70" xfId="65" applyFont="1" applyFill="1" applyBorder="1" applyAlignment="1">
      <alignment horizontal="center" vertical="center"/>
      <protection/>
    </xf>
    <xf numFmtId="0" fontId="13" fillId="28" borderId="47" xfId="65" applyFont="1" applyFill="1" applyBorder="1" applyAlignment="1">
      <alignment horizontal="center" vertical="center"/>
      <protection/>
    </xf>
    <xf numFmtId="0" fontId="13" fillId="28" borderId="110" xfId="65" applyFont="1" applyFill="1" applyBorder="1" applyAlignment="1">
      <alignment horizontal="center" vertical="center"/>
      <protection/>
    </xf>
    <xf numFmtId="0" fontId="13" fillId="28" borderId="180" xfId="65" applyFont="1" applyFill="1" applyBorder="1" applyAlignment="1">
      <alignment horizontal="center" vertical="center"/>
      <protection/>
    </xf>
    <xf numFmtId="0" fontId="13" fillId="28" borderId="78" xfId="65" applyFont="1" applyFill="1" applyBorder="1" applyAlignment="1">
      <alignment horizontal="center" vertical="center"/>
      <protection/>
    </xf>
    <xf numFmtId="0" fontId="13" fillId="28" borderId="181" xfId="65" applyFont="1" applyFill="1" applyBorder="1" applyAlignment="1">
      <alignment horizontal="center" vertical="center"/>
      <protection/>
    </xf>
    <xf numFmtId="3" fontId="13" fillId="0" borderId="177" xfId="100" applyNumberFormat="1" applyFont="1" applyBorder="1" applyAlignment="1">
      <alignment horizontal="center" vertical="center" wrapText="1"/>
      <protection/>
    </xf>
    <xf numFmtId="3" fontId="13" fillId="0" borderId="202" xfId="100" applyNumberFormat="1" applyFont="1" applyBorder="1" applyAlignment="1">
      <alignment horizontal="center" vertical="center"/>
      <protection/>
    </xf>
    <xf numFmtId="0" fontId="13" fillId="28" borderId="15" xfId="65" applyFont="1" applyFill="1" applyBorder="1" applyAlignment="1">
      <alignment horizontal="center" vertical="center"/>
      <protection/>
    </xf>
    <xf numFmtId="0" fontId="13" fillId="28" borderId="16" xfId="65" applyFont="1" applyFill="1" applyBorder="1" applyAlignment="1">
      <alignment horizontal="center" vertical="center"/>
      <protection/>
    </xf>
    <xf numFmtId="0" fontId="13" fillId="28" borderId="161" xfId="65" applyFont="1" applyFill="1" applyBorder="1" applyAlignment="1">
      <alignment horizontal="center" vertical="center"/>
      <protection/>
    </xf>
    <xf numFmtId="0" fontId="13" fillId="0" borderId="199" xfId="100" applyFont="1" applyBorder="1" applyAlignment="1">
      <alignment horizontal="center" vertical="center"/>
      <protection/>
    </xf>
    <xf numFmtId="0" fontId="4" fillId="0" borderId="0" xfId="86" applyFont="1" applyAlignment="1">
      <alignment horizontal="center"/>
      <protection/>
    </xf>
  </cellXfs>
  <cellStyles count="100">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Ezres 2" xfId="48"/>
    <cellStyle name="Ezres 3" xfId="49"/>
    <cellStyle name="Ezres 4" xfId="50"/>
    <cellStyle name="Ezres 4 2" xfId="51"/>
    <cellStyle name="Ezres 4 3" xfId="52"/>
    <cellStyle name="Ezres 4 4" xfId="53"/>
    <cellStyle name="Ezres 4 5" xfId="54"/>
    <cellStyle name="Ezres 4 5 2" xfId="55"/>
    <cellStyle name="Ezres 5" xfId="56"/>
    <cellStyle name="Figyelmeztetés" xfId="57"/>
    <cellStyle name="Hivatkozott cella" xfId="58"/>
    <cellStyle name="Jegyzet" xfId="59"/>
    <cellStyle name="Jó" xfId="60"/>
    <cellStyle name="Kimenet" xfId="61"/>
    <cellStyle name="Magyarázó szöveg" xfId="62"/>
    <cellStyle name="Normál 10" xfId="63"/>
    <cellStyle name="Normál 2" xfId="64"/>
    <cellStyle name="Normál 3" xfId="65"/>
    <cellStyle name="Normál 4" xfId="66"/>
    <cellStyle name="Normál 5" xfId="67"/>
    <cellStyle name="Normál 6" xfId="68"/>
    <cellStyle name="Normál 6 2" xfId="69"/>
    <cellStyle name="Normál 6 3" xfId="70"/>
    <cellStyle name="Normál 6 3 2" xfId="71"/>
    <cellStyle name="Normál 6 3 2 2" xfId="72"/>
    <cellStyle name="Normál 6 3 2 3" xfId="73"/>
    <cellStyle name="Normál 6 3 2 3 2" xfId="74"/>
    <cellStyle name="Normál 6 3 2 3 2 2" xfId="75"/>
    <cellStyle name="Normál 6 3 2 4" xfId="76"/>
    <cellStyle name="Normál 6 3 2 5" xfId="77"/>
    <cellStyle name="Normál 7" xfId="78"/>
    <cellStyle name="Normál 8" xfId="79"/>
    <cellStyle name="Normál 8 2" xfId="80"/>
    <cellStyle name="Normál 8 2 2" xfId="81"/>
    <cellStyle name="Normál 8 2 3" xfId="82"/>
    <cellStyle name="Normál 9" xfId="83"/>
    <cellStyle name="Normál 9 2" xfId="84"/>
    <cellStyle name="Normál 9 3" xfId="85"/>
    <cellStyle name="Normál_08_A_rszámadás 6.4. sz. mellékletek vagyonkimutatás 2" xfId="86"/>
    <cellStyle name="Normál_2007.évi konc. összefoglaló bevétel" xfId="87"/>
    <cellStyle name="Normál_2007.évi konc. összefoglaló bevétel 2" xfId="88"/>
    <cellStyle name="Normál_2011koltsegvetes (2) 2" xfId="89"/>
    <cellStyle name="Normál_Beruházási tábla 2007" xfId="90"/>
    <cellStyle name="Normál_EU-s tábla kv-hez_EU projektek tábla" xfId="91"/>
    <cellStyle name="Normál_Hitel tábla 2012 terv" xfId="92"/>
    <cellStyle name="Normál_Hitel tábla 2012 terv (2)" xfId="93"/>
    <cellStyle name="Normál_hitelállomány07_12" xfId="94"/>
    <cellStyle name="Normál_hiteltörl költségvetés 2014" xfId="95"/>
    <cellStyle name="Normál_Intézményi bevétel-kiadás" xfId="96"/>
    <cellStyle name="Normál_Kimutatás Közvetett tám." xfId="97"/>
    <cellStyle name="Normál_Kimutatás Közvetett tám. 2" xfId="98"/>
    <cellStyle name="Normál_minta 2" xfId="99"/>
    <cellStyle name="Normál_vagyonkimutatás" xfId="100"/>
    <cellStyle name="Normál_Városfejlesztési Iroda - 2008. kv. tervezés" xfId="101"/>
    <cellStyle name="Normál_Városfejlesztési Iroda - 2008. kv. tervezés_2014.évi eredeti előirányzat 2" xfId="102"/>
    <cellStyle name="Normál_Városfejlesztési Iroda - 2008. kv. tervezés_Koltsegvetes_modositas_aprilis_tablazatai" xfId="103"/>
    <cellStyle name="Összesen" xfId="104"/>
    <cellStyle name="Currency" xfId="105"/>
    <cellStyle name="Currency [0]" xfId="106"/>
    <cellStyle name="Rossz" xfId="107"/>
    <cellStyle name="Semleges" xfId="108"/>
    <cellStyle name="Számítás" xfId="109"/>
    <cellStyle name="Percent" xfId="110"/>
    <cellStyle name="Százalék 2" xfId="111"/>
    <cellStyle name="Százalék 3" xfId="112"/>
    <cellStyle name="Százalék 3 2" xfId="1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ckert.szilvia\AppData\Local\Microsoft\Windows\INetCache\Content.Outlook\35E9Q1T3\2020.%20&#233;vi_kv_t&#225;bl&#225;zat_szabin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Onbe"/>
      <sheetName val="2.Norm"/>
      <sheetName val="3.Onki"/>
      <sheetName val="4.Inbe"/>
      <sheetName val="5.Inbe"/>
      <sheetName val="6.Inki"/>
      <sheetName val="7.Infelhki"/>
      <sheetName val="8.Önk.műk."/>
      <sheetName val="8.A Alapítv"/>
      <sheetName val="9.Beruh."/>
      <sheetName val="10.Felúj."/>
      <sheetName val="11.Eu.projekt"/>
      <sheetName val="12.MVP és hazai"/>
      <sheetName val="13.EKG"/>
      <sheetName val="14.Mérleg"/>
      <sheetName val="15.Létszám"/>
      <sheetName val="16. Többéves"/>
      <sheetName val="17.Hitel"/>
      <sheetName val="18.A Beruh.hitel"/>
      <sheetName val="19.Projekt"/>
      <sheetName val="20.Közv.tám."/>
      <sheetName val="Diagram1"/>
      <sheetName val="Diagram2"/>
      <sheetName val="Diagram3"/>
      <sheetName val="Diagram4"/>
      <sheetName val="Diagram5"/>
    </sheetNames>
    <sheetDataSet>
      <sheetData sheetId="3">
        <row r="29">
          <cell r="O29">
            <v>1845356</v>
          </cell>
        </row>
        <row r="59">
          <cell r="O59">
            <v>2182328</v>
          </cell>
        </row>
        <row r="63">
          <cell r="O63">
            <v>6363012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V64"/>
  <sheetViews>
    <sheetView tabSelected="1" view="pageBreakPreview" zoomScaleSheetLayoutView="100" zoomScalePageLayoutView="0" workbookViewId="0" topLeftCell="A1">
      <selection activeCell="B1" sqref="B1:L1"/>
    </sheetView>
  </sheetViews>
  <sheetFormatPr defaultColWidth="9.125" defaultRowHeight="12.75"/>
  <cols>
    <col min="1" max="1" width="3.75390625" style="100" customWidth="1"/>
    <col min="2" max="5" width="5.75390625" style="211" customWidth="1"/>
    <col min="6" max="6" width="59.75390625" style="105" customWidth="1"/>
    <col min="7" max="10" width="13.75390625" style="46" customWidth="1"/>
    <col min="11" max="11" width="15.75390625" style="234" customWidth="1"/>
    <col min="12" max="12" width="15.75390625" style="1177" customWidth="1"/>
    <col min="13" max="13" width="15.75390625" style="105" customWidth="1"/>
    <col min="14" max="14" width="16.25390625" style="46" customWidth="1"/>
    <col min="15" max="15" width="14.00390625" style="46" customWidth="1"/>
    <col min="16" max="16384" width="9.125" style="105" customWidth="1"/>
  </cols>
  <sheetData>
    <row r="1" spans="1:13" ht="16.5" customHeight="1">
      <c r="A1" s="1404"/>
      <c r="B1" s="2014" t="s">
        <v>1457</v>
      </c>
      <c r="C1" s="2014"/>
      <c r="D1" s="2014"/>
      <c r="E1" s="2014"/>
      <c r="F1" s="2014"/>
      <c r="G1" s="2014"/>
      <c r="H1" s="2014"/>
      <c r="I1" s="2014"/>
      <c r="J1" s="2014"/>
      <c r="K1" s="2014"/>
      <c r="L1" s="2014"/>
      <c r="M1" s="1471"/>
    </row>
    <row r="2" spans="1:13" ht="17.25">
      <c r="A2" s="1404"/>
      <c r="B2" s="1405"/>
      <c r="C2" s="1405"/>
      <c r="D2" s="1405"/>
      <c r="E2" s="1405"/>
      <c r="F2" s="1405"/>
      <c r="G2" s="1405"/>
      <c r="H2" s="1405"/>
      <c r="I2" s="1405"/>
      <c r="J2" s="1405"/>
      <c r="K2" s="1405"/>
      <c r="L2" s="1994"/>
      <c r="M2" s="1472"/>
    </row>
    <row r="3" spans="1:15" s="19" customFormat="1" ht="24.75" customHeight="1">
      <c r="A3" s="100"/>
      <c r="B3" s="2012" t="s">
        <v>170</v>
      </c>
      <c r="C3" s="2012"/>
      <c r="D3" s="2012"/>
      <c r="E3" s="2012"/>
      <c r="F3" s="2012"/>
      <c r="G3" s="2012"/>
      <c r="H3" s="2012"/>
      <c r="I3" s="2012"/>
      <c r="J3" s="2012"/>
      <c r="K3" s="2012"/>
      <c r="L3" s="2012"/>
      <c r="M3" s="1469"/>
      <c r="N3" s="495"/>
      <c r="O3" s="495"/>
    </row>
    <row r="4" spans="1:15" s="19" customFormat="1" ht="24.75" customHeight="1">
      <c r="A4" s="100"/>
      <c r="B4" s="2013" t="s">
        <v>1042</v>
      </c>
      <c r="C4" s="2013"/>
      <c r="D4" s="2013"/>
      <c r="E4" s="2013"/>
      <c r="F4" s="2013"/>
      <c r="G4" s="2013"/>
      <c r="H4" s="2013"/>
      <c r="I4" s="2013"/>
      <c r="J4" s="2013"/>
      <c r="K4" s="2013"/>
      <c r="L4" s="2013"/>
      <c r="M4" s="1470"/>
      <c r="N4" s="495"/>
      <c r="O4" s="495"/>
    </row>
    <row r="5" spans="1:15" s="568" customFormat="1" ht="15">
      <c r="A5" s="100"/>
      <c r="B5" s="567"/>
      <c r="C5" s="567"/>
      <c r="D5" s="567"/>
      <c r="E5" s="567"/>
      <c r="F5" s="567"/>
      <c r="G5" s="348"/>
      <c r="H5" s="348"/>
      <c r="I5" s="219"/>
      <c r="J5" s="219"/>
      <c r="K5" s="222"/>
      <c r="L5" s="222" t="s">
        <v>0</v>
      </c>
      <c r="M5" s="222"/>
      <c r="N5" s="219"/>
      <c r="O5" s="219"/>
    </row>
    <row r="6" spans="1:15" s="571" customFormat="1" ht="18" customHeight="1" thickBot="1">
      <c r="A6" s="100"/>
      <c r="B6" s="569" t="s">
        <v>1</v>
      </c>
      <c r="C6" s="569" t="s">
        <v>3</v>
      </c>
      <c r="D6" s="569" t="s">
        <v>2</v>
      </c>
      <c r="E6" s="569" t="s">
        <v>4</v>
      </c>
      <c r="F6" s="569" t="s">
        <v>5</v>
      </c>
      <c r="G6" s="570" t="s">
        <v>15</v>
      </c>
      <c r="H6" s="570" t="s">
        <v>16</v>
      </c>
      <c r="I6" s="570" t="s">
        <v>17</v>
      </c>
      <c r="J6" s="570" t="s">
        <v>36</v>
      </c>
      <c r="K6" s="570" t="s">
        <v>30</v>
      </c>
      <c r="L6" s="37" t="s">
        <v>23</v>
      </c>
      <c r="M6" s="99"/>
      <c r="N6" s="1467"/>
      <c r="O6" s="1467"/>
    </row>
    <row r="7" spans="1:22" s="47" customFormat="1" ht="79.5" customHeight="1" thickBot="1">
      <c r="A7" s="647"/>
      <c r="B7" s="303" t="s">
        <v>18</v>
      </c>
      <c r="C7" s="304" t="s">
        <v>19</v>
      </c>
      <c r="D7" s="302" t="s">
        <v>592</v>
      </c>
      <c r="E7" s="302" t="s">
        <v>593</v>
      </c>
      <c r="F7" s="305" t="s">
        <v>6</v>
      </c>
      <c r="G7" s="306" t="s">
        <v>585</v>
      </c>
      <c r="H7" s="235" t="s">
        <v>567</v>
      </c>
      <c r="I7" s="1183" t="s">
        <v>764</v>
      </c>
      <c r="J7" s="1345" t="s">
        <v>844</v>
      </c>
      <c r="K7" s="1342" t="s">
        <v>993</v>
      </c>
      <c r="L7" s="1970" t="s">
        <v>1039</v>
      </c>
      <c r="M7" s="1473"/>
      <c r="N7" s="59"/>
      <c r="O7" s="59"/>
      <c r="P7" s="59"/>
      <c r="Q7" s="59"/>
      <c r="R7" s="59"/>
      <c r="S7" s="59"/>
      <c r="T7" s="59"/>
      <c r="U7" s="59"/>
      <c r="V7" s="59"/>
    </row>
    <row r="8" spans="1:22" s="183" customFormat="1" ht="36" customHeight="1">
      <c r="A8" s="647">
        <v>1</v>
      </c>
      <c r="B8" s="288"/>
      <c r="C8" s="179"/>
      <c r="D8" s="180">
        <v>1</v>
      </c>
      <c r="E8" s="180"/>
      <c r="F8" s="181" t="s">
        <v>141</v>
      </c>
      <c r="G8" s="307">
        <f>SUM(G9,G16,G26,G32,G34,G15,G31)</f>
        <v>14062643</v>
      </c>
      <c r="H8" s="307">
        <f>SUM(H9,H16,H26,H32,H34,H15,H31)</f>
        <v>12977517</v>
      </c>
      <c r="I8" s="307">
        <f>SUM(I9,I16,I26,I32,I34,I15,I31)</f>
        <v>14853364</v>
      </c>
      <c r="J8" s="962">
        <f>SUM(J9,J16,J26,J32,J34,J15,J31)</f>
        <v>15115259</v>
      </c>
      <c r="K8" s="307">
        <f>SUM(K9,K16,K26,K32,K34,K15,K31)</f>
        <v>17850560</v>
      </c>
      <c r="L8" s="1672">
        <f>SUM(L9,L16,L26,L32,L34,L15,L31)</f>
        <v>17277678</v>
      </c>
      <c r="M8" s="40"/>
      <c r="N8" s="182"/>
      <c r="O8" s="182"/>
      <c r="P8" s="182"/>
      <c r="Q8" s="182"/>
      <c r="R8" s="182"/>
      <c r="S8" s="182"/>
      <c r="T8" s="182"/>
      <c r="U8" s="182"/>
      <c r="V8" s="182"/>
    </row>
    <row r="9" spans="1:22" s="183" customFormat="1" ht="36" customHeight="1">
      <c r="A9" s="647">
        <v>2</v>
      </c>
      <c r="B9" s="289">
        <v>18</v>
      </c>
      <c r="C9" s="184"/>
      <c r="D9" s="185"/>
      <c r="E9" s="185">
        <v>1</v>
      </c>
      <c r="F9" s="184" t="s">
        <v>171</v>
      </c>
      <c r="G9" s="40">
        <f>SUM(G10,G13:G13)</f>
        <v>3706565</v>
      </c>
      <c r="H9" s="40">
        <f>SUM(H10,H13:H13)</f>
        <v>3419289</v>
      </c>
      <c r="I9" s="40">
        <f>SUM(I10,I13:I13)</f>
        <v>4483032</v>
      </c>
      <c r="J9" s="963">
        <f>SUM(J10,J13:J13)</f>
        <v>4404208</v>
      </c>
      <c r="K9" s="40">
        <f>SUM(K10,K13:K13)</f>
        <v>6751008</v>
      </c>
      <c r="L9" s="1673">
        <f>SUM(L10,L13:L13)</f>
        <v>6718637</v>
      </c>
      <c r="M9" s="40"/>
      <c r="N9" s="182"/>
      <c r="O9" s="182"/>
      <c r="P9" s="182"/>
      <c r="Q9" s="182"/>
      <c r="R9" s="182"/>
      <c r="S9" s="182"/>
      <c r="T9" s="182"/>
      <c r="U9" s="182"/>
      <c r="V9" s="182"/>
    </row>
    <row r="10" spans="1:15" s="186" customFormat="1" ht="17.25">
      <c r="A10" s="647">
        <v>3</v>
      </c>
      <c r="B10" s="96"/>
      <c r="C10" s="146"/>
      <c r="D10" s="104"/>
      <c r="E10" s="104"/>
      <c r="F10" s="1628" t="s">
        <v>172</v>
      </c>
      <c r="G10" s="10">
        <f aca="true" t="shared" si="0" ref="G10:L10">SUM(G11:G12)</f>
        <v>3341151</v>
      </c>
      <c r="H10" s="10">
        <f t="shared" si="0"/>
        <v>3194545</v>
      </c>
      <c r="I10" s="10">
        <f t="shared" si="0"/>
        <v>3563207</v>
      </c>
      <c r="J10" s="964">
        <f t="shared" si="0"/>
        <v>3066627</v>
      </c>
      <c r="K10" s="971">
        <f>SUM(K11:K12)</f>
        <v>4955543</v>
      </c>
      <c r="L10" s="1675">
        <f t="shared" si="0"/>
        <v>4955542</v>
      </c>
      <c r="M10" s="971"/>
      <c r="N10" s="1176"/>
      <c r="O10" s="1176"/>
    </row>
    <row r="11" spans="1:13" ht="33" customHeight="1">
      <c r="A11" s="647">
        <v>4</v>
      </c>
      <c r="B11" s="97"/>
      <c r="C11" s="187"/>
      <c r="D11" s="187"/>
      <c r="E11" s="187"/>
      <c r="F11" s="42" t="s">
        <v>1015</v>
      </c>
      <c r="G11" s="2">
        <v>3286398</v>
      </c>
      <c r="H11" s="2">
        <v>3194545</v>
      </c>
      <c r="I11" s="2">
        <v>3533067</v>
      </c>
      <c r="J11" s="1347">
        <v>3066627</v>
      </c>
      <c r="K11" s="1178">
        <v>3388865</v>
      </c>
      <c r="L11" s="1674">
        <v>3388864</v>
      </c>
      <c r="M11" s="971"/>
    </row>
    <row r="12" spans="1:13" ht="33.75">
      <c r="A12" s="647">
        <v>5</v>
      </c>
      <c r="B12" s="96"/>
      <c r="C12" s="187"/>
      <c r="D12" s="187"/>
      <c r="E12" s="187"/>
      <c r="F12" s="42" t="s">
        <v>173</v>
      </c>
      <c r="G12" s="2">
        <v>54753</v>
      </c>
      <c r="H12" s="2"/>
      <c r="I12" s="2">
        <v>30140</v>
      </c>
      <c r="J12" s="1347"/>
      <c r="K12" s="1178">
        <v>1566678</v>
      </c>
      <c r="L12" s="1674">
        <v>1566678</v>
      </c>
      <c r="M12" s="971"/>
    </row>
    <row r="13" spans="1:15" s="186" customFormat="1" ht="17.25">
      <c r="A13" s="647">
        <v>6</v>
      </c>
      <c r="B13" s="96"/>
      <c r="C13" s="188"/>
      <c r="D13" s="187"/>
      <c r="E13" s="187"/>
      <c r="F13" s="1914" t="s">
        <v>174</v>
      </c>
      <c r="G13" s="10">
        <v>365414</v>
      </c>
      <c r="H13" s="10">
        <v>224744</v>
      </c>
      <c r="I13" s="10">
        <v>919825</v>
      </c>
      <c r="J13" s="1346">
        <v>1337581</v>
      </c>
      <c r="K13" s="971">
        <v>1795465</v>
      </c>
      <c r="L13" s="1675">
        <v>1763095</v>
      </c>
      <c r="M13" s="971"/>
      <c r="N13" s="1176"/>
      <c r="O13" s="1176"/>
    </row>
    <row r="14" spans="1:13" ht="16.5" customHeight="1">
      <c r="A14" s="647">
        <v>7</v>
      </c>
      <c r="B14" s="96"/>
      <c r="C14" s="187"/>
      <c r="D14" s="187"/>
      <c r="E14" s="187"/>
      <c r="F14" s="42" t="s">
        <v>175</v>
      </c>
      <c r="G14" s="2">
        <v>148540</v>
      </c>
      <c r="H14" s="2">
        <v>147600</v>
      </c>
      <c r="I14" s="2">
        <v>160234</v>
      </c>
      <c r="J14" s="1347">
        <v>180000</v>
      </c>
      <c r="K14" s="1178">
        <v>222056</v>
      </c>
      <c r="L14" s="1674">
        <v>222056</v>
      </c>
      <c r="M14" s="971"/>
    </row>
    <row r="15" spans="1:13" ht="36" customHeight="1">
      <c r="A15" s="647">
        <v>8</v>
      </c>
      <c r="B15" s="290" t="s">
        <v>498</v>
      </c>
      <c r="C15" s="187"/>
      <c r="D15" s="187"/>
      <c r="E15" s="236">
        <v>2</v>
      </c>
      <c r="F15" s="184" t="s">
        <v>797</v>
      </c>
      <c r="G15" s="10">
        <v>216590</v>
      </c>
      <c r="H15" s="10">
        <v>117496</v>
      </c>
      <c r="I15" s="10">
        <v>317352</v>
      </c>
      <c r="J15" s="1346">
        <v>236049</v>
      </c>
      <c r="K15" s="971">
        <v>305470</v>
      </c>
      <c r="L15" s="1676">
        <f>'3.Inbe '!G131</f>
        <v>214615</v>
      </c>
      <c r="M15" s="971"/>
    </row>
    <row r="16" spans="1:15" s="107" customFormat="1" ht="36" customHeight="1">
      <c r="A16" s="647">
        <v>9</v>
      </c>
      <c r="B16" s="96">
        <v>18</v>
      </c>
      <c r="C16" s="146"/>
      <c r="D16" s="104"/>
      <c r="E16" s="104">
        <v>3</v>
      </c>
      <c r="F16" s="147" t="s">
        <v>176</v>
      </c>
      <c r="G16" s="43">
        <f>SUM(G17,G25:G25)</f>
        <v>8049548</v>
      </c>
      <c r="H16" s="43">
        <f>SUM(H17,H25:H25)</f>
        <v>7765600</v>
      </c>
      <c r="I16" s="43">
        <f>SUM(I17,I25:I25)</f>
        <v>8108452</v>
      </c>
      <c r="J16" s="964">
        <f>SUM(J17,J25:J25)</f>
        <v>7945120</v>
      </c>
      <c r="K16" s="971">
        <f>SUM(K17,K25:K25)</f>
        <v>8663683</v>
      </c>
      <c r="L16" s="1675">
        <f>SUM(L17,L25:L25)</f>
        <v>8663683</v>
      </c>
      <c r="M16" s="971"/>
      <c r="N16" s="971"/>
      <c r="O16" s="971"/>
    </row>
    <row r="17" spans="1:15" s="186" customFormat="1" ht="17.25">
      <c r="A17" s="647">
        <v>10</v>
      </c>
      <c r="B17" s="96"/>
      <c r="C17" s="146"/>
      <c r="D17" s="104"/>
      <c r="E17" s="104"/>
      <c r="F17" s="1914" t="s">
        <v>177</v>
      </c>
      <c r="G17" s="10">
        <f>SUM(G18:G24)</f>
        <v>8043412</v>
      </c>
      <c r="H17" s="10">
        <f>SUM(H18:H24)</f>
        <v>7760000</v>
      </c>
      <c r="I17" s="10">
        <f>SUM(I18:I24)</f>
        <v>8100342</v>
      </c>
      <c r="J17" s="964">
        <f>SUM(J18:J24)</f>
        <v>7940000</v>
      </c>
      <c r="K17" s="971">
        <f>SUM(K18:K24)</f>
        <v>8656603</v>
      </c>
      <c r="L17" s="1675">
        <f>SUM(L18:L24)</f>
        <v>8656603</v>
      </c>
      <c r="M17" s="971"/>
      <c r="N17" s="971"/>
      <c r="O17" s="971"/>
    </row>
    <row r="18" spans="1:13" ht="17.25">
      <c r="A18" s="647">
        <v>11</v>
      </c>
      <c r="B18" s="96"/>
      <c r="C18" s="104"/>
      <c r="D18" s="104"/>
      <c r="E18" s="104"/>
      <c r="F18" s="42" t="s">
        <v>130</v>
      </c>
      <c r="G18" s="2">
        <v>1300333</v>
      </c>
      <c r="H18" s="2">
        <v>1300000</v>
      </c>
      <c r="I18" s="2">
        <v>1353716</v>
      </c>
      <c r="J18" s="1347">
        <v>1320000</v>
      </c>
      <c r="K18" s="1178">
        <v>1301931</v>
      </c>
      <c r="L18" s="1674">
        <v>1301931</v>
      </c>
      <c r="M18" s="971"/>
    </row>
    <row r="19" spans="1:13" ht="17.25">
      <c r="A19" s="647">
        <v>12</v>
      </c>
      <c r="B19" s="96"/>
      <c r="C19" s="104"/>
      <c r="D19" s="104"/>
      <c r="E19" s="104"/>
      <c r="F19" s="42" t="s">
        <v>133</v>
      </c>
      <c r="G19" s="2">
        <v>44141</v>
      </c>
      <c r="H19" s="2">
        <v>45000</v>
      </c>
      <c r="I19" s="2">
        <v>45085</v>
      </c>
      <c r="J19" s="1347">
        <v>55000</v>
      </c>
      <c r="K19" s="1178">
        <v>11646</v>
      </c>
      <c r="L19" s="1674">
        <v>11646</v>
      </c>
      <c r="M19" s="971"/>
    </row>
    <row r="20" spans="1:13" ht="17.25">
      <c r="A20" s="647">
        <v>13</v>
      </c>
      <c r="B20" s="96"/>
      <c r="C20" s="104"/>
      <c r="D20" s="104"/>
      <c r="E20" s="104"/>
      <c r="F20" s="42" t="s">
        <v>132</v>
      </c>
      <c r="G20" s="2">
        <v>143422</v>
      </c>
      <c r="H20" s="2">
        <v>145000</v>
      </c>
      <c r="I20" s="2">
        <v>142925</v>
      </c>
      <c r="J20" s="1347">
        <v>143000</v>
      </c>
      <c r="K20" s="1178">
        <v>141440</v>
      </c>
      <c r="L20" s="1674">
        <v>141440</v>
      </c>
      <c r="M20" s="971"/>
    </row>
    <row r="21" spans="1:13" ht="17.25">
      <c r="A21" s="647">
        <v>14</v>
      </c>
      <c r="B21" s="96"/>
      <c r="C21" s="104"/>
      <c r="D21" s="104"/>
      <c r="E21" s="104"/>
      <c r="F21" s="42" t="s">
        <v>131</v>
      </c>
      <c r="G21" s="2">
        <v>95735</v>
      </c>
      <c r="H21" s="2">
        <v>95000</v>
      </c>
      <c r="I21" s="2">
        <v>91186</v>
      </c>
      <c r="J21" s="1347">
        <v>92000</v>
      </c>
      <c r="K21" s="1178">
        <v>96484</v>
      </c>
      <c r="L21" s="1674">
        <v>96484</v>
      </c>
      <c r="M21" s="971"/>
    </row>
    <row r="22" spans="1:13" ht="17.25">
      <c r="A22" s="647">
        <v>15</v>
      </c>
      <c r="B22" s="96"/>
      <c r="C22" s="104"/>
      <c r="D22" s="104"/>
      <c r="E22" s="104"/>
      <c r="F22" s="42" t="s">
        <v>129</v>
      </c>
      <c r="G22" s="2">
        <v>6222826</v>
      </c>
      <c r="H22" s="2">
        <v>5950000</v>
      </c>
      <c r="I22" s="2">
        <v>6222920</v>
      </c>
      <c r="J22" s="1347">
        <v>6100000</v>
      </c>
      <c r="K22" s="1178">
        <v>7090255</v>
      </c>
      <c r="L22" s="1674">
        <v>7090255</v>
      </c>
      <c r="M22" s="971"/>
    </row>
    <row r="23" spans="1:13" ht="17.25">
      <c r="A23" s="647">
        <v>16</v>
      </c>
      <c r="B23" s="96"/>
      <c r="C23" s="104"/>
      <c r="D23" s="104"/>
      <c r="E23" s="104"/>
      <c r="F23" s="42" t="s">
        <v>134</v>
      </c>
      <c r="G23" s="2">
        <v>215843</v>
      </c>
      <c r="H23" s="2">
        <v>210000</v>
      </c>
      <c r="I23" s="2">
        <v>230151</v>
      </c>
      <c r="J23" s="1347">
        <v>220000</v>
      </c>
      <c r="K23" s="1178">
        <v>0</v>
      </c>
      <c r="L23" s="1674">
        <v>0</v>
      </c>
      <c r="M23" s="971"/>
    </row>
    <row r="24" spans="1:13" ht="17.25">
      <c r="A24" s="647">
        <v>17</v>
      </c>
      <c r="B24" s="96"/>
      <c r="C24" s="104"/>
      <c r="D24" s="104"/>
      <c r="E24" s="104"/>
      <c r="F24" s="42" t="s">
        <v>178</v>
      </c>
      <c r="G24" s="2">
        <v>21112</v>
      </c>
      <c r="H24" s="2">
        <v>15000</v>
      </c>
      <c r="I24" s="2">
        <v>14359</v>
      </c>
      <c r="J24" s="1347">
        <v>10000</v>
      </c>
      <c r="K24" s="1178">
        <v>14847</v>
      </c>
      <c r="L24" s="1674">
        <v>14847</v>
      </c>
      <c r="M24" s="971"/>
    </row>
    <row r="25" spans="1:15" s="186" customFormat="1" ht="34.5">
      <c r="A25" s="647">
        <v>18</v>
      </c>
      <c r="B25" s="96"/>
      <c r="C25" s="146"/>
      <c r="D25" s="104"/>
      <c r="E25" s="104"/>
      <c r="F25" s="1914" t="s">
        <v>179</v>
      </c>
      <c r="G25" s="10">
        <v>6136</v>
      </c>
      <c r="H25" s="10">
        <v>5600</v>
      </c>
      <c r="I25" s="10">
        <v>8110</v>
      </c>
      <c r="J25" s="1346">
        <v>5120</v>
      </c>
      <c r="K25" s="971">
        <v>7080</v>
      </c>
      <c r="L25" s="1674">
        <v>7080</v>
      </c>
      <c r="M25" s="971"/>
      <c r="N25" s="1176"/>
      <c r="O25" s="46"/>
    </row>
    <row r="26" spans="1:15" s="107" customFormat="1" ht="36" customHeight="1">
      <c r="A26" s="647">
        <v>19</v>
      </c>
      <c r="B26" s="96">
        <v>18</v>
      </c>
      <c r="C26" s="146"/>
      <c r="D26" s="104"/>
      <c r="E26" s="104">
        <v>4</v>
      </c>
      <c r="F26" s="147" t="s">
        <v>144</v>
      </c>
      <c r="G26" s="43">
        <f>SUM(G27:G30)</f>
        <v>1035546</v>
      </c>
      <c r="H26" s="43">
        <f>SUM(H27:H30)</f>
        <v>765238</v>
      </c>
      <c r="I26" s="43">
        <f>SUM(I27:I30)</f>
        <v>818620</v>
      </c>
      <c r="J26" s="964">
        <f>SUM(J27:J30)</f>
        <v>1501270</v>
      </c>
      <c r="K26" s="971">
        <f>SUM(K27:K30)</f>
        <v>1137270</v>
      </c>
      <c r="L26" s="1675">
        <f>SUM(L27:L30)</f>
        <v>846221</v>
      </c>
      <c r="M26" s="971"/>
      <c r="N26" s="1377"/>
      <c r="O26" s="1377"/>
    </row>
    <row r="27" spans="1:13" ht="16.5" customHeight="1">
      <c r="A27" s="647">
        <v>20</v>
      </c>
      <c r="B27" s="96"/>
      <c r="C27" s="104"/>
      <c r="D27" s="104"/>
      <c r="E27" s="104"/>
      <c r="F27" s="42" t="s">
        <v>288</v>
      </c>
      <c r="G27" s="2">
        <v>319006</v>
      </c>
      <c r="H27" s="2">
        <v>367526</v>
      </c>
      <c r="I27" s="2">
        <v>335480</v>
      </c>
      <c r="J27" s="1347">
        <v>327392</v>
      </c>
      <c r="K27" s="1178">
        <v>266201</v>
      </c>
      <c r="L27" s="1674">
        <v>290126</v>
      </c>
      <c r="M27" s="971"/>
    </row>
    <row r="28" spans="1:13" ht="16.5" customHeight="1">
      <c r="A28" s="647">
        <v>21</v>
      </c>
      <c r="B28" s="96"/>
      <c r="C28" s="104"/>
      <c r="D28" s="104"/>
      <c r="E28" s="104"/>
      <c r="F28" s="42" t="s">
        <v>289</v>
      </c>
      <c r="G28" s="2">
        <v>155541</v>
      </c>
      <c r="H28" s="2">
        <v>192783</v>
      </c>
      <c r="I28" s="2">
        <v>219462</v>
      </c>
      <c r="J28" s="1347">
        <v>280770</v>
      </c>
      <c r="K28" s="1178">
        <v>281284</v>
      </c>
      <c r="L28" s="1674">
        <v>208134</v>
      </c>
      <c r="M28" s="971"/>
    </row>
    <row r="29" spans="1:13" ht="16.5" customHeight="1">
      <c r="A29" s="647">
        <v>22</v>
      </c>
      <c r="B29" s="96"/>
      <c r="C29" s="104"/>
      <c r="D29" s="104"/>
      <c r="E29" s="104"/>
      <c r="F29" s="42" t="s">
        <v>290</v>
      </c>
      <c r="G29" s="2">
        <v>490423</v>
      </c>
      <c r="H29" s="2">
        <v>204929</v>
      </c>
      <c r="I29" s="2">
        <v>219034</v>
      </c>
      <c r="J29" s="1347">
        <v>889171</v>
      </c>
      <c r="K29" s="1178">
        <v>585320</v>
      </c>
      <c r="L29" s="1677">
        <v>280298</v>
      </c>
      <c r="M29" s="971"/>
    </row>
    <row r="30" spans="1:13" ht="16.5" customHeight="1">
      <c r="A30" s="647">
        <v>23</v>
      </c>
      <c r="B30" s="96"/>
      <c r="C30" s="104"/>
      <c r="D30" s="104"/>
      <c r="E30" s="104"/>
      <c r="F30" s="42" t="s">
        <v>291</v>
      </c>
      <c r="G30" s="2">
        <v>70576</v>
      </c>
      <c r="H30" s="2"/>
      <c r="I30" s="2">
        <v>44644</v>
      </c>
      <c r="J30" s="1347">
        <v>3937</v>
      </c>
      <c r="K30" s="1178">
        <v>4465</v>
      </c>
      <c r="L30" s="1677">
        <v>67663</v>
      </c>
      <c r="M30" s="971"/>
    </row>
    <row r="31" spans="1:15" s="107" customFormat="1" ht="36" customHeight="1">
      <c r="A31" s="647">
        <v>24</v>
      </c>
      <c r="B31" s="291" t="s">
        <v>498</v>
      </c>
      <c r="C31" s="146"/>
      <c r="D31" s="104"/>
      <c r="E31" s="104">
        <v>5</v>
      </c>
      <c r="F31" s="147" t="s">
        <v>180</v>
      </c>
      <c r="G31" s="43">
        <v>998980</v>
      </c>
      <c r="H31" s="43">
        <v>909894</v>
      </c>
      <c r="I31" s="43">
        <v>1111879</v>
      </c>
      <c r="J31" s="1348">
        <v>1028612</v>
      </c>
      <c r="K31" s="971">
        <v>842419</v>
      </c>
      <c r="L31" s="1678">
        <f>'3.Inbe '!F131</f>
        <v>754985</v>
      </c>
      <c r="M31" s="971"/>
      <c r="N31" s="1377"/>
      <c r="O31" s="1377"/>
    </row>
    <row r="32" spans="1:15" s="107" customFormat="1" ht="36" customHeight="1">
      <c r="A32" s="647">
        <v>25</v>
      </c>
      <c r="B32" s="96">
        <v>18</v>
      </c>
      <c r="C32" s="146"/>
      <c r="D32" s="104"/>
      <c r="E32" s="104">
        <v>6</v>
      </c>
      <c r="F32" s="147" t="s">
        <v>181</v>
      </c>
      <c r="G32" s="43">
        <v>41080</v>
      </c>
      <c r="H32" s="43"/>
      <c r="I32" s="43">
        <v>5713</v>
      </c>
      <c r="J32" s="1348"/>
      <c r="K32" s="971">
        <v>133945</v>
      </c>
      <c r="L32" s="1678">
        <v>62697</v>
      </c>
      <c r="M32" s="971"/>
      <c r="N32" s="1377"/>
      <c r="O32" s="1377"/>
    </row>
    <row r="33" spans="1:15" s="107" customFormat="1" ht="18" customHeight="1">
      <c r="A33" s="647">
        <v>26</v>
      </c>
      <c r="B33" s="96"/>
      <c r="C33" s="146"/>
      <c r="D33" s="104"/>
      <c r="E33" s="104"/>
      <c r="F33" s="42" t="s">
        <v>821</v>
      </c>
      <c r="G33" s="43"/>
      <c r="H33" s="43"/>
      <c r="I33" s="43"/>
      <c r="J33" s="1348"/>
      <c r="K33" s="1178">
        <v>6120</v>
      </c>
      <c r="L33" s="1679">
        <v>6131</v>
      </c>
      <c r="M33" s="1178"/>
      <c r="N33" s="1377"/>
      <c r="O33" s="1377"/>
    </row>
    <row r="34" spans="1:15" s="186" customFormat="1" ht="36" customHeight="1">
      <c r="A34" s="647">
        <v>27</v>
      </c>
      <c r="B34" s="292" t="s">
        <v>498</v>
      </c>
      <c r="C34" s="189"/>
      <c r="D34" s="189"/>
      <c r="E34" s="190">
        <v>7</v>
      </c>
      <c r="F34" s="191" t="s">
        <v>182</v>
      </c>
      <c r="G34" s="308">
        <v>14334</v>
      </c>
      <c r="H34" s="308"/>
      <c r="I34" s="308">
        <v>8316</v>
      </c>
      <c r="J34" s="1349"/>
      <c r="K34" s="1343">
        <v>16765</v>
      </c>
      <c r="L34" s="1676">
        <f>'3.Inbe '!H131</f>
        <v>16840</v>
      </c>
      <c r="M34" s="971"/>
      <c r="N34" s="1176"/>
      <c r="O34" s="1176"/>
    </row>
    <row r="35" spans="1:22" s="183" customFormat="1" ht="36" customHeight="1">
      <c r="A35" s="647">
        <v>28</v>
      </c>
      <c r="B35" s="293"/>
      <c r="C35" s="192"/>
      <c r="D35" s="193">
        <v>2</v>
      </c>
      <c r="E35" s="193"/>
      <c r="F35" s="194" t="s">
        <v>142</v>
      </c>
      <c r="G35" s="309">
        <f aca="true" t="shared" si="1" ref="G35:L35">SUM(G36,G39:G40,G42:G44)</f>
        <v>12772481</v>
      </c>
      <c r="H35" s="309">
        <f t="shared" si="1"/>
        <v>5648160</v>
      </c>
      <c r="I35" s="976">
        <f t="shared" si="1"/>
        <v>6259786</v>
      </c>
      <c r="J35" s="1350">
        <f t="shared" si="1"/>
        <v>8363612</v>
      </c>
      <c r="K35" s="309">
        <f t="shared" si="1"/>
        <v>13444710</v>
      </c>
      <c r="L35" s="1995">
        <f t="shared" si="1"/>
        <v>9155087</v>
      </c>
      <c r="M35" s="40"/>
      <c r="N35" s="182"/>
      <c r="O35" s="182"/>
      <c r="P35" s="182"/>
      <c r="Q35" s="182"/>
      <c r="R35" s="182"/>
      <c r="S35" s="182"/>
      <c r="T35" s="182"/>
      <c r="U35" s="182"/>
      <c r="V35" s="182"/>
    </row>
    <row r="36" spans="1:15" s="107" customFormat="1" ht="36" customHeight="1">
      <c r="A36" s="647">
        <v>29</v>
      </c>
      <c r="B36" s="96"/>
      <c r="C36" s="146"/>
      <c r="D36" s="104"/>
      <c r="E36" s="104">
        <v>8</v>
      </c>
      <c r="F36" s="147" t="s">
        <v>183</v>
      </c>
      <c r="G36" s="43">
        <f>SUM(G37,G38)</f>
        <v>12588575</v>
      </c>
      <c r="H36" s="43">
        <f>SUM(H37,H38)</f>
        <v>5270260</v>
      </c>
      <c r="I36" s="43">
        <f>SUM(I37,I38)</f>
        <v>5463793</v>
      </c>
      <c r="J36" s="964">
        <f>SUM(J37,J38)</f>
        <v>8162019</v>
      </c>
      <c r="K36" s="971">
        <f>SUM(K37,K38)</f>
        <v>13395114</v>
      </c>
      <c r="L36" s="1675">
        <f>SUM(L37,L38)</f>
        <v>9111564</v>
      </c>
      <c r="M36" s="971"/>
      <c r="N36" s="1377"/>
      <c r="O36" s="1377"/>
    </row>
    <row r="37" spans="1:15" s="186" customFormat="1" ht="17.25">
      <c r="A37" s="647">
        <v>30</v>
      </c>
      <c r="B37" s="96">
        <v>18</v>
      </c>
      <c r="C37" s="146"/>
      <c r="D37" s="104"/>
      <c r="E37" s="104"/>
      <c r="F37" s="1914" t="s">
        <v>184</v>
      </c>
      <c r="G37" s="10">
        <v>4325400</v>
      </c>
      <c r="H37" s="10"/>
      <c r="I37" s="10">
        <v>6456</v>
      </c>
      <c r="J37" s="1346"/>
      <c r="K37" s="971"/>
      <c r="L37" s="1676"/>
      <c r="M37" s="971"/>
      <c r="N37" s="1176"/>
      <c r="O37" s="1176"/>
    </row>
    <row r="38" spans="1:15" s="186" customFormat="1" ht="17.25">
      <c r="A38" s="647">
        <v>31</v>
      </c>
      <c r="B38" s="96">
        <v>18</v>
      </c>
      <c r="C38" s="188"/>
      <c r="D38" s="187"/>
      <c r="E38" s="187"/>
      <c r="F38" s="1914" t="s">
        <v>185</v>
      </c>
      <c r="G38" s="10">
        <v>8263175</v>
      </c>
      <c r="H38" s="10">
        <v>5270260</v>
      </c>
      <c r="I38" s="10">
        <v>5457337</v>
      </c>
      <c r="J38" s="964">
        <v>8162019</v>
      </c>
      <c r="K38" s="971">
        <v>13395114</v>
      </c>
      <c r="L38" s="1674">
        <v>9111564</v>
      </c>
      <c r="M38" s="971"/>
      <c r="N38" s="1176"/>
      <c r="O38" s="1176"/>
    </row>
    <row r="39" spans="1:15" s="186" customFormat="1" ht="36" customHeight="1">
      <c r="A39" s="647">
        <v>32</v>
      </c>
      <c r="B39" s="292" t="s">
        <v>498</v>
      </c>
      <c r="C39" s="188"/>
      <c r="D39" s="188"/>
      <c r="E39" s="187">
        <v>9</v>
      </c>
      <c r="F39" s="1914" t="s">
        <v>186</v>
      </c>
      <c r="G39" s="10">
        <v>40469</v>
      </c>
      <c r="H39" s="10">
        <v>2900</v>
      </c>
      <c r="I39" s="10">
        <v>14183</v>
      </c>
      <c r="J39" s="1346">
        <v>4050</v>
      </c>
      <c r="K39" s="971">
        <v>4385</v>
      </c>
      <c r="L39" s="1676">
        <f>'3.Inbe '!J131</f>
        <v>335</v>
      </c>
      <c r="M39" s="971"/>
      <c r="N39" s="1176"/>
      <c r="O39" s="1176"/>
    </row>
    <row r="40" spans="1:15" s="107" customFormat="1" ht="36" customHeight="1">
      <c r="A40" s="647">
        <v>33</v>
      </c>
      <c r="B40" s="96">
        <v>18</v>
      </c>
      <c r="C40" s="146"/>
      <c r="D40" s="104"/>
      <c r="E40" s="104">
        <v>10</v>
      </c>
      <c r="F40" s="147" t="s">
        <v>187</v>
      </c>
      <c r="G40" s="43">
        <f>SUM(G41:G41)</f>
        <v>136583</v>
      </c>
      <c r="H40" s="43">
        <f>SUM(H41:H41)</f>
        <v>225000</v>
      </c>
      <c r="I40" s="43">
        <f>SUM(I41:I41)</f>
        <v>153966</v>
      </c>
      <c r="J40" s="964">
        <f>SUM(J41:J41)</f>
        <v>190000</v>
      </c>
      <c r="K40" s="971">
        <f>SUM(K41:K41)</f>
        <v>37339</v>
      </c>
      <c r="L40" s="1675">
        <f>SUM(L41:L41)</f>
        <v>37339</v>
      </c>
      <c r="M40" s="971"/>
      <c r="N40" s="1377"/>
      <c r="O40" s="1377"/>
    </row>
    <row r="41" spans="1:13" ht="17.25">
      <c r="A41" s="647">
        <v>34</v>
      </c>
      <c r="B41" s="96"/>
      <c r="C41" s="104"/>
      <c r="D41" s="104"/>
      <c r="E41" s="104"/>
      <c r="F41" s="42" t="s">
        <v>188</v>
      </c>
      <c r="G41" s="2">
        <v>136583</v>
      </c>
      <c r="H41" s="2">
        <v>225000</v>
      </c>
      <c r="I41" s="2">
        <v>153966</v>
      </c>
      <c r="J41" s="1347">
        <v>190000</v>
      </c>
      <c r="K41" s="1178">
        <v>37339</v>
      </c>
      <c r="L41" s="1674">
        <v>37339</v>
      </c>
      <c r="M41" s="971"/>
    </row>
    <row r="42" spans="1:13" ht="36" customHeight="1">
      <c r="A42" s="647">
        <v>35</v>
      </c>
      <c r="B42" s="96"/>
      <c r="C42" s="104"/>
      <c r="D42" s="104"/>
      <c r="E42" s="104">
        <v>11</v>
      </c>
      <c r="F42" s="1914" t="s">
        <v>189</v>
      </c>
      <c r="G42" s="10">
        <v>957</v>
      </c>
      <c r="H42" s="10"/>
      <c r="I42" s="10">
        <v>939</v>
      </c>
      <c r="J42" s="1346">
        <v>7543</v>
      </c>
      <c r="K42" s="971">
        <v>5372</v>
      </c>
      <c r="L42" s="1676">
        <f>'3.Inbe '!I131</f>
        <v>5849</v>
      </c>
      <c r="M42" s="971"/>
    </row>
    <row r="43" spans="1:15" s="107" customFormat="1" ht="36" customHeight="1">
      <c r="A43" s="647">
        <v>36</v>
      </c>
      <c r="B43" s="96">
        <v>18</v>
      </c>
      <c r="C43" s="146"/>
      <c r="D43" s="104"/>
      <c r="E43" s="104">
        <v>12</v>
      </c>
      <c r="F43" s="147" t="s">
        <v>190</v>
      </c>
      <c r="G43" s="43">
        <v>5897</v>
      </c>
      <c r="H43" s="43">
        <v>150000</v>
      </c>
      <c r="I43" s="43">
        <v>626905</v>
      </c>
      <c r="J43" s="1348"/>
      <c r="K43" s="971">
        <v>2500</v>
      </c>
      <c r="L43" s="1678">
        <v>0</v>
      </c>
      <c r="M43" s="971"/>
      <c r="N43" s="1377"/>
      <c r="O43" s="1377"/>
    </row>
    <row r="44" spans="1:15" s="186" customFormat="1" ht="36" customHeight="1">
      <c r="A44" s="647">
        <v>37</v>
      </c>
      <c r="B44" s="292" t="s">
        <v>498</v>
      </c>
      <c r="C44" s="188"/>
      <c r="D44" s="188"/>
      <c r="E44" s="187">
        <v>13</v>
      </c>
      <c r="F44" s="195" t="s">
        <v>191</v>
      </c>
      <c r="G44" s="10"/>
      <c r="H44" s="10"/>
      <c r="I44" s="10"/>
      <c r="J44" s="1346"/>
      <c r="K44" s="971"/>
      <c r="L44" s="1676">
        <f>'3.Inbe '!K131</f>
        <v>0</v>
      </c>
      <c r="M44" s="971"/>
      <c r="N44" s="1176"/>
      <c r="O44" s="1176"/>
    </row>
    <row r="45" spans="1:15" s="21" customFormat="1" ht="36" customHeight="1">
      <c r="A45" s="647">
        <v>38</v>
      </c>
      <c r="B45" s="20">
        <v>18</v>
      </c>
      <c r="C45" s="196"/>
      <c r="D45" s="197"/>
      <c r="E45" s="197"/>
      <c r="F45" s="431" t="s">
        <v>192</v>
      </c>
      <c r="G45" s="44">
        <f>SUM(G46:G46)</f>
        <v>700</v>
      </c>
      <c r="H45" s="44">
        <f>SUM(H46:H46)</f>
        <v>0</v>
      </c>
      <c r="I45" s="44">
        <f>SUM(I46:I46)</f>
        <v>183</v>
      </c>
      <c r="J45" s="965">
        <f>SUM(J46:J46)</f>
        <v>0</v>
      </c>
      <c r="K45" s="970">
        <f>SUM(K46:K46)</f>
        <v>0</v>
      </c>
      <c r="L45" s="1996">
        <f>SUM(L46:L46)</f>
        <v>256</v>
      </c>
      <c r="M45" s="974"/>
      <c r="N45" s="1468"/>
      <c r="O45" s="1468"/>
    </row>
    <row r="46" spans="1:13" ht="33.75">
      <c r="A46" s="647">
        <v>39</v>
      </c>
      <c r="B46" s="96"/>
      <c r="C46" s="198"/>
      <c r="D46" s="198"/>
      <c r="E46" s="198"/>
      <c r="F46" s="432" t="s">
        <v>255</v>
      </c>
      <c r="G46" s="45">
        <v>700</v>
      </c>
      <c r="H46" s="45"/>
      <c r="I46" s="45">
        <v>183</v>
      </c>
      <c r="J46" s="1351"/>
      <c r="K46" s="1344"/>
      <c r="L46" s="1680">
        <v>256</v>
      </c>
      <c r="M46" s="974"/>
    </row>
    <row r="47" spans="1:15" s="21" customFormat="1" ht="39.75" customHeight="1" thickBot="1">
      <c r="A47" s="647">
        <v>40</v>
      </c>
      <c r="B47" s="294"/>
      <c r="C47" s="199"/>
      <c r="D47" s="200"/>
      <c r="E47" s="200"/>
      <c r="F47" s="201" t="s">
        <v>193</v>
      </c>
      <c r="G47" s="310">
        <f aca="true" t="shared" si="2" ref="G47:L47">SUM(G8,G35,G45)</f>
        <v>26835824</v>
      </c>
      <c r="H47" s="310">
        <f t="shared" si="2"/>
        <v>18625677</v>
      </c>
      <c r="I47" s="310">
        <f t="shared" si="2"/>
        <v>21113333</v>
      </c>
      <c r="J47" s="966">
        <f t="shared" si="2"/>
        <v>23478871</v>
      </c>
      <c r="K47" s="972">
        <f t="shared" si="2"/>
        <v>31295270</v>
      </c>
      <c r="L47" s="1997">
        <f t="shared" si="2"/>
        <v>26433021</v>
      </c>
      <c r="M47" s="974"/>
      <c r="N47" s="1468"/>
      <c r="O47" s="1468"/>
    </row>
    <row r="48" spans="1:15" s="21" customFormat="1" ht="39.75" customHeight="1" thickBot="1" thickTop="1">
      <c r="A48" s="647">
        <v>41</v>
      </c>
      <c r="B48" s="295"/>
      <c r="C48" s="202"/>
      <c r="D48" s="203"/>
      <c r="E48" s="203"/>
      <c r="F48" s="204" t="s">
        <v>194</v>
      </c>
      <c r="G48" s="808">
        <f>+G47-'2.Onki'!G34</f>
        <v>6257189</v>
      </c>
      <c r="H48" s="808">
        <f>+H47-'2.Onki'!H34</f>
        <v>-8870872</v>
      </c>
      <c r="I48" s="808">
        <f>+I47-'2.Onki'!I34</f>
        <v>1177920</v>
      </c>
      <c r="J48" s="967">
        <f>J47-'2.Onki'!J34</f>
        <v>-14073403</v>
      </c>
      <c r="K48" s="973">
        <f>+K47-'2.Onki'!K34</f>
        <v>-15033545</v>
      </c>
      <c r="L48" s="1998">
        <f>+L47-'2.Onki'!L34</f>
        <v>4465865</v>
      </c>
      <c r="M48" s="974"/>
      <c r="N48" s="1468"/>
      <c r="O48" s="1468"/>
    </row>
    <row r="49" spans="1:15" s="21" customFormat="1" ht="36" customHeight="1">
      <c r="A49" s="647">
        <v>42</v>
      </c>
      <c r="B49" s="20"/>
      <c r="C49" s="1911"/>
      <c r="D49" s="178"/>
      <c r="E49" s="178">
        <v>14</v>
      </c>
      <c r="F49" s="157" t="s">
        <v>195</v>
      </c>
      <c r="G49" s="311">
        <f aca="true" t="shared" si="3" ref="G49:L49">SUM(G51,G60)+G50</f>
        <v>7032676</v>
      </c>
      <c r="H49" s="311">
        <f t="shared" si="3"/>
        <v>9080507</v>
      </c>
      <c r="I49" s="311">
        <f t="shared" si="3"/>
        <v>13278366</v>
      </c>
      <c r="J49" s="968">
        <f t="shared" si="3"/>
        <v>14293174</v>
      </c>
      <c r="K49" s="974">
        <f t="shared" si="3"/>
        <v>15581680</v>
      </c>
      <c r="L49" s="1999">
        <f t="shared" si="3"/>
        <v>14967054</v>
      </c>
      <c r="M49" s="974"/>
      <c r="N49" s="1468"/>
      <c r="O49" s="1468"/>
    </row>
    <row r="50" spans="1:15" s="21" customFormat="1" ht="36" customHeight="1">
      <c r="A50" s="647">
        <v>43</v>
      </c>
      <c r="B50" s="20"/>
      <c r="C50" s="1911"/>
      <c r="D50" s="178">
        <v>1</v>
      </c>
      <c r="E50" s="178"/>
      <c r="F50" s="157" t="s">
        <v>259</v>
      </c>
      <c r="G50" s="311">
        <v>107506</v>
      </c>
      <c r="H50" s="311"/>
      <c r="I50" s="311">
        <v>143801</v>
      </c>
      <c r="J50" s="1352"/>
      <c r="K50" s="974">
        <v>328363</v>
      </c>
      <c r="L50" s="799">
        <v>328363</v>
      </c>
      <c r="M50" s="974"/>
      <c r="N50" s="1468"/>
      <c r="O50" s="1468"/>
    </row>
    <row r="51" spans="1:15" s="21" customFormat="1" ht="33" customHeight="1">
      <c r="A51" s="647">
        <v>44</v>
      </c>
      <c r="B51" s="296"/>
      <c r="C51" s="196"/>
      <c r="D51" s="197"/>
      <c r="E51" s="197"/>
      <c r="F51" s="205" t="s">
        <v>292</v>
      </c>
      <c r="G51" s="44">
        <f>SUM(G52,G56)</f>
        <v>6873658</v>
      </c>
      <c r="H51" s="44">
        <f>SUM(H52,H56)</f>
        <v>8404019</v>
      </c>
      <c r="I51" s="44">
        <f>SUM(I52,I56)</f>
        <v>13087077</v>
      </c>
      <c r="J51" s="965">
        <f>SUM(J52,J56)</f>
        <v>12883374</v>
      </c>
      <c r="K51" s="970">
        <f>SUM(K52,K56)</f>
        <v>13993317</v>
      </c>
      <c r="L51" s="1996">
        <f>SUM(L52,L56)</f>
        <v>13993317</v>
      </c>
      <c r="M51" s="974"/>
      <c r="N51" s="1468"/>
      <c r="O51" s="1468"/>
    </row>
    <row r="52" spans="1:15" s="107" customFormat="1" ht="24" customHeight="1">
      <c r="A52" s="647">
        <v>45</v>
      </c>
      <c r="B52" s="96"/>
      <c r="C52" s="146"/>
      <c r="D52" s="104">
        <v>1</v>
      </c>
      <c r="E52" s="104"/>
      <c r="F52" s="147" t="s">
        <v>257</v>
      </c>
      <c r="G52" s="43">
        <f>SUM(G53:G55)</f>
        <v>1957723</v>
      </c>
      <c r="H52" s="43">
        <f>SUM(H53:H55)</f>
        <v>1315949</v>
      </c>
      <c r="I52" s="43">
        <f>SUM(I53:I55)</f>
        <v>2879946</v>
      </c>
      <c r="J52" s="964">
        <f>SUM(J53:J55)</f>
        <v>1081085</v>
      </c>
      <c r="K52" s="971">
        <f>SUM(K53:K55)</f>
        <v>2162285</v>
      </c>
      <c r="L52" s="1675">
        <f>SUM(L53:L55)</f>
        <v>2162285</v>
      </c>
      <c r="M52" s="971"/>
      <c r="N52" s="1377"/>
      <c r="O52" s="1377"/>
    </row>
    <row r="53" spans="1:13" ht="17.25">
      <c r="A53" s="647">
        <v>46</v>
      </c>
      <c r="B53" s="290" t="s">
        <v>384</v>
      </c>
      <c r="C53" s="104"/>
      <c r="D53" s="104"/>
      <c r="E53" s="104"/>
      <c r="F53" s="42" t="s">
        <v>196</v>
      </c>
      <c r="G53" s="2">
        <v>612577</v>
      </c>
      <c r="H53" s="2">
        <v>137936</v>
      </c>
      <c r="I53" s="2">
        <v>573305</v>
      </c>
      <c r="J53" s="1347">
        <v>31301</v>
      </c>
      <c r="K53" s="1178">
        <v>661871</v>
      </c>
      <c r="L53" s="1674">
        <v>661871</v>
      </c>
      <c r="M53" s="971"/>
    </row>
    <row r="54" spans="1:13" ht="17.25">
      <c r="A54" s="647">
        <v>47</v>
      </c>
      <c r="B54" s="96">
        <v>17</v>
      </c>
      <c r="C54" s="104"/>
      <c r="D54" s="104"/>
      <c r="E54" s="104"/>
      <c r="F54" s="42" t="s">
        <v>197</v>
      </c>
      <c r="G54" s="2">
        <v>251672</v>
      </c>
      <c r="H54" s="2">
        <v>14861</v>
      </c>
      <c r="I54" s="2">
        <v>294771</v>
      </c>
      <c r="J54" s="1347">
        <v>75474</v>
      </c>
      <c r="K54" s="1178">
        <v>360345</v>
      </c>
      <c r="L54" s="1674">
        <v>360345</v>
      </c>
      <c r="M54" s="971"/>
    </row>
    <row r="55" spans="1:13" ht="17.25">
      <c r="A55" s="647">
        <v>48</v>
      </c>
      <c r="B55" s="96">
        <v>18</v>
      </c>
      <c r="C55" s="104"/>
      <c r="D55" s="104"/>
      <c r="E55" s="104"/>
      <c r="F55" s="42" t="s">
        <v>125</v>
      </c>
      <c r="G55" s="2">
        <v>1093474</v>
      </c>
      <c r="H55" s="2">
        <v>1163152</v>
      </c>
      <c r="I55" s="2">
        <v>2011870</v>
      </c>
      <c r="J55" s="1347">
        <v>974310</v>
      </c>
      <c r="K55" s="1178">
        <v>1140069</v>
      </c>
      <c r="L55" s="1674">
        <v>1140069</v>
      </c>
      <c r="M55" s="971"/>
    </row>
    <row r="56" spans="1:15" s="107" customFormat="1" ht="24" customHeight="1">
      <c r="A56" s="647">
        <v>49</v>
      </c>
      <c r="B56" s="96"/>
      <c r="C56" s="146"/>
      <c r="D56" s="104">
        <v>2</v>
      </c>
      <c r="E56" s="104"/>
      <c r="F56" s="147" t="s">
        <v>256</v>
      </c>
      <c r="G56" s="43">
        <f>SUM(G57:G59)</f>
        <v>4915935</v>
      </c>
      <c r="H56" s="43">
        <f>H57+H59</f>
        <v>7088070</v>
      </c>
      <c r="I56" s="43">
        <f>SUM(I57:I59)</f>
        <v>10207131</v>
      </c>
      <c r="J56" s="964">
        <f>SUM(J57:J59)</f>
        <v>11802289</v>
      </c>
      <c r="K56" s="971">
        <f>SUM(K57:K59)</f>
        <v>11831032</v>
      </c>
      <c r="L56" s="1675">
        <f>SUM(L57:L59)</f>
        <v>11831032</v>
      </c>
      <c r="M56" s="971"/>
      <c r="N56" s="1377"/>
      <c r="O56" s="1377"/>
    </row>
    <row r="57" spans="1:15" s="186" customFormat="1" ht="17.25">
      <c r="A57" s="647">
        <v>50</v>
      </c>
      <c r="B57" s="291" t="s">
        <v>384</v>
      </c>
      <c r="C57" s="104"/>
      <c r="D57" s="104"/>
      <c r="E57" s="104"/>
      <c r="F57" s="206" t="s">
        <v>196</v>
      </c>
      <c r="G57" s="2">
        <v>48512</v>
      </c>
      <c r="H57" s="2">
        <v>58070</v>
      </c>
      <c r="I57" s="2">
        <v>127144</v>
      </c>
      <c r="J57" s="1347">
        <v>12621</v>
      </c>
      <c r="K57" s="1178">
        <v>27970</v>
      </c>
      <c r="L57" s="1674">
        <v>27970</v>
      </c>
      <c r="M57" s="971"/>
      <c r="N57" s="1176"/>
      <c r="O57" s="1176"/>
    </row>
    <row r="58" spans="1:15" s="186" customFormat="1" ht="17.25">
      <c r="A58" s="647">
        <v>51</v>
      </c>
      <c r="B58" s="291" t="s">
        <v>314</v>
      </c>
      <c r="C58" s="104"/>
      <c r="D58" s="104"/>
      <c r="E58" s="104"/>
      <c r="F58" s="42" t="s">
        <v>197</v>
      </c>
      <c r="G58" s="2">
        <v>16696</v>
      </c>
      <c r="H58" s="2"/>
      <c r="I58" s="2">
        <v>24251</v>
      </c>
      <c r="J58" s="1347">
        <v>16985</v>
      </c>
      <c r="K58" s="1178">
        <v>24177</v>
      </c>
      <c r="L58" s="1674">
        <v>24177</v>
      </c>
      <c r="M58" s="971"/>
      <c r="N58" s="1176"/>
      <c r="O58" s="1176"/>
    </row>
    <row r="59" spans="1:15" s="186" customFormat="1" ht="17.25">
      <c r="A59" s="647">
        <v>52</v>
      </c>
      <c r="B59" s="96">
        <v>18</v>
      </c>
      <c r="C59" s="104"/>
      <c r="D59" s="104"/>
      <c r="E59" s="104"/>
      <c r="F59" s="206" t="s">
        <v>376</v>
      </c>
      <c r="G59" s="2">
        <v>4850727</v>
      </c>
      <c r="H59" s="2">
        <v>7030000</v>
      </c>
      <c r="I59" s="2">
        <v>10055736</v>
      </c>
      <c r="J59" s="1347">
        <v>11772683</v>
      </c>
      <c r="K59" s="1178">
        <v>11778885</v>
      </c>
      <c r="L59" s="1674">
        <v>11778885</v>
      </c>
      <c r="M59" s="971"/>
      <c r="N59" s="1176"/>
      <c r="O59" s="1176"/>
    </row>
    <row r="60" spans="1:15" s="21" customFormat="1" ht="30" customHeight="1">
      <c r="A60" s="647">
        <v>53</v>
      </c>
      <c r="B60" s="296"/>
      <c r="C60" s="196"/>
      <c r="D60" s="197"/>
      <c r="E60" s="197"/>
      <c r="F60" s="205" t="s">
        <v>293</v>
      </c>
      <c r="G60" s="44">
        <f>SUM(G61:G63)</f>
        <v>51512</v>
      </c>
      <c r="H60" s="44">
        <f>SUM(H61:H63)</f>
        <v>676488</v>
      </c>
      <c r="I60" s="44">
        <f>SUM(I61:I63)</f>
        <v>47488</v>
      </c>
      <c r="J60" s="965">
        <f>SUM(J61:J63)</f>
        <v>1409800</v>
      </c>
      <c r="K60" s="970">
        <f>SUM(K61:K63)</f>
        <v>1260000</v>
      </c>
      <c r="L60" s="1996">
        <f>SUM(L61:L63)</f>
        <v>645374</v>
      </c>
      <c r="M60" s="974"/>
      <c r="N60" s="1468"/>
      <c r="O60" s="1468"/>
    </row>
    <row r="61" spans="1:15" s="107" customFormat="1" ht="24" customHeight="1">
      <c r="A61" s="647">
        <v>54</v>
      </c>
      <c r="B61" s="96">
        <v>18</v>
      </c>
      <c r="C61" s="146"/>
      <c r="D61" s="104">
        <v>2</v>
      </c>
      <c r="E61" s="104"/>
      <c r="F61" s="147" t="s">
        <v>198</v>
      </c>
      <c r="G61" s="43"/>
      <c r="H61" s="43"/>
      <c r="I61" s="43"/>
      <c r="J61" s="1348"/>
      <c r="K61" s="971"/>
      <c r="L61" s="1678"/>
      <c r="M61" s="974"/>
      <c r="N61" s="1377"/>
      <c r="O61" s="1377"/>
    </row>
    <row r="62" spans="1:13" ht="17.25">
      <c r="A62" s="647">
        <v>55</v>
      </c>
      <c r="B62" s="96"/>
      <c r="C62" s="104"/>
      <c r="D62" s="104"/>
      <c r="E62" s="104"/>
      <c r="F62" s="42" t="s">
        <v>198</v>
      </c>
      <c r="G62" s="2"/>
      <c r="H62" s="2">
        <v>629000</v>
      </c>
      <c r="I62" s="2"/>
      <c r="J62" s="1347">
        <v>780800</v>
      </c>
      <c r="K62" s="1178">
        <v>631000</v>
      </c>
      <c r="L62" s="1674">
        <v>286988</v>
      </c>
      <c r="M62" s="971"/>
    </row>
    <row r="63" spans="1:13" ht="17.25">
      <c r="A63" s="647">
        <v>56</v>
      </c>
      <c r="B63" s="96"/>
      <c r="C63" s="104"/>
      <c r="D63" s="104"/>
      <c r="E63" s="104"/>
      <c r="F63" s="207" t="s">
        <v>199</v>
      </c>
      <c r="G63" s="45">
        <v>51512</v>
      </c>
      <c r="H63" s="45">
        <v>47488</v>
      </c>
      <c r="I63" s="45">
        <v>47488</v>
      </c>
      <c r="J63" s="1347">
        <v>629000</v>
      </c>
      <c r="K63" s="1178">
        <v>629000</v>
      </c>
      <c r="L63" s="1681">
        <v>358386</v>
      </c>
      <c r="M63" s="1178"/>
    </row>
    <row r="64" spans="1:15" s="21" customFormat="1" ht="36" customHeight="1" thickBot="1">
      <c r="A64" s="647">
        <v>57</v>
      </c>
      <c r="B64" s="297"/>
      <c r="C64" s="208"/>
      <c r="D64" s="209"/>
      <c r="E64" s="209"/>
      <c r="F64" s="210" t="s">
        <v>200</v>
      </c>
      <c r="G64" s="312">
        <f aca="true" t="shared" si="4" ref="G64:L64">SUM(G47,G49)</f>
        <v>33868500</v>
      </c>
      <c r="H64" s="312">
        <f t="shared" si="4"/>
        <v>27706184</v>
      </c>
      <c r="I64" s="312">
        <f t="shared" si="4"/>
        <v>34391699</v>
      </c>
      <c r="J64" s="969">
        <f t="shared" si="4"/>
        <v>37772045</v>
      </c>
      <c r="K64" s="975">
        <f t="shared" si="4"/>
        <v>46876950</v>
      </c>
      <c r="L64" s="2000">
        <f t="shared" si="4"/>
        <v>41400075</v>
      </c>
      <c r="M64" s="974"/>
      <c r="N64" s="1468"/>
      <c r="O64" s="1468"/>
    </row>
  </sheetData>
  <sheetProtection/>
  <mergeCells count="3">
    <mergeCell ref="B3:L3"/>
    <mergeCell ref="B4:L4"/>
    <mergeCell ref="B1:L1"/>
  </mergeCells>
  <printOptions horizontalCentered="1"/>
  <pageMargins left="0.1968503937007874" right="0.1968503937007874" top="0.5905511811023623" bottom="0.5905511811023623" header="0.31496062992125984" footer="0.31496062992125984"/>
  <pageSetup fitToHeight="2" fitToWidth="1" horizontalDpi="600" verticalDpi="600" orientation="portrait" paperSize="9" scale="59" r:id="rId1"/>
  <headerFooter alignWithMargins="0">
    <oddFooter>&amp;C- &amp;P -</oddFooter>
  </headerFooter>
  <rowBreaks count="1" manualBreakCount="1">
    <brk id="42" max="12" man="1"/>
  </rowBreaks>
</worksheet>
</file>

<file path=xl/worksheets/sheet10.xml><?xml version="1.0" encoding="utf-8"?>
<worksheet xmlns="http://schemas.openxmlformats.org/spreadsheetml/2006/main" xmlns:r="http://schemas.openxmlformats.org/officeDocument/2006/relationships">
  <sheetPr>
    <pageSetUpPr fitToPage="1"/>
  </sheetPr>
  <dimension ref="A1:IR119"/>
  <sheetViews>
    <sheetView view="pageBreakPreview" zoomScaleSheetLayoutView="100" zoomScalePageLayoutView="0" workbookViewId="0" topLeftCell="A1">
      <pane ySplit="8" topLeftCell="A105" activePane="bottomLeft" state="frozen"/>
      <selection pane="topLeft" activeCell="I6" sqref="I6"/>
      <selection pane="bottomLeft" activeCell="B1" sqref="B1:Q1"/>
    </sheetView>
  </sheetViews>
  <sheetFormatPr defaultColWidth="9.125" defaultRowHeight="12.75"/>
  <cols>
    <col min="1" max="1" width="3.625" style="508" customWidth="1"/>
    <col min="2" max="2" width="5.75390625" style="499" customWidth="1"/>
    <col min="3" max="3" width="5.75390625" style="500" customWidth="1"/>
    <col min="4" max="4" width="59.75390625" style="501" customWidth="1"/>
    <col min="5" max="7" width="10.75390625" style="497" customWidth="1"/>
    <col min="8" max="8" width="6.75390625" style="502" customWidth="1"/>
    <col min="9" max="10" width="14.875" style="497" customWidth="1"/>
    <col min="11" max="11" width="15.75390625" style="497" customWidth="1"/>
    <col min="12" max="12" width="13.75390625" style="507" customWidth="1"/>
    <col min="13" max="16384" width="9.125" style="498" customWidth="1"/>
  </cols>
  <sheetData>
    <row r="1" spans="2:17" ht="16.5" customHeight="1">
      <c r="B1" s="2140" t="s">
        <v>1466</v>
      </c>
      <c r="C1" s="2140"/>
      <c r="D1" s="2140"/>
      <c r="E1" s="2140"/>
      <c r="F1" s="2140"/>
      <c r="G1" s="2140"/>
      <c r="H1" s="2140"/>
      <c r="I1" s="2140"/>
      <c r="J1" s="2140"/>
      <c r="K1" s="2140"/>
      <c r="L1" s="2140"/>
      <c r="M1" s="2140"/>
      <c r="N1" s="2140"/>
      <c r="O1" s="2140"/>
      <c r="P1" s="2140"/>
      <c r="Q1" s="2140"/>
    </row>
    <row r="2" spans="1:12" s="320" customFormat="1" ht="18" customHeight="1">
      <c r="A2" s="508"/>
      <c r="B2" s="2173" t="s">
        <v>14</v>
      </c>
      <c r="C2" s="2173"/>
      <c r="D2" s="2173"/>
      <c r="E2" s="2173"/>
      <c r="F2" s="2173"/>
      <c r="G2" s="2173"/>
      <c r="H2" s="2173"/>
      <c r="I2" s="2173"/>
      <c r="J2" s="2173"/>
      <c r="K2" s="2173"/>
      <c r="L2" s="2173"/>
    </row>
    <row r="3" spans="1:12" s="320" customFormat="1" ht="18" customHeight="1">
      <c r="A3" s="508"/>
      <c r="B3" s="2174" t="s">
        <v>1051</v>
      </c>
      <c r="C3" s="2174"/>
      <c r="D3" s="2174"/>
      <c r="E3" s="2174"/>
      <c r="F3" s="2174"/>
      <c r="G3" s="2174"/>
      <c r="H3" s="2174"/>
      <c r="I3" s="2174"/>
      <c r="J3" s="2174"/>
      <c r="K3" s="2174"/>
      <c r="L3" s="2174"/>
    </row>
    <row r="4" ht="18" customHeight="1">
      <c r="L4" s="503" t="s">
        <v>0</v>
      </c>
    </row>
    <row r="5" spans="1:250" s="101" customFormat="1" ht="18" customHeight="1" thickBot="1">
      <c r="A5" s="508"/>
      <c r="B5" s="530" t="s">
        <v>1</v>
      </c>
      <c r="C5" s="531" t="s">
        <v>3</v>
      </c>
      <c r="D5" s="531" t="s">
        <v>2</v>
      </c>
      <c r="E5" s="531" t="s">
        <v>4</v>
      </c>
      <c r="F5" s="531" t="s">
        <v>5</v>
      </c>
      <c r="G5" s="531" t="s">
        <v>15</v>
      </c>
      <c r="H5" s="531" t="s">
        <v>16</v>
      </c>
      <c r="I5" s="531" t="s">
        <v>17</v>
      </c>
      <c r="J5" s="531" t="s">
        <v>36</v>
      </c>
      <c r="K5" s="531" t="s">
        <v>30</v>
      </c>
      <c r="L5" s="531" t="s">
        <v>23</v>
      </c>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8"/>
      <c r="AM5" s="508"/>
      <c r="AN5" s="508"/>
      <c r="AO5" s="508"/>
      <c r="AP5" s="508"/>
      <c r="AQ5" s="508"/>
      <c r="AR5" s="508"/>
      <c r="AS5" s="508"/>
      <c r="AT5" s="508"/>
      <c r="AU5" s="508"/>
      <c r="AV5" s="508"/>
      <c r="AW5" s="508"/>
      <c r="AX5" s="508"/>
      <c r="AY5" s="508"/>
      <c r="AZ5" s="508"/>
      <c r="BA5" s="508"/>
      <c r="BB5" s="508"/>
      <c r="BC5" s="508"/>
      <c r="BD5" s="508"/>
      <c r="BE5" s="508"/>
      <c r="BF5" s="508"/>
      <c r="BG5" s="508"/>
      <c r="BH5" s="508"/>
      <c r="BI5" s="508"/>
      <c r="BJ5" s="508"/>
      <c r="BK5" s="508"/>
      <c r="BL5" s="508"/>
      <c r="BM5" s="508"/>
      <c r="BN5" s="508"/>
      <c r="BO5" s="508"/>
      <c r="BP5" s="508"/>
      <c r="BQ5" s="508"/>
      <c r="BR5" s="508"/>
      <c r="BS5" s="508"/>
      <c r="BT5" s="508"/>
      <c r="BU5" s="508"/>
      <c r="BV5" s="508"/>
      <c r="BW5" s="508"/>
      <c r="BX5" s="508"/>
      <c r="BY5" s="508"/>
      <c r="BZ5" s="508"/>
      <c r="CA5" s="508"/>
      <c r="CB5" s="508"/>
      <c r="CC5" s="508"/>
      <c r="CD5" s="508"/>
      <c r="CE5" s="508"/>
      <c r="CF5" s="508"/>
      <c r="CG5" s="508"/>
      <c r="CH5" s="508"/>
      <c r="CI5" s="508"/>
      <c r="CJ5" s="508"/>
      <c r="CK5" s="508"/>
      <c r="CL5" s="508"/>
      <c r="CM5" s="508"/>
      <c r="CN5" s="508"/>
      <c r="CO5" s="508"/>
      <c r="CP5" s="508"/>
      <c r="CQ5" s="508"/>
      <c r="CR5" s="508"/>
      <c r="CS5" s="508"/>
      <c r="CT5" s="508"/>
      <c r="CU5" s="508"/>
      <c r="CV5" s="508"/>
      <c r="CW5" s="508"/>
      <c r="CX5" s="508"/>
      <c r="CY5" s="508"/>
      <c r="CZ5" s="508"/>
      <c r="DA5" s="508"/>
      <c r="DB5" s="508"/>
      <c r="DC5" s="508"/>
      <c r="DD5" s="508"/>
      <c r="DE5" s="508"/>
      <c r="DF5" s="508"/>
      <c r="DG5" s="508"/>
      <c r="DH5" s="508"/>
      <c r="DI5" s="508"/>
      <c r="DJ5" s="508"/>
      <c r="DK5" s="508"/>
      <c r="DL5" s="508"/>
      <c r="DM5" s="508"/>
      <c r="DN5" s="508"/>
      <c r="DO5" s="508"/>
      <c r="DP5" s="508"/>
      <c r="DQ5" s="508"/>
      <c r="DR5" s="508"/>
      <c r="DS5" s="508"/>
      <c r="DT5" s="508"/>
      <c r="DU5" s="508"/>
      <c r="DV5" s="508"/>
      <c r="DW5" s="508"/>
      <c r="DX5" s="508"/>
      <c r="DY5" s="508"/>
      <c r="DZ5" s="508"/>
      <c r="EA5" s="508"/>
      <c r="EB5" s="508"/>
      <c r="EC5" s="508"/>
      <c r="ED5" s="508"/>
      <c r="EE5" s="508"/>
      <c r="EF5" s="508"/>
      <c r="EG5" s="508"/>
      <c r="EH5" s="508"/>
      <c r="EI5" s="508"/>
      <c r="EJ5" s="508"/>
      <c r="EK5" s="508"/>
      <c r="EL5" s="508"/>
      <c r="EM5" s="508"/>
      <c r="EN5" s="508"/>
      <c r="EO5" s="508"/>
      <c r="EP5" s="508"/>
      <c r="EQ5" s="508"/>
      <c r="ER5" s="508"/>
      <c r="ES5" s="508"/>
      <c r="ET5" s="508"/>
      <c r="EU5" s="508"/>
      <c r="EV5" s="508"/>
      <c r="EW5" s="508"/>
      <c r="EX5" s="508"/>
      <c r="EY5" s="508"/>
      <c r="EZ5" s="508"/>
      <c r="FA5" s="508"/>
      <c r="FB5" s="508"/>
      <c r="FC5" s="508"/>
      <c r="FD5" s="508"/>
      <c r="FE5" s="508"/>
      <c r="FF5" s="508"/>
      <c r="FG5" s="508"/>
      <c r="FH5" s="508"/>
      <c r="FI5" s="508"/>
      <c r="FJ5" s="508"/>
      <c r="FK5" s="508"/>
      <c r="FL5" s="508"/>
      <c r="FM5" s="508"/>
      <c r="FN5" s="508"/>
      <c r="FO5" s="508"/>
      <c r="FP5" s="508"/>
      <c r="FQ5" s="508"/>
      <c r="FR5" s="508"/>
      <c r="FS5" s="508"/>
      <c r="FT5" s="508"/>
      <c r="FU5" s="508"/>
      <c r="FV5" s="508"/>
      <c r="FW5" s="508"/>
      <c r="FX5" s="508"/>
      <c r="FY5" s="508"/>
      <c r="FZ5" s="508"/>
      <c r="GA5" s="508"/>
      <c r="GB5" s="508"/>
      <c r="GC5" s="508"/>
      <c r="GD5" s="508"/>
      <c r="GE5" s="508"/>
      <c r="GF5" s="508"/>
      <c r="GG5" s="508"/>
      <c r="GH5" s="508"/>
      <c r="GI5" s="508"/>
      <c r="GJ5" s="508"/>
      <c r="GK5" s="508"/>
      <c r="GL5" s="508"/>
      <c r="GM5" s="508"/>
      <c r="GN5" s="508"/>
      <c r="GO5" s="508"/>
      <c r="GP5" s="508"/>
      <c r="GQ5" s="508"/>
      <c r="GR5" s="508"/>
      <c r="GS5" s="508"/>
      <c r="GT5" s="508"/>
      <c r="GU5" s="508"/>
      <c r="GV5" s="508"/>
      <c r="GW5" s="508"/>
      <c r="GX5" s="508"/>
      <c r="GY5" s="508"/>
      <c r="GZ5" s="508"/>
      <c r="HA5" s="508"/>
      <c r="HB5" s="508"/>
      <c r="HC5" s="508"/>
      <c r="HD5" s="508"/>
      <c r="HE5" s="508"/>
      <c r="HF5" s="508"/>
      <c r="HG5" s="508"/>
      <c r="HH5" s="508"/>
      <c r="HI5" s="508"/>
      <c r="HJ5" s="508"/>
      <c r="HK5" s="508"/>
      <c r="HL5" s="508"/>
      <c r="HM5" s="508"/>
      <c r="HN5" s="508"/>
      <c r="HO5" s="508"/>
      <c r="HP5" s="508"/>
      <c r="HQ5" s="508"/>
      <c r="HR5" s="508"/>
      <c r="HS5" s="508"/>
      <c r="HT5" s="508"/>
      <c r="HU5" s="508"/>
      <c r="HV5" s="508"/>
      <c r="HW5" s="508"/>
      <c r="HX5" s="508"/>
      <c r="HY5" s="508"/>
      <c r="HZ5" s="508"/>
      <c r="IA5" s="508"/>
      <c r="IB5" s="508"/>
      <c r="IC5" s="508"/>
      <c r="ID5" s="508"/>
      <c r="IE5" s="508"/>
      <c r="IF5" s="508"/>
      <c r="IG5" s="508"/>
      <c r="IH5" s="508"/>
      <c r="II5" s="508"/>
      <c r="IJ5" s="508"/>
      <c r="IK5" s="508"/>
      <c r="IL5" s="508"/>
      <c r="IM5" s="508"/>
      <c r="IN5" s="508"/>
      <c r="IO5" s="508"/>
      <c r="IP5" s="508"/>
    </row>
    <row r="6" spans="2:12" ht="30" customHeight="1">
      <c r="B6" s="2175" t="s">
        <v>18</v>
      </c>
      <c r="C6" s="2178" t="s">
        <v>19</v>
      </c>
      <c r="D6" s="2181" t="s">
        <v>6</v>
      </c>
      <c r="E6" s="2184" t="s">
        <v>21</v>
      </c>
      <c r="F6" s="2184" t="s">
        <v>568</v>
      </c>
      <c r="G6" s="2187" t="s">
        <v>764</v>
      </c>
      <c r="H6" s="2190" t="s">
        <v>294</v>
      </c>
      <c r="I6" s="2205" t="s">
        <v>569</v>
      </c>
      <c r="J6" s="2205"/>
      <c r="K6" s="2206"/>
      <c r="L6" s="2196" t="s">
        <v>574</v>
      </c>
    </row>
    <row r="7" spans="2:12" ht="45" customHeight="1">
      <c r="B7" s="2176"/>
      <c r="C7" s="2179"/>
      <c r="D7" s="2182"/>
      <c r="E7" s="2185"/>
      <c r="F7" s="2185"/>
      <c r="G7" s="2188"/>
      <c r="H7" s="2191"/>
      <c r="I7" s="502" t="s">
        <v>39</v>
      </c>
      <c r="J7" s="1482" t="s">
        <v>161</v>
      </c>
      <c r="K7" s="2200" t="s">
        <v>127</v>
      </c>
      <c r="L7" s="2197"/>
    </row>
    <row r="8" spans="2:12" ht="53.25" customHeight="1" thickBot="1">
      <c r="B8" s="2177"/>
      <c r="C8" s="2180"/>
      <c r="D8" s="2183"/>
      <c r="E8" s="2186"/>
      <c r="F8" s="2186"/>
      <c r="G8" s="2189"/>
      <c r="H8" s="2192"/>
      <c r="I8" s="708" t="s">
        <v>42</v>
      </c>
      <c r="J8" s="532" t="s">
        <v>228</v>
      </c>
      <c r="K8" s="2201"/>
      <c r="L8" s="2198"/>
    </row>
    <row r="9" spans="1:12" ht="23.25" customHeight="1">
      <c r="A9" s="509">
        <v>1</v>
      </c>
      <c r="B9" s="707">
        <v>18</v>
      </c>
      <c r="C9" s="700" t="s">
        <v>22</v>
      </c>
      <c r="D9" s="1263"/>
      <c r="E9" s="504"/>
      <c r="F9" s="520"/>
      <c r="G9" s="1257"/>
      <c r="H9" s="738"/>
      <c r="I9" s="709"/>
      <c r="J9" s="533"/>
      <c r="K9" s="534"/>
      <c r="L9" s="521"/>
    </row>
    <row r="10" spans="1:12" ht="22.5" customHeight="1">
      <c r="A10" s="509">
        <v>2</v>
      </c>
      <c r="B10" s="522"/>
      <c r="C10" s="523">
        <v>1</v>
      </c>
      <c r="D10" s="797" t="s">
        <v>707</v>
      </c>
      <c r="E10" s="524">
        <f>F10+G10+K13+L11</f>
        <v>19000</v>
      </c>
      <c r="F10" s="525">
        <v>10000</v>
      </c>
      <c r="G10" s="1258">
        <v>9000</v>
      </c>
      <c r="H10" s="739" t="s">
        <v>23</v>
      </c>
      <c r="I10" s="710"/>
      <c r="J10" s="1073"/>
      <c r="K10" s="536"/>
      <c r="L10" s="526"/>
    </row>
    <row r="11" spans="1:12" s="1084" customFormat="1" ht="18" customHeight="1">
      <c r="A11" s="509">
        <v>3</v>
      </c>
      <c r="B11" s="1074"/>
      <c r="C11" s="1075"/>
      <c r="D11" s="1076" t="s">
        <v>303</v>
      </c>
      <c r="E11" s="1077"/>
      <c r="F11" s="1078"/>
      <c r="G11" s="1261"/>
      <c r="H11" s="1079"/>
      <c r="I11" s="1080"/>
      <c r="J11" s="1081">
        <v>5000</v>
      </c>
      <c r="K11" s="1402">
        <f>SUM(I11:J11)</f>
        <v>5000</v>
      </c>
      <c r="L11" s="1083"/>
    </row>
    <row r="12" spans="1:12" s="1084" customFormat="1" ht="18" customHeight="1">
      <c r="A12" s="509">
        <v>4</v>
      </c>
      <c r="B12" s="1074"/>
      <c r="C12" s="1075"/>
      <c r="D12" s="1288" t="s">
        <v>994</v>
      </c>
      <c r="E12" s="1077"/>
      <c r="F12" s="1078"/>
      <c r="G12" s="1261"/>
      <c r="H12" s="1079"/>
      <c r="I12" s="1080"/>
      <c r="J12" s="1102">
        <v>0</v>
      </c>
      <c r="K12" s="1103">
        <f>SUM(I12:J12)</f>
        <v>0</v>
      </c>
      <c r="L12" s="1083"/>
    </row>
    <row r="13" spans="1:12" s="1095" customFormat="1" ht="18" customHeight="1">
      <c r="A13" s="509">
        <v>5</v>
      </c>
      <c r="B13" s="1085"/>
      <c r="C13" s="1086"/>
      <c r="D13" s="1087" t="s">
        <v>1035</v>
      </c>
      <c r="E13" s="1088"/>
      <c r="F13" s="1089"/>
      <c r="G13" s="1259"/>
      <c r="H13" s="1090"/>
      <c r="I13" s="1091"/>
      <c r="J13" s="1092">
        <v>0</v>
      </c>
      <c r="K13" s="1093">
        <f>SUM(I13:J13)</f>
        <v>0</v>
      </c>
      <c r="L13" s="1094"/>
    </row>
    <row r="14" spans="1:12" ht="22.5" customHeight="1">
      <c r="A14" s="509">
        <v>6</v>
      </c>
      <c r="B14" s="522"/>
      <c r="C14" s="523">
        <v>2</v>
      </c>
      <c r="D14" s="786" t="s">
        <v>648</v>
      </c>
      <c r="E14" s="524">
        <f>F14+G14+K17+L15</f>
        <v>310206</v>
      </c>
      <c r="F14" s="525">
        <v>127108</v>
      </c>
      <c r="G14" s="1258">
        <v>129978</v>
      </c>
      <c r="H14" s="739" t="s">
        <v>24</v>
      </c>
      <c r="I14" s="710"/>
      <c r="J14" s="535"/>
      <c r="K14" s="536"/>
      <c r="L14" s="526"/>
    </row>
    <row r="15" spans="1:12" s="1084" customFormat="1" ht="18" customHeight="1">
      <c r="A15" s="509">
        <v>7</v>
      </c>
      <c r="B15" s="1074"/>
      <c r="C15" s="1075"/>
      <c r="D15" s="1076" t="s">
        <v>303</v>
      </c>
      <c r="E15" s="1077"/>
      <c r="F15" s="1078"/>
      <c r="G15" s="1261"/>
      <c r="H15" s="1079"/>
      <c r="I15" s="1080"/>
      <c r="J15" s="1403">
        <v>158122</v>
      </c>
      <c r="K15" s="1402">
        <f>SUM(I15:J15)</f>
        <v>158122</v>
      </c>
      <c r="L15" s="1083"/>
    </row>
    <row r="16" spans="1:12" s="1084" customFormat="1" ht="18" customHeight="1">
      <c r="A16" s="509">
        <v>8</v>
      </c>
      <c r="B16" s="1074"/>
      <c r="C16" s="1075"/>
      <c r="D16" s="1288" t="s">
        <v>994</v>
      </c>
      <c r="E16" s="1077"/>
      <c r="F16" s="1078"/>
      <c r="G16" s="1261"/>
      <c r="H16" s="1079"/>
      <c r="I16" s="1080"/>
      <c r="J16" s="1265">
        <v>53515</v>
      </c>
      <c r="K16" s="1103">
        <f>SUM(I16:J16)</f>
        <v>53515</v>
      </c>
      <c r="L16" s="1083"/>
    </row>
    <row r="17" spans="1:12" s="1095" customFormat="1" ht="18" customHeight="1">
      <c r="A17" s="509">
        <v>9</v>
      </c>
      <c r="B17" s="1085"/>
      <c r="C17" s="1086"/>
      <c r="D17" s="1087" t="s">
        <v>1035</v>
      </c>
      <c r="E17" s="1088"/>
      <c r="F17" s="1089"/>
      <c r="G17" s="1259"/>
      <c r="H17" s="1090"/>
      <c r="I17" s="1091"/>
      <c r="J17" s="1264">
        <v>53120</v>
      </c>
      <c r="K17" s="1093">
        <f>SUM(I17:J17)</f>
        <v>53120</v>
      </c>
      <c r="L17" s="1094"/>
    </row>
    <row r="18" spans="1:16" ht="22.5" customHeight="1">
      <c r="A18" s="509">
        <v>10</v>
      </c>
      <c r="B18" s="522"/>
      <c r="C18" s="523">
        <v>3</v>
      </c>
      <c r="D18" s="786" t="s">
        <v>649</v>
      </c>
      <c r="E18" s="524">
        <f>F18+G18+K21+L19</f>
        <v>26217</v>
      </c>
      <c r="F18" s="525"/>
      <c r="G18" s="1258">
        <v>450</v>
      </c>
      <c r="H18" s="739" t="s">
        <v>23</v>
      </c>
      <c r="I18" s="710"/>
      <c r="J18" s="535"/>
      <c r="K18" s="536"/>
      <c r="L18" s="526"/>
      <c r="M18" s="510"/>
      <c r="N18" s="510"/>
      <c r="O18" s="510"/>
      <c r="P18" s="510"/>
    </row>
    <row r="19" spans="1:12" s="1084" customFormat="1" ht="18" customHeight="1">
      <c r="A19" s="509">
        <v>11</v>
      </c>
      <c r="B19" s="1074"/>
      <c r="C19" s="1075"/>
      <c r="D19" s="1076" t="s">
        <v>303</v>
      </c>
      <c r="E19" s="1077"/>
      <c r="F19" s="1078"/>
      <c r="G19" s="1261"/>
      <c r="H19" s="1079"/>
      <c r="I19" s="1080"/>
      <c r="J19" s="1081">
        <v>49550</v>
      </c>
      <c r="K19" s="1402">
        <f>SUM(I19:J19)</f>
        <v>49550</v>
      </c>
      <c r="L19" s="1083"/>
    </row>
    <row r="20" spans="1:12" s="1084" customFormat="1" ht="18" customHeight="1">
      <c r="A20" s="509">
        <v>12</v>
      </c>
      <c r="B20" s="1074"/>
      <c r="C20" s="1075"/>
      <c r="D20" s="1288" t="s">
        <v>994</v>
      </c>
      <c r="E20" s="1077"/>
      <c r="F20" s="1078"/>
      <c r="G20" s="1261"/>
      <c r="H20" s="1079"/>
      <c r="I20" s="1080"/>
      <c r="J20" s="1102">
        <v>49550</v>
      </c>
      <c r="K20" s="1103">
        <v>49550</v>
      </c>
      <c r="L20" s="1083"/>
    </row>
    <row r="21" spans="1:12" s="1095" customFormat="1" ht="18" customHeight="1">
      <c r="A21" s="509">
        <v>13</v>
      </c>
      <c r="B21" s="1085"/>
      <c r="C21" s="1086"/>
      <c r="D21" s="1087" t="s">
        <v>1036</v>
      </c>
      <c r="E21" s="1088"/>
      <c r="F21" s="1089"/>
      <c r="G21" s="1259"/>
      <c r="H21" s="1090"/>
      <c r="I21" s="1091"/>
      <c r="J21" s="1092">
        <v>25767</v>
      </c>
      <c r="K21" s="1093">
        <f>SUM(I21:J21)</f>
        <v>25767</v>
      </c>
      <c r="L21" s="1094"/>
    </row>
    <row r="22" spans="1:12" ht="22.5" customHeight="1">
      <c r="A22" s="509">
        <v>14</v>
      </c>
      <c r="B22" s="522"/>
      <c r="C22" s="523">
        <v>4</v>
      </c>
      <c r="D22" s="786" t="s">
        <v>540</v>
      </c>
      <c r="E22" s="524">
        <f>F22+G22+K25+L23</f>
        <v>9999</v>
      </c>
      <c r="F22" s="525">
        <v>9999</v>
      </c>
      <c r="G22" s="1258"/>
      <c r="H22" s="739" t="s">
        <v>24</v>
      </c>
      <c r="I22" s="710"/>
      <c r="J22" s="535"/>
      <c r="K22" s="536"/>
      <c r="L22" s="526"/>
    </row>
    <row r="23" spans="1:12" s="1084" customFormat="1" ht="18" customHeight="1">
      <c r="A23" s="509">
        <v>15</v>
      </c>
      <c r="B23" s="1074"/>
      <c r="C23" s="1075"/>
      <c r="D23" s="1076" t="s">
        <v>303</v>
      </c>
      <c r="E23" s="1077"/>
      <c r="F23" s="1078"/>
      <c r="G23" s="1261"/>
      <c r="H23" s="1079"/>
      <c r="I23" s="1080"/>
      <c r="J23" s="1081">
        <v>1235</v>
      </c>
      <c r="K23" s="1402">
        <f>SUM(I23:J23)</f>
        <v>1235</v>
      </c>
      <c r="L23" s="1083"/>
    </row>
    <row r="24" spans="1:12" s="1084" customFormat="1" ht="18" customHeight="1">
      <c r="A24" s="509">
        <v>16</v>
      </c>
      <c r="B24" s="1074"/>
      <c r="C24" s="1075"/>
      <c r="D24" s="1288" t="s">
        <v>994</v>
      </c>
      <c r="E24" s="1077"/>
      <c r="F24" s="1078"/>
      <c r="G24" s="1261"/>
      <c r="H24" s="1079"/>
      <c r="I24" s="1101">
        <v>18</v>
      </c>
      <c r="J24" s="1102">
        <v>1235</v>
      </c>
      <c r="K24" s="1103">
        <f>SUM(I24:J24)</f>
        <v>1253</v>
      </c>
      <c r="L24" s="1083"/>
    </row>
    <row r="25" spans="1:12" s="1095" customFormat="1" ht="18" customHeight="1">
      <c r="A25" s="509">
        <v>17</v>
      </c>
      <c r="B25" s="1085"/>
      <c r="C25" s="1086"/>
      <c r="D25" s="1087" t="s">
        <v>1035</v>
      </c>
      <c r="E25" s="1088"/>
      <c r="F25" s="1089"/>
      <c r="G25" s="1259"/>
      <c r="H25" s="1090"/>
      <c r="I25" s="1091">
        <v>0</v>
      </c>
      <c r="J25" s="1092">
        <v>0</v>
      </c>
      <c r="K25" s="1093">
        <f>SUM(I25:J25)</f>
        <v>0</v>
      </c>
      <c r="L25" s="1094"/>
    </row>
    <row r="26" spans="1:12" ht="22.5" customHeight="1">
      <c r="A26" s="509">
        <v>18</v>
      </c>
      <c r="B26" s="522"/>
      <c r="C26" s="523">
        <v>5</v>
      </c>
      <c r="D26" s="786" t="s">
        <v>538</v>
      </c>
      <c r="E26" s="524">
        <f>F26+G26+K29+L27</f>
        <v>3085</v>
      </c>
      <c r="F26" s="525">
        <v>2350</v>
      </c>
      <c r="G26" s="1258">
        <v>735</v>
      </c>
      <c r="H26" s="739" t="s">
        <v>24</v>
      </c>
      <c r="I26" s="710"/>
      <c r="J26" s="535"/>
      <c r="K26" s="536"/>
      <c r="L26" s="526"/>
    </row>
    <row r="27" spans="1:12" s="1084" customFormat="1" ht="18" customHeight="1">
      <c r="A27" s="509">
        <v>19</v>
      </c>
      <c r="B27" s="1074"/>
      <c r="C27" s="1075"/>
      <c r="D27" s="1076" t="s">
        <v>303</v>
      </c>
      <c r="E27" s="1077"/>
      <c r="F27" s="1078"/>
      <c r="G27" s="1261"/>
      <c r="H27" s="1079"/>
      <c r="I27" s="1080"/>
      <c r="J27" s="1081">
        <v>95</v>
      </c>
      <c r="K27" s="1402">
        <f>SUM(I27:J27)</f>
        <v>95</v>
      </c>
      <c r="L27" s="1083"/>
    </row>
    <row r="28" spans="1:12" s="1084" customFormat="1" ht="18" customHeight="1">
      <c r="A28" s="509">
        <v>20</v>
      </c>
      <c r="B28" s="1074"/>
      <c r="C28" s="1075"/>
      <c r="D28" s="1288" t="s">
        <v>994</v>
      </c>
      <c r="E28" s="1077"/>
      <c r="F28" s="1078"/>
      <c r="G28" s="1261"/>
      <c r="H28" s="1079"/>
      <c r="I28" s="1080"/>
      <c r="J28" s="1102">
        <v>0</v>
      </c>
      <c r="K28" s="1103">
        <f>SUM(I28:J28)</f>
        <v>0</v>
      </c>
      <c r="L28" s="1083"/>
    </row>
    <row r="29" spans="1:12" s="1095" customFormat="1" ht="18" customHeight="1">
      <c r="A29" s="509">
        <v>21</v>
      </c>
      <c r="B29" s="1085"/>
      <c r="C29" s="1086"/>
      <c r="D29" s="1087" t="s">
        <v>1035</v>
      </c>
      <c r="E29" s="1088"/>
      <c r="F29" s="1089"/>
      <c r="G29" s="1259"/>
      <c r="H29" s="1090"/>
      <c r="I29" s="1091"/>
      <c r="J29" s="1092">
        <v>0</v>
      </c>
      <c r="K29" s="1093">
        <v>0</v>
      </c>
      <c r="L29" s="1094"/>
    </row>
    <row r="30" spans="1:12" ht="22.5" customHeight="1">
      <c r="A30" s="509">
        <v>22</v>
      </c>
      <c r="B30" s="522"/>
      <c r="C30" s="523">
        <v>6</v>
      </c>
      <c r="D30" s="786" t="s">
        <v>630</v>
      </c>
      <c r="E30" s="524">
        <f>F30+G30+K33+L31</f>
        <v>28500</v>
      </c>
      <c r="F30" s="524"/>
      <c r="G30" s="1258">
        <v>20000</v>
      </c>
      <c r="H30" s="739" t="s">
        <v>24</v>
      </c>
      <c r="I30" s="711"/>
      <c r="J30" s="524"/>
      <c r="K30" s="537"/>
      <c r="L30" s="526"/>
    </row>
    <row r="31" spans="1:12" s="1084" customFormat="1" ht="18" customHeight="1">
      <c r="A31" s="509">
        <v>23</v>
      </c>
      <c r="B31" s="1074"/>
      <c r="C31" s="1075"/>
      <c r="D31" s="1076" t="s">
        <v>303</v>
      </c>
      <c r="E31" s="1077"/>
      <c r="F31" s="1078"/>
      <c r="G31" s="1261"/>
      <c r="H31" s="1079"/>
      <c r="I31" s="1080"/>
      <c r="J31" s="1081">
        <v>8500</v>
      </c>
      <c r="K31" s="1402">
        <f>SUM(I31:J31)</f>
        <v>8500</v>
      </c>
      <c r="L31" s="1083"/>
    </row>
    <row r="32" spans="1:12" s="1084" customFormat="1" ht="18" customHeight="1">
      <c r="A32" s="509">
        <v>24</v>
      </c>
      <c r="B32" s="1074"/>
      <c r="C32" s="1075"/>
      <c r="D32" s="1288" t="s">
        <v>994</v>
      </c>
      <c r="E32" s="1077"/>
      <c r="F32" s="1078"/>
      <c r="G32" s="1261"/>
      <c r="H32" s="1079"/>
      <c r="I32" s="1080"/>
      <c r="J32" s="1102">
        <v>8500</v>
      </c>
      <c r="K32" s="1103">
        <f>SUM(I32:J32)</f>
        <v>8500</v>
      </c>
      <c r="L32" s="1083"/>
    </row>
    <row r="33" spans="1:12" s="1095" customFormat="1" ht="18" customHeight="1">
      <c r="A33" s="509">
        <v>25</v>
      </c>
      <c r="B33" s="1085"/>
      <c r="C33" s="1086"/>
      <c r="D33" s="1087" t="s">
        <v>1036</v>
      </c>
      <c r="E33" s="1088"/>
      <c r="F33" s="1089"/>
      <c r="G33" s="1259"/>
      <c r="H33" s="1090"/>
      <c r="I33" s="1091"/>
      <c r="J33" s="1092">
        <v>8500</v>
      </c>
      <c r="K33" s="1093">
        <f>SUM(I33:J33)</f>
        <v>8500</v>
      </c>
      <c r="L33" s="1094"/>
    </row>
    <row r="34" spans="1:12" ht="22.5" customHeight="1">
      <c r="A34" s="509">
        <v>26</v>
      </c>
      <c r="B34" s="522"/>
      <c r="C34" s="523">
        <v>7</v>
      </c>
      <c r="D34" s="786" t="s">
        <v>650</v>
      </c>
      <c r="E34" s="524">
        <f>F34+G34+K37+L35</f>
        <v>77497</v>
      </c>
      <c r="F34" s="524">
        <v>330</v>
      </c>
      <c r="G34" s="1258">
        <v>77167</v>
      </c>
      <c r="H34" s="739" t="s">
        <v>24</v>
      </c>
      <c r="I34" s="711"/>
      <c r="J34" s="524"/>
      <c r="K34" s="537"/>
      <c r="L34" s="526"/>
    </row>
    <row r="35" spans="1:12" s="1084" customFormat="1" ht="18" customHeight="1">
      <c r="A35" s="509">
        <v>27</v>
      </c>
      <c r="B35" s="1074"/>
      <c r="C35" s="1075"/>
      <c r="D35" s="1076" t="s">
        <v>303</v>
      </c>
      <c r="E35" s="1077"/>
      <c r="F35" s="1078"/>
      <c r="G35" s="1261"/>
      <c r="H35" s="1079"/>
      <c r="I35" s="1080"/>
      <c r="J35" s="1081">
        <v>25503</v>
      </c>
      <c r="K35" s="1402">
        <f>SUM(I35:J35)</f>
        <v>25503</v>
      </c>
      <c r="L35" s="1083"/>
    </row>
    <row r="36" spans="1:12" s="1084" customFormat="1" ht="18" customHeight="1">
      <c r="A36" s="509">
        <v>28</v>
      </c>
      <c r="B36" s="1074"/>
      <c r="C36" s="1075"/>
      <c r="D36" s="1288" t="s">
        <v>994</v>
      </c>
      <c r="E36" s="1077"/>
      <c r="F36" s="1078"/>
      <c r="G36" s="1261"/>
      <c r="H36" s="1079"/>
      <c r="I36" s="1080"/>
      <c r="J36" s="1102">
        <v>0</v>
      </c>
      <c r="K36" s="1103">
        <f>SUM(I36:J36)</f>
        <v>0</v>
      </c>
      <c r="L36" s="1083"/>
    </row>
    <row r="37" spans="1:12" s="1095" customFormat="1" ht="18" customHeight="1">
      <c r="A37" s="509">
        <v>29</v>
      </c>
      <c r="B37" s="1085"/>
      <c r="C37" s="1086"/>
      <c r="D37" s="1087" t="s">
        <v>1040</v>
      </c>
      <c r="E37" s="1088"/>
      <c r="F37" s="1089"/>
      <c r="G37" s="1259"/>
      <c r="H37" s="1090"/>
      <c r="I37" s="1091"/>
      <c r="J37" s="1092"/>
      <c r="K37" s="1093">
        <f>SUM(I37:J37)</f>
        <v>0</v>
      </c>
      <c r="L37" s="1094"/>
    </row>
    <row r="38" spans="1:12" ht="22.5" customHeight="1">
      <c r="A38" s="509">
        <v>30</v>
      </c>
      <c r="B38" s="522"/>
      <c r="C38" s="523">
        <v>8</v>
      </c>
      <c r="D38" s="786" t="s">
        <v>308</v>
      </c>
      <c r="E38" s="524">
        <f>F38+G38+K41+L39</f>
        <v>6728</v>
      </c>
      <c r="F38" s="524"/>
      <c r="G38" s="1258">
        <v>6728</v>
      </c>
      <c r="H38" s="739" t="s">
        <v>23</v>
      </c>
      <c r="I38" s="711"/>
      <c r="J38" s="524"/>
      <c r="K38" s="537"/>
      <c r="L38" s="526"/>
    </row>
    <row r="39" spans="1:12" s="1084" customFormat="1" ht="18" customHeight="1">
      <c r="A39" s="509">
        <v>31</v>
      </c>
      <c r="B39" s="1074"/>
      <c r="C39" s="1075"/>
      <c r="D39" s="1076" t="s">
        <v>303</v>
      </c>
      <c r="E39" s="1077"/>
      <c r="F39" s="1078"/>
      <c r="G39" s="1261"/>
      <c r="H39" s="1079"/>
      <c r="I39" s="1289">
        <v>300</v>
      </c>
      <c r="J39" s="1081">
        <v>25372</v>
      </c>
      <c r="K39" s="1402">
        <f>SUM(I39:J39)</f>
        <v>25672</v>
      </c>
      <c r="L39" s="1083"/>
    </row>
    <row r="40" spans="1:12" s="1084" customFormat="1" ht="18" customHeight="1">
      <c r="A40" s="509">
        <v>32</v>
      </c>
      <c r="B40" s="1074"/>
      <c r="C40" s="1075"/>
      <c r="D40" s="1288" t="s">
        <v>994</v>
      </c>
      <c r="E40" s="1077"/>
      <c r="F40" s="1078"/>
      <c r="G40" s="1261"/>
      <c r="H40" s="1079"/>
      <c r="I40" s="1101">
        <v>0</v>
      </c>
      <c r="J40" s="1102">
        <v>0</v>
      </c>
      <c r="K40" s="1103">
        <f>SUM(I40:J40)</f>
        <v>0</v>
      </c>
      <c r="L40" s="1083"/>
    </row>
    <row r="41" spans="1:12" s="1095" customFormat="1" ht="18" customHeight="1">
      <c r="A41" s="509">
        <v>33</v>
      </c>
      <c r="B41" s="1085"/>
      <c r="C41" s="1086"/>
      <c r="D41" s="1087" t="s">
        <v>1035</v>
      </c>
      <c r="E41" s="1088"/>
      <c r="F41" s="1089"/>
      <c r="G41" s="1259"/>
      <c r="H41" s="1090"/>
      <c r="I41" s="1091">
        <v>0</v>
      </c>
      <c r="J41" s="1092">
        <v>0</v>
      </c>
      <c r="K41" s="1093">
        <f>SUM(I41:J41)</f>
        <v>0</v>
      </c>
      <c r="L41" s="1094"/>
    </row>
    <row r="42" spans="1:12" ht="22.5" customHeight="1">
      <c r="A42" s="509">
        <v>34</v>
      </c>
      <c r="B42" s="522"/>
      <c r="C42" s="527"/>
      <c r="D42" s="787" t="s">
        <v>306</v>
      </c>
      <c r="E42" s="524"/>
      <c r="F42" s="525"/>
      <c r="G42" s="1258"/>
      <c r="H42" s="739" t="s">
        <v>23</v>
      </c>
      <c r="I42" s="710"/>
      <c r="J42" s="535"/>
      <c r="K42" s="536"/>
      <c r="L42" s="526"/>
    </row>
    <row r="43" spans="1:13" ht="22.5" customHeight="1">
      <c r="A43" s="509">
        <v>35</v>
      </c>
      <c r="B43" s="522"/>
      <c r="C43" s="523">
        <v>9</v>
      </c>
      <c r="D43" s="788" t="s">
        <v>651</v>
      </c>
      <c r="E43" s="524">
        <f>F43+G43+K46+L44</f>
        <v>6929</v>
      </c>
      <c r="F43" s="525"/>
      <c r="G43" s="1258">
        <v>6789</v>
      </c>
      <c r="H43" s="739"/>
      <c r="I43" s="710"/>
      <c r="J43" s="535"/>
      <c r="K43" s="536"/>
      <c r="L43" s="526"/>
      <c r="M43" s="510"/>
    </row>
    <row r="44" spans="1:12" s="1084" customFormat="1" ht="18" customHeight="1">
      <c r="A44" s="509">
        <v>36</v>
      </c>
      <c r="B44" s="1074"/>
      <c r="C44" s="1075"/>
      <c r="D44" s="1106" t="s">
        <v>303</v>
      </c>
      <c r="E44" s="1077"/>
      <c r="F44" s="1078"/>
      <c r="G44" s="1261"/>
      <c r="H44" s="1079"/>
      <c r="I44" s="1080"/>
      <c r="J44" s="1081">
        <v>211</v>
      </c>
      <c r="K44" s="1082">
        <f>SUM(I44:J44)</f>
        <v>211</v>
      </c>
      <c r="L44" s="1083"/>
    </row>
    <row r="45" spans="1:12" s="1084" customFormat="1" ht="18" customHeight="1">
      <c r="A45" s="509">
        <v>37</v>
      </c>
      <c r="B45" s="1074"/>
      <c r="C45" s="1075"/>
      <c r="D45" s="1108" t="s">
        <v>994</v>
      </c>
      <c r="E45" s="1077"/>
      <c r="F45" s="1078"/>
      <c r="G45" s="1261"/>
      <c r="H45" s="1079"/>
      <c r="I45" s="1080"/>
      <c r="J45" s="1102">
        <v>140</v>
      </c>
      <c r="K45" s="1103">
        <f>SUM(I45:J45)</f>
        <v>140</v>
      </c>
      <c r="L45" s="1083"/>
    </row>
    <row r="46" spans="1:12" s="1095" customFormat="1" ht="18" customHeight="1">
      <c r="A46" s="509">
        <v>38</v>
      </c>
      <c r="B46" s="1085"/>
      <c r="C46" s="1086"/>
      <c r="D46" s="1107" t="s">
        <v>1035</v>
      </c>
      <c r="E46" s="1088"/>
      <c r="F46" s="1089"/>
      <c r="G46" s="1259"/>
      <c r="H46" s="1090"/>
      <c r="I46" s="1091"/>
      <c r="J46" s="1092">
        <v>140</v>
      </c>
      <c r="K46" s="1093">
        <f>SUM(I46:J46)</f>
        <v>140</v>
      </c>
      <c r="L46" s="1094"/>
    </row>
    <row r="47" spans="1:12" ht="22.5" customHeight="1">
      <c r="A47" s="509">
        <v>39</v>
      </c>
      <c r="B47" s="522"/>
      <c r="C47" s="527"/>
      <c r="D47" s="789" t="s">
        <v>305</v>
      </c>
      <c r="E47" s="524"/>
      <c r="F47" s="525"/>
      <c r="G47" s="1258"/>
      <c r="H47" s="739" t="s">
        <v>23</v>
      </c>
      <c r="I47" s="710"/>
      <c r="J47" s="535"/>
      <c r="K47" s="536"/>
      <c r="L47" s="526"/>
    </row>
    <row r="48" spans="1:12" ht="22.5" customHeight="1">
      <c r="A48" s="509">
        <v>40</v>
      </c>
      <c r="B48" s="522"/>
      <c r="C48" s="523">
        <v>10</v>
      </c>
      <c r="D48" s="788" t="s">
        <v>652</v>
      </c>
      <c r="E48" s="524">
        <f>F48+G48+K51+L49</f>
        <v>6265</v>
      </c>
      <c r="F48" s="525"/>
      <c r="G48" s="1258"/>
      <c r="H48" s="739"/>
      <c r="I48" s="710"/>
      <c r="J48" s="535"/>
      <c r="K48" s="536"/>
      <c r="L48" s="526"/>
    </row>
    <row r="49" spans="1:12" s="1084" customFormat="1" ht="18" customHeight="1">
      <c r="A49" s="509">
        <v>41</v>
      </c>
      <c r="B49" s="1074"/>
      <c r="C49" s="1075"/>
      <c r="D49" s="1106" t="s">
        <v>303</v>
      </c>
      <c r="E49" s="1077"/>
      <c r="F49" s="1078"/>
      <c r="G49" s="1261"/>
      <c r="H49" s="1079"/>
      <c r="I49" s="1080"/>
      <c r="J49" s="1081">
        <v>6300</v>
      </c>
      <c r="K49" s="1402">
        <f>SUM(I49:J49)</f>
        <v>6300</v>
      </c>
      <c r="L49" s="1083"/>
    </row>
    <row r="50" spans="1:12" s="1084" customFormat="1" ht="18" customHeight="1">
      <c r="A50" s="509">
        <v>42</v>
      </c>
      <c r="B50" s="1074"/>
      <c r="C50" s="1075"/>
      <c r="D50" s="1108" t="s">
        <v>994</v>
      </c>
      <c r="E50" s="1077"/>
      <c r="F50" s="1078"/>
      <c r="G50" s="1261"/>
      <c r="H50" s="1079"/>
      <c r="I50" s="1080"/>
      <c r="J50" s="1102">
        <v>6265</v>
      </c>
      <c r="K50" s="1103">
        <f>SUM(I50:J50)</f>
        <v>6265</v>
      </c>
      <c r="L50" s="1083"/>
    </row>
    <row r="51" spans="1:12" s="1095" customFormat="1" ht="18" customHeight="1">
      <c r="A51" s="509">
        <v>43</v>
      </c>
      <c r="B51" s="1085"/>
      <c r="C51" s="1086"/>
      <c r="D51" s="1107" t="s">
        <v>1035</v>
      </c>
      <c r="E51" s="1088"/>
      <c r="F51" s="1089"/>
      <c r="G51" s="1259"/>
      <c r="H51" s="1090"/>
      <c r="I51" s="1091"/>
      <c r="J51" s="1092">
        <v>6265</v>
      </c>
      <c r="K51" s="1093">
        <f>SUM(I51:J51)</f>
        <v>6265</v>
      </c>
      <c r="L51" s="1094"/>
    </row>
    <row r="52" spans="1:12" ht="22.5" customHeight="1">
      <c r="A52" s="509">
        <v>44</v>
      </c>
      <c r="B52" s="522"/>
      <c r="C52" s="523"/>
      <c r="D52" s="790" t="s">
        <v>428</v>
      </c>
      <c r="E52" s="524"/>
      <c r="F52" s="525"/>
      <c r="G52" s="1258"/>
      <c r="H52" s="739"/>
      <c r="I52" s="710"/>
      <c r="J52" s="535"/>
      <c r="K52" s="536"/>
      <c r="L52" s="526"/>
    </row>
    <row r="53" spans="1:14" ht="22.5" customHeight="1">
      <c r="A53" s="509">
        <v>45</v>
      </c>
      <c r="B53" s="522"/>
      <c r="C53" s="523">
        <v>11</v>
      </c>
      <c r="D53" s="809" t="s">
        <v>653</v>
      </c>
      <c r="E53" s="524">
        <f>F53+G53+K56+L54</f>
        <v>9226</v>
      </c>
      <c r="F53" s="525"/>
      <c r="G53" s="1258">
        <v>7268</v>
      </c>
      <c r="H53" s="739"/>
      <c r="I53" s="710"/>
      <c r="J53" s="535"/>
      <c r="K53" s="536"/>
      <c r="L53" s="526"/>
      <c r="M53" s="510"/>
      <c r="N53" s="510"/>
    </row>
    <row r="54" spans="1:12" s="1084" customFormat="1" ht="18" customHeight="1">
      <c r="A54" s="509">
        <v>46</v>
      </c>
      <c r="B54" s="1074"/>
      <c r="C54" s="1075"/>
      <c r="D54" s="1106" t="s">
        <v>303</v>
      </c>
      <c r="E54" s="1077"/>
      <c r="F54" s="1078"/>
      <c r="G54" s="1261"/>
      <c r="H54" s="1079"/>
      <c r="I54" s="1080"/>
      <c r="J54" s="1081">
        <v>2232</v>
      </c>
      <c r="K54" s="1402">
        <f>SUM(I54:J54)</f>
        <v>2232</v>
      </c>
      <c r="L54" s="1083"/>
    </row>
    <row r="55" spans="1:12" s="1084" customFormat="1" ht="18" customHeight="1">
      <c r="A55" s="509">
        <v>47</v>
      </c>
      <c r="B55" s="1074"/>
      <c r="C55" s="1075"/>
      <c r="D55" s="1108" t="s">
        <v>994</v>
      </c>
      <c r="E55" s="1077"/>
      <c r="F55" s="1078"/>
      <c r="G55" s="1261"/>
      <c r="H55" s="1079"/>
      <c r="I55" s="1080"/>
      <c r="J55" s="1102">
        <v>1958</v>
      </c>
      <c r="K55" s="1103">
        <f>SUM(I55:J55)</f>
        <v>1958</v>
      </c>
      <c r="L55" s="1083"/>
    </row>
    <row r="56" spans="1:12" s="1095" customFormat="1" ht="18" customHeight="1">
      <c r="A56" s="509">
        <v>48</v>
      </c>
      <c r="B56" s="1085"/>
      <c r="C56" s="1086"/>
      <c r="D56" s="1107" t="s">
        <v>1036</v>
      </c>
      <c r="E56" s="1088"/>
      <c r="F56" s="1089"/>
      <c r="G56" s="1259"/>
      <c r="H56" s="1090"/>
      <c r="I56" s="1091"/>
      <c r="J56" s="1092">
        <v>1958</v>
      </c>
      <c r="K56" s="1093">
        <f>SUM(I56:J56)</f>
        <v>1958</v>
      </c>
      <c r="L56" s="1094"/>
    </row>
    <row r="57" spans="1:14" ht="22.5" customHeight="1">
      <c r="A57" s="509">
        <v>49</v>
      </c>
      <c r="B57" s="522"/>
      <c r="C57" s="527"/>
      <c r="D57" s="789" t="s">
        <v>261</v>
      </c>
      <c r="E57" s="524"/>
      <c r="F57" s="525"/>
      <c r="G57" s="1258"/>
      <c r="H57" s="739" t="s">
        <v>23</v>
      </c>
      <c r="I57" s="710"/>
      <c r="J57" s="535"/>
      <c r="K57" s="536"/>
      <c r="L57" s="526"/>
      <c r="M57" s="528"/>
      <c r="N57" s="510"/>
    </row>
    <row r="58" spans="1:14" ht="22.5" customHeight="1">
      <c r="A58" s="509">
        <v>50</v>
      </c>
      <c r="B58" s="522"/>
      <c r="C58" s="523"/>
      <c r="D58" s="790" t="s">
        <v>654</v>
      </c>
      <c r="E58" s="524"/>
      <c r="F58" s="525"/>
      <c r="G58" s="1258"/>
      <c r="H58" s="739"/>
      <c r="I58" s="710"/>
      <c r="J58" s="535"/>
      <c r="K58" s="536"/>
      <c r="L58" s="526"/>
      <c r="M58" s="528"/>
      <c r="N58" s="510"/>
    </row>
    <row r="59" spans="1:12" ht="22.5" customHeight="1">
      <c r="A59" s="509">
        <v>51</v>
      </c>
      <c r="B59" s="522"/>
      <c r="C59" s="523">
        <v>12</v>
      </c>
      <c r="D59" s="788" t="s">
        <v>655</v>
      </c>
      <c r="E59" s="524">
        <f>F59+G59+K62+L60</f>
        <v>3476</v>
      </c>
      <c r="F59" s="525"/>
      <c r="G59" s="1258"/>
      <c r="H59" s="739"/>
      <c r="I59" s="710"/>
      <c r="J59" s="535"/>
      <c r="K59" s="536"/>
      <c r="L59" s="526"/>
    </row>
    <row r="60" spans="1:12" s="1084" customFormat="1" ht="18" customHeight="1">
      <c r="A60" s="509">
        <v>52</v>
      </c>
      <c r="B60" s="1074"/>
      <c r="C60" s="1075"/>
      <c r="D60" s="1106" t="s">
        <v>303</v>
      </c>
      <c r="E60" s="1077"/>
      <c r="F60" s="1078"/>
      <c r="G60" s="1261"/>
      <c r="H60" s="1079"/>
      <c r="I60" s="1080"/>
      <c r="J60" s="1081">
        <v>3500</v>
      </c>
      <c r="K60" s="1402">
        <f>SUM(I60:J60)</f>
        <v>3500</v>
      </c>
      <c r="L60" s="1083"/>
    </row>
    <row r="61" spans="1:12" s="1084" customFormat="1" ht="18" customHeight="1">
      <c r="A61" s="509">
        <v>53</v>
      </c>
      <c r="B61" s="1074"/>
      <c r="C61" s="1075"/>
      <c r="D61" s="1108" t="s">
        <v>994</v>
      </c>
      <c r="E61" s="1077"/>
      <c r="F61" s="1078"/>
      <c r="G61" s="1261"/>
      <c r="H61" s="1079"/>
      <c r="I61" s="1080"/>
      <c r="J61" s="1102">
        <v>3476</v>
      </c>
      <c r="K61" s="1103">
        <f>SUM(I61:J61)</f>
        <v>3476</v>
      </c>
      <c r="L61" s="1083"/>
    </row>
    <row r="62" spans="1:12" s="1095" customFormat="1" ht="18" customHeight="1">
      <c r="A62" s="509">
        <v>54</v>
      </c>
      <c r="B62" s="1085"/>
      <c r="C62" s="1086"/>
      <c r="D62" s="1107" t="s">
        <v>1035</v>
      </c>
      <c r="E62" s="1088"/>
      <c r="F62" s="1089"/>
      <c r="G62" s="1259"/>
      <c r="H62" s="1090"/>
      <c r="I62" s="1091"/>
      <c r="J62" s="1092">
        <v>3476</v>
      </c>
      <c r="K62" s="1093">
        <f>SUM(I62:J62)</f>
        <v>3476</v>
      </c>
      <c r="L62" s="1094"/>
    </row>
    <row r="63" spans="1:12" ht="22.5" customHeight="1">
      <c r="A63" s="509">
        <v>55</v>
      </c>
      <c r="B63" s="522"/>
      <c r="C63" s="527"/>
      <c r="D63" s="790" t="s">
        <v>656</v>
      </c>
      <c r="E63" s="524"/>
      <c r="F63" s="525"/>
      <c r="G63" s="1258"/>
      <c r="H63" s="739"/>
      <c r="I63" s="710"/>
      <c r="J63" s="535"/>
      <c r="K63" s="536"/>
      <c r="L63" s="526"/>
    </row>
    <row r="64" spans="1:12" ht="22.5" customHeight="1">
      <c r="A64" s="509">
        <v>56</v>
      </c>
      <c r="B64" s="522"/>
      <c r="C64" s="523">
        <v>13</v>
      </c>
      <c r="D64" s="788" t="s">
        <v>655</v>
      </c>
      <c r="E64" s="524">
        <f>F64+G64+K67+L65</f>
        <v>9385</v>
      </c>
      <c r="F64" s="525"/>
      <c r="G64" s="1258"/>
      <c r="H64" s="739"/>
      <c r="I64" s="710"/>
      <c r="J64" s="535"/>
      <c r="K64" s="536"/>
      <c r="L64" s="526"/>
    </row>
    <row r="65" spans="1:12" s="1084" customFormat="1" ht="18" customHeight="1">
      <c r="A65" s="509">
        <v>57</v>
      </c>
      <c r="B65" s="1074"/>
      <c r="C65" s="1075"/>
      <c r="D65" s="1106" t="s">
        <v>303</v>
      </c>
      <c r="E65" s="1077"/>
      <c r="F65" s="1078"/>
      <c r="G65" s="1261"/>
      <c r="H65" s="1079"/>
      <c r="I65" s="1080"/>
      <c r="J65" s="1081">
        <v>9400</v>
      </c>
      <c r="K65" s="1402">
        <f>SUM(I65:J65)</f>
        <v>9400</v>
      </c>
      <c r="L65" s="1083"/>
    </row>
    <row r="66" spans="1:12" s="1084" customFormat="1" ht="18" customHeight="1">
      <c r="A66" s="509">
        <v>58</v>
      </c>
      <c r="B66" s="1074"/>
      <c r="C66" s="1075"/>
      <c r="D66" s="1108" t="s">
        <v>994</v>
      </c>
      <c r="E66" s="1077"/>
      <c r="F66" s="1078"/>
      <c r="G66" s="1261"/>
      <c r="H66" s="1079"/>
      <c r="I66" s="1080"/>
      <c r="J66" s="1102">
        <v>9385</v>
      </c>
      <c r="K66" s="1103">
        <f>SUM(I66:J66)</f>
        <v>9385</v>
      </c>
      <c r="L66" s="1083"/>
    </row>
    <row r="67" spans="1:12" s="1095" customFormat="1" ht="18" customHeight="1">
      <c r="A67" s="509">
        <v>59</v>
      </c>
      <c r="B67" s="1085"/>
      <c r="C67" s="1086"/>
      <c r="D67" s="1107" t="s">
        <v>1035</v>
      </c>
      <c r="E67" s="1088"/>
      <c r="F67" s="1089"/>
      <c r="G67" s="1259"/>
      <c r="H67" s="1090"/>
      <c r="I67" s="1091"/>
      <c r="J67" s="1092">
        <v>9385</v>
      </c>
      <c r="K67" s="1093">
        <f>SUM(I67:J67)</f>
        <v>9385</v>
      </c>
      <c r="L67" s="1094"/>
    </row>
    <row r="68" spans="1:13" ht="22.5" customHeight="1">
      <c r="A68" s="509">
        <v>60</v>
      </c>
      <c r="B68" s="522"/>
      <c r="C68" s="527"/>
      <c r="D68" s="789" t="s">
        <v>657</v>
      </c>
      <c r="E68" s="524"/>
      <c r="F68" s="525"/>
      <c r="G68" s="1258"/>
      <c r="H68" s="739" t="s">
        <v>23</v>
      </c>
      <c r="I68" s="710"/>
      <c r="J68" s="535"/>
      <c r="K68" s="536"/>
      <c r="L68" s="526"/>
      <c r="M68" s="529"/>
    </row>
    <row r="69" spans="1:12" ht="22.5" customHeight="1">
      <c r="A69" s="509">
        <v>61</v>
      </c>
      <c r="B69" s="522"/>
      <c r="C69" s="527"/>
      <c r="D69" s="790" t="s">
        <v>429</v>
      </c>
      <c r="E69" s="524"/>
      <c r="F69" s="525"/>
      <c r="G69" s="1258"/>
      <c r="H69" s="739"/>
      <c r="I69" s="710"/>
      <c r="J69" s="535"/>
      <c r="K69" s="536"/>
      <c r="L69" s="526"/>
    </row>
    <row r="70" spans="1:12" ht="22.5" customHeight="1">
      <c r="A70" s="509">
        <v>62</v>
      </c>
      <c r="B70" s="522"/>
      <c r="C70" s="523">
        <v>14</v>
      </c>
      <c r="D70" s="788" t="s">
        <v>658</v>
      </c>
      <c r="E70" s="524">
        <f>F70+G70+K73+L71</f>
        <v>1976</v>
      </c>
      <c r="F70" s="525"/>
      <c r="G70" s="1258">
        <v>1231</v>
      </c>
      <c r="H70" s="739"/>
      <c r="I70" s="710"/>
      <c r="J70" s="535"/>
      <c r="K70" s="536"/>
      <c r="L70" s="526"/>
    </row>
    <row r="71" spans="1:12" s="1084" customFormat="1" ht="18" customHeight="1">
      <c r="A71" s="509">
        <v>63</v>
      </c>
      <c r="B71" s="1074"/>
      <c r="C71" s="1075"/>
      <c r="D71" s="1106" t="s">
        <v>303</v>
      </c>
      <c r="E71" s="1077"/>
      <c r="F71" s="1078"/>
      <c r="G71" s="1261"/>
      <c r="H71" s="1079"/>
      <c r="I71" s="1080"/>
      <c r="J71" s="1081">
        <v>769</v>
      </c>
      <c r="K71" s="1402">
        <f>SUM(I71:J71)</f>
        <v>769</v>
      </c>
      <c r="L71" s="1083"/>
    </row>
    <row r="72" spans="1:12" s="1084" customFormat="1" ht="18" customHeight="1">
      <c r="A72" s="509">
        <v>64</v>
      </c>
      <c r="B72" s="1074"/>
      <c r="C72" s="1075"/>
      <c r="D72" s="1108" t="s">
        <v>994</v>
      </c>
      <c r="E72" s="1077"/>
      <c r="F72" s="1078"/>
      <c r="G72" s="1261"/>
      <c r="H72" s="1079"/>
      <c r="I72" s="1080"/>
      <c r="J72" s="1102">
        <v>745</v>
      </c>
      <c r="K72" s="1103">
        <f>SUM(I72:J72)</f>
        <v>745</v>
      </c>
      <c r="L72" s="1083"/>
    </row>
    <row r="73" spans="1:12" s="1095" customFormat="1" ht="18" customHeight="1">
      <c r="A73" s="509">
        <v>65</v>
      </c>
      <c r="B73" s="1085"/>
      <c r="C73" s="1086"/>
      <c r="D73" s="1107" t="s">
        <v>1035</v>
      </c>
      <c r="E73" s="1088"/>
      <c r="F73" s="1089"/>
      <c r="G73" s="1259"/>
      <c r="H73" s="1090"/>
      <c r="I73" s="1091"/>
      <c r="J73" s="1092">
        <v>745</v>
      </c>
      <c r="K73" s="1093">
        <f>SUM(I73:J73)</f>
        <v>745</v>
      </c>
      <c r="L73" s="1094"/>
    </row>
    <row r="74" spans="1:12" ht="22.5" customHeight="1">
      <c r="A74" s="509">
        <v>66</v>
      </c>
      <c r="B74" s="522"/>
      <c r="C74" s="523">
        <v>15</v>
      </c>
      <c r="D74" s="788" t="s">
        <v>659</v>
      </c>
      <c r="E74" s="524">
        <f>F74+G74+K77+L75</f>
        <v>4691</v>
      </c>
      <c r="F74" s="525"/>
      <c r="G74" s="1258">
        <v>4551</v>
      </c>
      <c r="H74" s="739"/>
      <c r="I74" s="710"/>
      <c r="J74" s="535"/>
      <c r="K74" s="536"/>
      <c r="L74" s="526"/>
    </row>
    <row r="75" spans="1:12" s="1084" customFormat="1" ht="18" customHeight="1">
      <c r="A75" s="509">
        <v>67</v>
      </c>
      <c r="B75" s="1074"/>
      <c r="C75" s="1075"/>
      <c r="D75" s="1106" t="s">
        <v>303</v>
      </c>
      <c r="E75" s="1077"/>
      <c r="F75" s="1078"/>
      <c r="G75" s="1261"/>
      <c r="H75" s="1079"/>
      <c r="I75" s="1080"/>
      <c r="J75" s="1081">
        <v>249</v>
      </c>
      <c r="K75" s="1402">
        <f>SUM(I75:J75)</f>
        <v>249</v>
      </c>
      <c r="L75" s="1083"/>
    </row>
    <row r="76" spans="1:12" s="1084" customFormat="1" ht="18" customHeight="1">
      <c r="A76" s="509">
        <v>68</v>
      </c>
      <c r="B76" s="1074"/>
      <c r="C76" s="1075"/>
      <c r="D76" s="1108" t="s">
        <v>994</v>
      </c>
      <c r="E76" s="1077"/>
      <c r="F76" s="1078"/>
      <c r="G76" s="1261"/>
      <c r="H76" s="1079"/>
      <c r="I76" s="1080"/>
      <c r="J76" s="1102">
        <v>140</v>
      </c>
      <c r="K76" s="1103">
        <f>SUM(I76:J76)</f>
        <v>140</v>
      </c>
      <c r="L76" s="1083"/>
    </row>
    <row r="77" spans="1:12" s="1095" customFormat="1" ht="18" customHeight="1">
      <c r="A77" s="509">
        <v>69</v>
      </c>
      <c r="B77" s="1085"/>
      <c r="C77" s="1086"/>
      <c r="D77" s="1107" t="s">
        <v>1035</v>
      </c>
      <c r="E77" s="1088"/>
      <c r="F77" s="1089"/>
      <c r="G77" s="1259"/>
      <c r="H77" s="1090"/>
      <c r="I77" s="1091"/>
      <c r="J77" s="1092">
        <v>140</v>
      </c>
      <c r="K77" s="1093">
        <f>SUM(I77:J77)</f>
        <v>140</v>
      </c>
      <c r="L77" s="1094"/>
    </row>
    <row r="78" spans="1:22" ht="22.5" customHeight="1">
      <c r="A78" s="509">
        <v>70</v>
      </c>
      <c r="B78" s="522"/>
      <c r="C78" s="527"/>
      <c r="D78" s="791" t="s">
        <v>660</v>
      </c>
      <c r="E78" s="524"/>
      <c r="F78" s="525"/>
      <c r="G78" s="1258"/>
      <c r="H78" s="739" t="s">
        <v>23</v>
      </c>
      <c r="I78" s="710"/>
      <c r="J78" s="535"/>
      <c r="K78" s="536"/>
      <c r="L78" s="526"/>
      <c r="M78" s="510"/>
      <c r="N78" s="510"/>
      <c r="O78" s="510"/>
      <c r="P78" s="510"/>
      <c r="Q78" s="510"/>
      <c r="R78" s="510"/>
      <c r="S78" s="510"/>
      <c r="T78" s="510"/>
      <c r="U78" s="510"/>
      <c r="V78" s="510"/>
    </row>
    <row r="79" spans="1:12" ht="22.5" customHeight="1">
      <c r="A79" s="509">
        <v>71</v>
      </c>
      <c r="B79" s="522"/>
      <c r="C79" s="523"/>
      <c r="D79" s="792" t="s">
        <v>661</v>
      </c>
      <c r="E79" s="524"/>
      <c r="F79" s="525"/>
      <c r="G79" s="1258"/>
      <c r="H79" s="739"/>
      <c r="I79" s="710"/>
      <c r="J79" s="535"/>
      <c r="K79" s="536"/>
      <c r="L79" s="526"/>
    </row>
    <row r="80" spans="1:12" ht="22.5" customHeight="1">
      <c r="A80" s="509">
        <v>72</v>
      </c>
      <c r="B80" s="522"/>
      <c r="C80" s="523">
        <v>16</v>
      </c>
      <c r="D80" s="788" t="s">
        <v>662</v>
      </c>
      <c r="E80" s="524">
        <f>F80+G80+K83+L81</f>
        <v>1163</v>
      </c>
      <c r="F80" s="525"/>
      <c r="G80" s="1258">
        <v>1125</v>
      </c>
      <c r="H80" s="739"/>
      <c r="I80" s="710"/>
      <c r="J80" s="535"/>
      <c r="K80" s="536"/>
      <c r="L80" s="526"/>
    </row>
    <row r="81" spans="1:12" s="1084" customFormat="1" ht="18" customHeight="1">
      <c r="A81" s="509">
        <v>73</v>
      </c>
      <c r="B81" s="1074"/>
      <c r="C81" s="1075"/>
      <c r="D81" s="1106" t="s">
        <v>303</v>
      </c>
      <c r="E81" s="1077"/>
      <c r="F81" s="1078"/>
      <c r="G81" s="1261"/>
      <c r="H81" s="1079"/>
      <c r="I81" s="1080"/>
      <c r="J81" s="1081">
        <v>75</v>
      </c>
      <c r="K81" s="1402">
        <f>SUM(I81:J81)</f>
        <v>75</v>
      </c>
      <c r="L81" s="1083"/>
    </row>
    <row r="82" spans="1:12" s="1084" customFormat="1" ht="18" customHeight="1">
      <c r="A82" s="509">
        <v>74</v>
      </c>
      <c r="B82" s="1074"/>
      <c r="C82" s="1075"/>
      <c r="D82" s="1108" t="s">
        <v>994</v>
      </c>
      <c r="E82" s="1077"/>
      <c r="F82" s="1078"/>
      <c r="G82" s="1261"/>
      <c r="H82" s="1079"/>
      <c r="I82" s="1080"/>
      <c r="J82" s="1102">
        <v>38</v>
      </c>
      <c r="K82" s="1103">
        <f>SUM(I82:J82)</f>
        <v>38</v>
      </c>
      <c r="L82" s="1083"/>
    </row>
    <row r="83" spans="1:12" s="1095" customFormat="1" ht="18" customHeight="1">
      <c r="A83" s="509">
        <v>75</v>
      </c>
      <c r="B83" s="1085"/>
      <c r="C83" s="1086"/>
      <c r="D83" s="1107" t="s">
        <v>1035</v>
      </c>
      <c r="E83" s="1088"/>
      <c r="F83" s="1089"/>
      <c r="G83" s="1259"/>
      <c r="H83" s="1090"/>
      <c r="I83" s="1091"/>
      <c r="J83" s="1092">
        <v>38</v>
      </c>
      <c r="K83" s="1093">
        <f>SUM(I83:J83)</f>
        <v>38</v>
      </c>
      <c r="L83" s="1094"/>
    </row>
    <row r="84" spans="1:12" ht="22.5" customHeight="1">
      <c r="A84" s="509">
        <v>76</v>
      </c>
      <c r="B84" s="522"/>
      <c r="C84" s="523">
        <v>17</v>
      </c>
      <c r="D84" s="788" t="s">
        <v>663</v>
      </c>
      <c r="E84" s="524">
        <f>F84+G84+K87+L85</f>
        <v>0</v>
      </c>
      <c r="F84" s="525"/>
      <c r="G84" s="1258"/>
      <c r="H84" s="739"/>
      <c r="I84" s="710"/>
      <c r="J84" s="535"/>
      <c r="K84" s="536"/>
      <c r="L84" s="526"/>
    </row>
    <row r="85" spans="1:12" s="1084" customFormat="1" ht="18" customHeight="1">
      <c r="A85" s="509">
        <v>77</v>
      </c>
      <c r="B85" s="1074"/>
      <c r="C85" s="1075"/>
      <c r="D85" s="1106" t="s">
        <v>303</v>
      </c>
      <c r="E85" s="1077"/>
      <c r="F85" s="1078"/>
      <c r="G85" s="1261"/>
      <c r="H85" s="1079"/>
      <c r="I85" s="1080"/>
      <c r="J85" s="1081">
        <v>5000</v>
      </c>
      <c r="K85" s="1402">
        <f>SUM(I85:J85)</f>
        <v>5000</v>
      </c>
      <c r="L85" s="1083"/>
    </row>
    <row r="86" spans="1:12" s="1084" customFormat="1" ht="18" customHeight="1">
      <c r="A86" s="509">
        <v>78</v>
      </c>
      <c r="B86" s="1074"/>
      <c r="C86" s="1075"/>
      <c r="D86" s="1108" t="s">
        <v>994</v>
      </c>
      <c r="E86" s="1077"/>
      <c r="F86" s="1078"/>
      <c r="G86" s="1261"/>
      <c r="H86" s="1079"/>
      <c r="I86" s="1080"/>
      <c r="J86" s="1102">
        <v>0</v>
      </c>
      <c r="K86" s="1103">
        <f>SUM(I86:J86)</f>
        <v>0</v>
      </c>
      <c r="L86" s="1083"/>
    </row>
    <row r="87" spans="1:12" s="1095" customFormat="1" ht="18" customHeight="1">
      <c r="A87" s="509">
        <v>79</v>
      </c>
      <c r="B87" s="1085"/>
      <c r="C87" s="1086"/>
      <c r="D87" s="1107" t="s">
        <v>1035</v>
      </c>
      <c r="E87" s="1088"/>
      <c r="F87" s="1089"/>
      <c r="G87" s="1259"/>
      <c r="H87" s="1090"/>
      <c r="I87" s="1091"/>
      <c r="J87" s="1092">
        <v>0</v>
      </c>
      <c r="K87" s="1093">
        <f>SUM(I87:J87)</f>
        <v>0</v>
      </c>
      <c r="L87" s="1094"/>
    </row>
    <row r="88" spans="1:12" ht="22.5" customHeight="1">
      <c r="A88" s="509">
        <v>80</v>
      </c>
      <c r="B88" s="522"/>
      <c r="C88" s="523"/>
      <c r="D88" s="793" t="s">
        <v>664</v>
      </c>
      <c r="E88" s="524"/>
      <c r="F88" s="525"/>
      <c r="G88" s="1258"/>
      <c r="H88" s="739" t="s">
        <v>23</v>
      </c>
      <c r="I88" s="710"/>
      <c r="J88" s="535"/>
      <c r="K88" s="536"/>
      <c r="L88" s="526"/>
    </row>
    <row r="89" spans="1:12" ht="22.5" customHeight="1">
      <c r="A89" s="509">
        <v>81</v>
      </c>
      <c r="B89" s="522"/>
      <c r="C89" s="527"/>
      <c r="D89" s="790" t="s">
        <v>433</v>
      </c>
      <c r="E89" s="524"/>
      <c r="F89" s="525"/>
      <c r="G89" s="1258"/>
      <c r="H89" s="739"/>
      <c r="I89" s="710"/>
      <c r="J89" s="535"/>
      <c r="K89" s="536"/>
      <c r="L89" s="526"/>
    </row>
    <row r="90" spans="1:12" ht="22.5" customHeight="1">
      <c r="A90" s="509">
        <v>82</v>
      </c>
      <c r="B90" s="522"/>
      <c r="C90" s="523">
        <v>18</v>
      </c>
      <c r="D90" s="788" t="s">
        <v>665</v>
      </c>
      <c r="E90" s="524">
        <f>F90+G90+K93+L91</f>
        <v>9191</v>
      </c>
      <c r="F90" s="524"/>
      <c r="G90" s="1258"/>
      <c r="H90" s="739"/>
      <c r="I90" s="711"/>
      <c r="J90" s="524"/>
      <c r="K90" s="537"/>
      <c r="L90" s="526"/>
    </row>
    <row r="91" spans="1:12" s="1084" customFormat="1" ht="18" customHeight="1">
      <c r="A91" s="509">
        <v>83</v>
      </c>
      <c r="B91" s="1074"/>
      <c r="C91" s="1075"/>
      <c r="D91" s="1106" t="s">
        <v>303</v>
      </c>
      <c r="E91" s="1077"/>
      <c r="F91" s="1078"/>
      <c r="G91" s="1261"/>
      <c r="H91" s="1079"/>
      <c r="I91" s="1080"/>
      <c r="J91" s="1081">
        <v>9200</v>
      </c>
      <c r="K91" s="1402">
        <f>SUM(I91:J91)</f>
        <v>9200</v>
      </c>
      <c r="L91" s="1083"/>
    </row>
    <row r="92" spans="1:12" s="1084" customFormat="1" ht="18" customHeight="1">
      <c r="A92" s="509">
        <v>84</v>
      </c>
      <c r="B92" s="1074"/>
      <c r="C92" s="1075"/>
      <c r="D92" s="1108" t="s">
        <v>994</v>
      </c>
      <c r="E92" s="1077"/>
      <c r="F92" s="1078"/>
      <c r="G92" s="1261"/>
      <c r="H92" s="1079"/>
      <c r="I92" s="1080"/>
      <c r="J92" s="1102">
        <v>9200</v>
      </c>
      <c r="K92" s="1103">
        <f>SUM(I92:J92)</f>
        <v>9200</v>
      </c>
      <c r="L92" s="1083"/>
    </row>
    <row r="93" spans="1:12" s="1095" customFormat="1" ht="18" customHeight="1">
      <c r="A93" s="509">
        <v>85</v>
      </c>
      <c r="B93" s="1085"/>
      <c r="C93" s="1086"/>
      <c r="D93" s="1107" t="s">
        <v>1036</v>
      </c>
      <c r="E93" s="1088"/>
      <c r="F93" s="1089"/>
      <c r="G93" s="1259"/>
      <c r="H93" s="1090"/>
      <c r="I93" s="1091"/>
      <c r="J93" s="1092">
        <v>9191</v>
      </c>
      <c r="K93" s="1093">
        <f>SUM(I93:J93)</f>
        <v>9191</v>
      </c>
      <c r="L93" s="1094"/>
    </row>
    <row r="94" spans="1:12" ht="22.5" customHeight="1">
      <c r="A94" s="509">
        <v>86</v>
      </c>
      <c r="B94" s="522"/>
      <c r="C94" s="523"/>
      <c r="D94" s="2207" t="s">
        <v>480</v>
      </c>
      <c r="E94" s="2208"/>
      <c r="F94" s="2209"/>
      <c r="G94" s="1258"/>
      <c r="H94" s="739" t="s">
        <v>23</v>
      </c>
      <c r="I94" s="711"/>
      <c r="J94" s="524"/>
      <c r="K94" s="537"/>
      <c r="L94" s="526"/>
    </row>
    <row r="95" spans="1:12" ht="22.5" customHeight="1">
      <c r="A95" s="509">
        <v>87</v>
      </c>
      <c r="B95" s="522"/>
      <c r="C95" s="527"/>
      <c r="D95" s="790" t="s">
        <v>666</v>
      </c>
      <c r="E95" s="524"/>
      <c r="F95" s="524"/>
      <c r="G95" s="1258"/>
      <c r="H95" s="739"/>
      <c r="I95" s="711"/>
      <c r="J95" s="524"/>
      <c r="K95" s="537"/>
      <c r="L95" s="526"/>
    </row>
    <row r="96" spans="1:12" ht="22.5" customHeight="1">
      <c r="A96" s="509">
        <v>88</v>
      </c>
      <c r="B96" s="522"/>
      <c r="C96" s="523">
        <v>19</v>
      </c>
      <c r="D96" s="788" t="s">
        <v>667</v>
      </c>
      <c r="E96" s="524">
        <f>F96+G96+K99+L97</f>
        <v>2470</v>
      </c>
      <c r="F96" s="524"/>
      <c r="G96" s="1258">
        <v>2394</v>
      </c>
      <c r="H96" s="739"/>
      <c r="I96" s="711"/>
      <c r="J96" s="524"/>
      <c r="K96" s="537"/>
      <c r="L96" s="526"/>
    </row>
    <row r="97" spans="1:12" s="1084" customFormat="1" ht="18" customHeight="1">
      <c r="A97" s="509">
        <v>89</v>
      </c>
      <c r="B97" s="1074"/>
      <c r="C97" s="1075"/>
      <c r="D97" s="1106" t="s">
        <v>303</v>
      </c>
      <c r="E97" s="1077"/>
      <c r="F97" s="1078"/>
      <c r="G97" s="1261"/>
      <c r="H97" s="1079"/>
      <c r="I97" s="1080"/>
      <c r="J97" s="1081">
        <v>106</v>
      </c>
      <c r="K97" s="1402">
        <f>SUM(I97:J97)</f>
        <v>106</v>
      </c>
      <c r="L97" s="1083"/>
    </row>
    <row r="98" spans="1:12" s="1084" customFormat="1" ht="18" customHeight="1">
      <c r="A98" s="509">
        <v>90</v>
      </c>
      <c r="B98" s="1074"/>
      <c r="C98" s="1075"/>
      <c r="D98" s="1108" t="s">
        <v>994</v>
      </c>
      <c r="E98" s="1077"/>
      <c r="F98" s="1078"/>
      <c r="G98" s="1261"/>
      <c r="H98" s="1079"/>
      <c r="I98" s="1080"/>
      <c r="J98" s="1102">
        <v>76</v>
      </c>
      <c r="K98" s="1103">
        <f>SUM(I98:J98)</f>
        <v>76</v>
      </c>
      <c r="L98" s="1083"/>
    </row>
    <row r="99" spans="1:12" s="1095" customFormat="1" ht="18" customHeight="1">
      <c r="A99" s="509">
        <v>91</v>
      </c>
      <c r="B99" s="1085"/>
      <c r="C99" s="1086"/>
      <c r="D99" s="1107" t="s">
        <v>1035</v>
      </c>
      <c r="E99" s="1088"/>
      <c r="F99" s="1089"/>
      <c r="G99" s="1259"/>
      <c r="H99" s="1090"/>
      <c r="I99" s="1091"/>
      <c r="J99" s="1092">
        <v>76</v>
      </c>
      <c r="K99" s="1093">
        <f>SUM(I99:J99)</f>
        <v>76</v>
      </c>
      <c r="L99" s="1094"/>
    </row>
    <row r="100" spans="1:12" ht="22.5" customHeight="1">
      <c r="A100" s="509">
        <v>92</v>
      </c>
      <c r="B100" s="522"/>
      <c r="C100" s="523"/>
      <c r="D100" s="791" t="s">
        <v>25</v>
      </c>
      <c r="E100" s="524"/>
      <c r="F100" s="524"/>
      <c r="G100" s="1258"/>
      <c r="H100" s="739" t="s">
        <v>23</v>
      </c>
      <c r="I100" s="711"/>
      <c r="J100" s="524"/>
      <c r="K100" s="537"/>
      <c r="L100" s="526"/>
    </row>
    <row r="101" spans="1:12" ht="22.5" customHeight="1">
      <c r="A101" s="509">
        <v>93</v>
      </c>
      <c r="B101" s="522"/>
      <c r="C101" s="523">
        <v>20</v>
      </c>
      <c r="D101" s="788" t="s">
        <v>786</v>
      </c>
      <c r="E101" s="524">
        <f>F101+G101+K104+L102</f>
        <v>8395</v>
      </c>
      <c r="F101" s="525"/>
      <c r="G101" s="1258"/>
      <c r="H101" s="740"/>
      <c r="I101" s="711"/>
      <c r="J101" s="524"/>
      <c r="K101" s="537"/>
      <c r="L101" s="526"/>
    </row>
    <row r="102" spans="1:12" s="1084" customFormat="1" ht="18" customHeight="1">
      <c r="A102" s="509">
        <v>94</v>
      </c>
      <c r="B102" s="1074"/>
      <c r="C102" s="1075"/>
      <c r="D102" s="1106" t="s">
        <v>303</v>
      </c>
      <c r="E102" s="1077"/>
      <c r="F102" s="1078"/>
      <c r="G102" s="1261"/>
      <c r="H102" s="1079"/>
      <c r="I102" s="1080"/>
      <c r="J102" s="1081">
        <v>8020</v>
      </c>
      <c r="K102" s="1402">
        <f aca="true" t="shared" si="0" ref="K102:K108">SUM(I102:J102)</f>
        <v>8020</v>
      </c>
      <c r="L102" s="1083"/>
    </row>
    <row r="103" spans="1:12" s="1084" customFormat="1" ht="18" customHeight="1">
      <c r="A103" s="509">
        <v>95</v>
      </c>
      <c r="B103" s="1074"/>
      <c r="C103" s="1075"/>
      <c r="D103" s="1108" t="s">
        <v>994</v>
      </c>
      <c r="E103" s="1077"/>
      <c r="F103" s="1078"/>
      <c r="G103" s="1261"/>
      <c r="H103" s="1079"/>
      <c r="I103" s="1080"/>
      <c r="J103" s="1102">
        <v>8396</v>
      </c>
      <c r="K103" s="1103">
        <f t="shared" si="0"/>
        <v>8396</v>
      </c>
      <c r="L103" s="1083"/>
    </row>
    <row r="104" spans="1:12" s="1095" customFormat="1" ht="18" customHeight="1">
      <c r="A104" s="509">
        <v>96</v>
      </c>
      <c r="B104" s="1085"/>
      <c r="C104" s="1086"/>
      <c r="D104" s="1107" t="s">
        <v>1035</v>
      </c>
      <c r="E104" s="1088"/>
      <c r="F104" s="1089"/>
      <c r="G104" s="1259"/>
      <c r="H104" s="1090"/>
      <c r="I104" s="1091"/>
      <c r="J104" s="1092">
        <v>8395</v>
      </c>
      <c r="K104" s="1093">
        <f t="shared" si="0"/>
        <v>8395</v>
      </c>
      <c r="L104" s="1094"/>
    </row>
    <row r="105" spans="1:12" s="1105" customFormat="1" ht="22.5" customHeight="1">
      <c r="A105" s="509">
        <v>97</v>
      </c>
      <c r="B105" s="1096"/>
      <c r="C105" s="523">
        <v>21</v>
      </c>
      <c r="D105" s="788" t="s">
        <v>668</v>
      </c>
      <c r="E105" s="524">
        <f>F105+G105+K108+L106</f>
        <v>0</v>
      </c>
      <c r="F105" s="1099"/>
      <c r="G105" s="1260"/>
      <c r="H105" s="1100"/>
      <c r="I105" s="1101"/>
      <c r="J105" s="1102"/>
      <c r="K105" s="1103"/>
      <c r="L105" s="1104"/>
    </row>
    <row r="106" spans="1:12" s="1105" customFormat="1" ht="18" customHeight="1">
      <c r="A106" s="509">
        <v>98</v>
      </c>
      <c r="B106" s="1096"/>
      <c r="C106" s="1097"/>
      <c r="D106" s="1106" t="s">
        <v>303</v>
      </c>
      <c r="E106" s="1098"/>
      <c r="F106" s="1099"/>
      <c r="G106" s="1260"/>
      <c r="H106" s="1100"/>
      <c r="I106" s="1101"/>
      <c r="J106" s="1081">
        <v>1500</v>
      </c>
      <c r="K106" s="1402">
        <f t="shared" si="0"/>
        <v>1500</v>
      </c>
      <c r="L106" s="1104"/>
    </row>
    <row r="107" spans="1:12" s="1105" customFormat="1" ht="18" customHeight="1">
      <c r="A107" s="509">
        <v>99</v>
      </c>
      <c r="B107" s="1096"/>
      <c r="C107" s="1097"/>
      <c r="D107" s="1108" t="s">
        <v>994</v>
      </c>
      <c r="E107" s="1098"/>
      <c r="F107" s="1099"/>
      <c r="G107" s="1260"/>
      <c r="H107" s="1100"/>
      <c r="I107" s="1101"/>
      <c r="J107" s="1102">
        <v>0</v>
      </c>
      <c r="K107" s="1103">
        <f t="shared" si="0"/>
        <v>0</v>
      </c>
      <c r="L107" s="1104"/>
    </row>
    <row r="108" spans="1:12" s="1105" customFormat="1" ht="18" customHeight="1">
      <c r="A108" s="509">
        <v>100</v>
      </c>
      <c r="B108" s="1096"/>
      <c r="C108" s="1097"/>
      <c r="D108" s="1107" t="s">
        <v>1035</v>
      </c>
      <c r="E108" s="1098"/>
      <c r="F108" s="1099"/>
      <c r="G108" s="1260"/>
      <c r="H108" s="1100"/>
      <c r="I108" s="1101"/>
      <c r="J108" s="1092">
        <v>0</v>
      </c>
      <c r="K108" s="1093">
        <f t="shared" si="0"/>
        <v>0</v>
      </c>
      <c r="L108" s="1104"/>
    </row>
    <row r="109" spans="1:12" ht="22.5" customHeight="1">
      <c r="A109" s="509">
        <v>101</v>
      </c>
      <c r="B109" s="522"/>
      <c r="C109" s="523">
        <v>22</v>
      </c>
      <c r="D109" s="791" t="s">
        <v>904</v>
      </c>
      <c r="E109" s="524">
        <f>F109+G109+K111+L110</f>
        <v>4418</v>
      </c>
      <c r="F109" s="525"/>
      <c r="G109" s="1258"/>
      <c r="H109" s="740"/>
      <c r="I109" s="711"/>
      <c r="J109" s="524"/>
      <c r="K109" s="537"/>
      <c r="L109" s="526"/>
    </row>
    <row r="110" spans="1:12" ht="19.5" customHeight="1">
      <c r="A110" s="509">
        <v>102</v>
      </c>
      <c r="B110" s="522"/>
      <c r="C110" s="523"/>
      <c r="D110" s="1108" t="s">
        <v>994</v>
      </c>
      <c r="E110" s="524"/>
      <c r="F110" s="525"/>
      <c r="G110" s="1258"/>
      <c r="H110" s="740"/>
      <c r="I110" s="711"/>
      <c r="J110" s="1265">
        <v>5000</v>
      </c>
      <c r="K110" s="1103">
        <f>SUM(I110:J110)</f>
        <v>5000</v>
      </c>
      <c r="L110" s="526"/>
    </row>
    <row r="111" spans="1:12" s="1095" customFormat="1" ht="18" customHeight="1" thickBot="1">
      <c r="A111" s="509">
        <v>103</v>
      </c>
      <c r="B111" s="1085"/>
      <c r="C111" s="1086"/>
      <c r="D111" s="1107" t="s">
        <v>1035</v>
      </c>
      <c r="E111" s="1088"/>
      <c r="F111" s="1089"/>
      <c r="G111" s="1259"/>
      <c r="H111" s="1090"/>
      <c r="I111" s="1091"/>
      <c r="J111" s="1092">
        <v>4418</v>
      </c>
      <c r="K111" s="1388">
        <f>SUM(I111:J111)</f>
        <v>4418</v>
      </c>
      <c r="L111" s="1094"/>
    </row>
    <row r="112" spans="1:12" ht="19.5" customHeight="1">
      <c r="A112" s="509">
        <v>104</v>
      </c>
      <c r="B112" s="2202" t="s">
        <v>13</v>
      </c>
      <c r="C112" s="2203"/>
      <c r="D112" s="2203"/>
      <c r="E112" s="2203"/>
      <c r="F112" s="2203"/>
      <c r="G112" s="2204"/>
      <c r="H112" s="1109"/>
      <c r="I112" s="1110"/>
      <c r="J112" s="1110"/>
      <c r="K112" s="1111"/>
      <c r="L112" s="1112"/>
    </row>
    <row r="113" spans="1:12" s="1084" customFormat="1" ht="18" customHeight="1">
      <c r="A113" s="509">
        <v>105</v>
      </c>
      <c r="B113" s="1074"/>
      <c r="C113" s="1075"/>
      <c r="D113" s="1076" t="s">
        <v>303</v>
      </c>
      <c r="E113" s="1077"/>
      <c r="F113" s="1078"/>
      <c r="G113" s="1261"/>
      <c r="H113" s="1079"/>
      <c r="I113" s="1289">
        <f>SUM(I11,I15,I19,I23,I27,I31,I35,I39,I44,I49,I54,I60,I65,I71,I75,I81,I85,I91,I97,I102,)</f>
        <v>300</v>
      </c>
      <c r="J113" s="1081">
        <f>SUM(J11,J15,J19,J23,J27,J31,J35,J39,J44,J49,J54,J60,J65,J71,J75,J81,J85,J91,J97,J102,J106)</f>
        <v>319939</v>
      </c>
      <c r="K113" s="1082">
        <f>SUM(I113:J113)</f>
        <v>320239</v>
      </c>
      <c r="L113" s="1083"/>
    </row>
    <row r="114" spans="1:12" s="1084" customFormat="1" ht="18" customHeight="1">
      <c r="A114" s="509">
        <v>106</v>
      </c>
      <c r="B114" s="1074"/>
      <c r="C114" s="1075"/>
      <c r="D114" s="1288" t="s">
        <v>994</v>
      </c>
      <c r="E114" s="1077"/>
      <c r="F114" s="1078"/>
      <c r="G114" s="1261"/>
      <c r="H114" s="1079"/>
      <c r="I114" s="1101">
        <f>SUM(I12,I16,I20,I24,I28,I32,I36,I40,I45,I50,I55,I61,I66,I72,I76,I82,I86,I92,I98,I103,I107,I110)</f>
        <v>18</v>
      </c>
      <c r="J114" s="1101">
        <f>SUM(J12,J16,J20,J24,J28,J32,J36,J40,J45,J50,J55,J61,J66,J72,J76,J82,J86,J92,J98,J103,J107,J110)</f>
        <v>157619</v>
      </c>
      <c r="K114" s="1103">
        <f>SUM(I114:J114)</f>
        <v>157637</v>
      </c>
      <c r="L114" s="1083"/>
    </row>
    <row r="115" spans="1:12" s="1095" customFormat="1" ht="18" customHeight="1" thickBot="1">
      <c r="A115" s="509">
        <v>107</v>
      </c>
      <c r="B115" s="1538"/>
      <c r="C115" s="1547"/>
      <c r="D115" s="1548" t="s">
        <v>1036</v>
      </c>
      <c r="E115" s="1541"/>
      <c r="F115" s="1542"/>
      <c r="G115" s="1543"/>
      <c r="H115" s="1544"/>
      <c r="I115" s="1549">
        <f>SUM(I13,I17,I21,I25,I29,I33,I37,I41,I46,I51,I56,I62,I67,I73,I77,I83,I87,I93,I99,I104,I111)</f>
        <v>0</v>
      </c>
      <c r="J115" s="1550">
        <f>SUM(J13,J17,J21,J25,J29,J33,J37,J41,J46,J51,J56,J62,J67,J73,J77,J83,J87,J93,J99,J104,J111)</f>
        <v>131614</v>
      </c>
      <c r="K115" s="1551">
        <f>SUM(I115:J115)</f>
        <v>131614</v>
      </c>
      <c r="L115" s="1546"/>
    </row>
    <row r="116" spans="2:11" ht="18" customHeight="1">
      <c r="B116" s="1113" t="s">
        <v>27</v>
      </c>
      <c r="C116" s="1113"/>
      <c r="D116" s="1113"/>
      <c r="E116" s="505"/>
      <c r="F116" s="506"/>
      <c r="G116" s="505"/>
      <c r="H116" s="1114"/>
      <c r="I116" s="505"/>
      <c r="J116" s="505"/>
      <c r="K116" s="505"/>
    </row>
    <row r="117" spans="2:11" ht="18" customHeight="1">
      <c r="B117" s="1113" t="s">
        <v>28</v>
      </c>
      <c r="C117" s="1113"/>
      <c r="D117" s="1113"/>
      <c r="E117" s="1115"/>
      <c r="F117" s="506"/>
      <c r="G117" s="505"/>
      <c r="H117" s="1114"/>
      <c r="I117" s="505"/>
      <c r="J117" s="505"/>
      <c r="K117" s="505"/>
    </row>
    <row r="118" spans="2:11" ht="18" customHeight="1">
      <c r="B118" s="1113" t="s">
        <v>29</v>
      </c>
      <c r="C118" s="1113"/>
      <c r="D118" s="1113"/>
      <c r="E118" s="1115"/>
      <c r="F118" s="506"/>
      <c r="G118" s="505"/>
      <c r="H118" s="1114"/>
      <c r="I118" s="505"/>
      <c r="J118" s="505"/>
      <c r="K118" s="505"/>
    </row>
    <row r="119" spans="1:252" s="497" customFormat="1" ht="15">
      <c r="A119" s="508"/>
      <c r="B119" s="499"/>
      <c r="C119" s="500"/>
      <c r="D119" s="501"/>
      <c r="H119" s="502"/>
      <c r="L119" s="507"/>
      <c r="M119" s="498"/>
      <c r="N119" s="498"/>
      <c r="O119" s="498"/>
      <c r="P119" s="498"/>
      <c r="Q119" s="498"/>
      <c r="R119" s="498"/>
      <c r="S119" s="498"/>
      <c r="T119" s="498"/>
      <c r="U119" s="498"/>
      <c r="V119" s="498"/>
      <c r="W119" s="498"/>
      <c r="X119" s="498"/>
      <c r="Y119" s="498"/>
      <c r="Z119" s="498"/>
      <c r="AA119" s="498"/>
      <c r="AB119" s="498"/>
      <c r="AC119" s="498"/>
      <c r="AD119" s="498"/>
      <c r="AE119" s="498"/>
      <c r="AF119" s="498"/>
      <c r="AG119" s="498"/>
      <c r="AH119" s="498"/>
      <c r="AI119" s="498"/>
      <c r="AJ119" s="498"/>
      <c r="AK119" s="498"/>
      <c r="AL119" s="498"/>
      <c r="AM119" s="498"/>
      <c r="AN119" s="498"/>
      <c r="AO119" s="498"/>
      <c r="AP119" s="498"/>
      <c r="AQ119" s="498"/>
      <c r="AR119" s="498"/>
      <c r="AS119" s="498"/>
      <c r="AT119" s="498"/>
      <c r="AU119" s="498"/>
      <c r="AV119" s="498"/>
      <c r="AW119" s="498"/>
      <c r="AX119" s="498"/>
      <c r="AY119" s="498"/>
      <c r="AZ119" s="498"/>
      <c r="BA119" s="498"/>
      <c r="BB119" s="498"/>
      <c r="BC119" s="498"/>
      <c r="BD119" s="498"/>
      <c r="BE119" s="498"/>
      <c r="BF119" s="498"/>
      <c r="BG119" s="498"/>
      <c r="BH119" s="498"/>
      <c r="BI119" s="498"/>
      <c r="BJ119" s="498"/>
      <c r="BK119" s="498"/>
      <c r="BL119" s="498"/>
      <c r="BM119" s="498"/>
      <c r="BN119" s="498"/>
      <c r="BO119" s="498"/>
      <c r="BP119" s="498"/>
      <c r="BQ119" s="498"/>
      <c r="BR119" s="498"/>
      <c r="BS119" s="498"/>
      <c r="BT119" s="498"/>
      <c r="BU119" s="498"/>
      <c r="BV119" s="498"/>
      <c r="BW119" s="498"/>
      <c r="BX119" s="498"/>
      <c r="BY119" s="498"/>
      <c r="BZ119" s="498"/>
      <c r="CA119" s="498"/>
      <c r="CB119" s="498"/>
      <c r="CC119" s="498"/>
      <c r="CD119" s="498"/>
      <c r="CE119" s="498"/>
      <c r="CF119" s="498"/>
      <c r="CG119" s="498"/>
      <c r="CH119" s="498"/>
      <c r="CI119" s="498"/>
      <c r="CJ119" s="498"/>
      <c r="CK119" s="498"/>
      <c r="CL119" s="498"/>
      <c r="CM119" s="498"/>
      <c r="CN119" s="498"/>
      <c r="CO119" s="498"/>
      <c r="CP119" s="498"/>
      <c r="CQ119" s="498"/>
      <c r="CR119" s="498"/>
      <c r="CS119" s="498"/>
      <c r="CT119" s="498"/>
      <c r="CU119" s="498"/>
      <c r="CV119" s="498"/>
      <c r="CW119" s="498"/>
      <c r="CX119" s="498"/>
      <c r="CY119" s="498"/>
      <c r="CZ119" s="498"/>
      <c r="DA119" s="498"/>
      <c r="DB119" s="498"/>
      <c r="DC119" s="498"/>
      <c r="DD119" s="498"/>
      <c r="DE119" s="498"/>
      <c r="DF119" s="498"/>
      <c r="DG119" s="498"/>
      <c r="DH119" s="498"/>
      <c r="DI119" s="498"/>
      <c r="DJ119" s="498"/>
      <c r="DK119" s="498"/>
      <c r="DL119" s="498"/>
      <c r="DM119" s="498"/>
      <c r="DN119" s="498"/>
      <c r="DO119" s="498"/>
      <c r="DP119" s="498"/>
      <c r="DQ119" s="498"/>
      <c r="DR119" s="498"/>
      <c r="DS119" s="498"/>
      <c r="DT119" s="498"/>
      <c r="DU119" s="498"/>
      <c r="DV119" s="498"/>
      <c r="DW119" s="498"/>
      <c r="DX119" s="498"/>
      <c r="DY119" s="498"/>
      <c r="DZ119" s="498"/>
      <c r="EA119" s="498"/>
      <c r="EB119" s="498"/>
      <c r="EC119" s="498"/>
      <c r="ED119" s="498"/>
      <c r="EE119" s="498"/>
      <c r="EF119" s="498"/>
      <c r="EG119" s="498"/>
      <c r="EH119" s="498"/>
      <c r="EI119" s="498"/>
      <c r="EJ119" s="498"/>
      <c r="EK119" s="498"/>
      <c r="EL119" s="498"/>
      <c r="EM119" s="498"/>
      <c r="EN119" s="498"/>
      <c r="EO119" s="498"/>
      <c r="EP119" s="498"/>
      <c r="EQ119" s="498"/>
      <c r="ER119" s="498"/>
      <c r="ES119" s="498"/>
      <c r="ET119" s="498"/>
      <c r="EU119" s="498"/>
      <c r="EV119" s="498"/>
      <c r="EW119" s="498"/>
      <c r="EX119" s="498"/>
      <c r="EY119" s="498"/>
      <c r="EZ119" s="498"/>
      <c r="FA119" s="498"/>
      <c r="FB119" s="498"/>
      <c r="FC119" s="498"/>
      <c r="FD119" s="498"/>
      <c r="FE119" s="498"/>
      <c r="FF119" s="498"/>
      <c r="FG119" s="498"/>
      <c r="FH119" s="498"/>
      <c r="FI119" s="498"/>
      <c r="FJ119" s="498"/>
      <c r="FK119" s="498"/>
      <c r="FL119" s="498"/>
      <c r="FM119" s="498"/>
      <c r="FN119" s="498"/>
      <c r="FO119" s="498"/>
      <c r="FP119" s="498"/>
      <c r="FQ119" s="498"/>
      <c r="FR119" s="498"/>
      <c r="FS119" s="498"/>
      <c r="FT119" s="498"/>
      <c r="FU119" s="498"/>
      <c r="FV119" s="498"/>
      <c r="FW119" s="498"/>
      <c r="FX119" s="498"/>
      <c r="FY119" s="498"/>
      <c r="FZ119" s="498"/>
      <c r="GA119" s="498"/>
      <c r="GB119" s="498"/>
      <c r="GC119" s="498"/>
      <c r="GD119" s="498"/>
      <c r="GE119" s="498"/>
      <c r="GF119" s="498"/>
      <c r="GG119" s="498"/>
      <c r="GH119" s="498"/>
      <c r="GI119" s="498"/>
      <c r="GJ119" s="498"/>
      <c r="GK119" s="498"/>
      <c r="GL119" s="498"/>
      <c r="GM119" s="498"/>
      <c r="GN119" s="498"/>
      <c r="GO119" s="498"/>
      <c r="GP119" s="498"/>
      <c r="GQ119" s="498"/>
      <c r="GR119" s="498"/>
      <c r="GS119" s="498"/>
      <c r="GT119" s="498"/>
      <c r="GU119" s="498"/>
      <c r="GV119" s="498"/>
      <c r="GW119" s="498"/>
      <c r="GX119" s="498"/>
      <c r="GY119" s="498"/>
      <c r="GZ119" s="498"/>
      <c r="HA119" s="498"/>
      <c r="HB119" s="498"/>
      <c r="HC119" s="498"/>
      <c r="HD119" s="498"/>
      <c r="HE119" s="498"/>
      <c r="HF119" s="498"/>
      <c r="HG119" s="498"/>
      <c r="HH119" s="498"/>
      <c r="HI119" s="498"/>
      <c r="HJ119" s="498"/>
      <c r="HK119" s="498"/>
      <c r="HL119" s="498"/>
      <c r="HM119" s="498"/>
      <c r="HN119" s="498"/>
      <c r="HO119" s="498"/>
      <c r="HP119" s="498"/>
      <c r="HQ119" s="498"/>
      <c r="HR119" s="498"/>
      <c r="HS119" s="498"/>
      <c r="HT119" s="498"/>
      <c r="HU119" s="498"/>
      <c r="HV119" s="498"/>
      <c r="HW119" s="498"/>
      <c r="HX119" s="498"/>
      <c r="HY119" s="498"/>
      <c r="HZ119" s="498"/>
      <c r="IA119" s="498"/>
      <c r="IB119" s="498"/>
      <c r="IC119" s="498"/>
      <c r="ID119" s="498"/>
      <c r="IE119" s="498"/>
      <c r="IF119" s="498"/>
      <c r="IG119" s="498"/>
      <c r="IH119" s="498"/>
      <c r="II119" s="498"/>
      <c r="IJ119" s="498"/>
      <c r="IK119" s="498"/>
      <c r="IL119" s="498"/>
      <c r="IM119" s="498"/>
      <c r="IN119" s="498"/>
      <c r="IO119" s="498"/>
      <c r="IP119" s="498"/>
      <c r="IQ119" s="498"/>
      <c r="IR119" s="498"/>
    </row>
  </sheetData>
  <sheetProtection/>
  <mergeCells count="15">
    <mergeCell ref="B1:Q1"/>
    <mergeCell ref="B112:G112"/>
    <mergeCell ref="B2:L2"/>
    <mergeCell ref="B3:L3"/>
    <mergeCell ref="B6:B8"/>
    <mergeCell ref="C6:C8"/>
    <mergeCell ref="D6:D8"/>
    <mergeCell ref="E6:E8"/>
    <mergeCell ref="F6:F8"/>
    <mergeCell ref="G6:G8"/>
    <mergeCell ref="H6:H8"/>
    <mergeCell ref="I6:K6"/>
    <mergeCell ref="L6:L8"/>
    <mergeCell ref="K7:K8"/>
    <mergeCell ref="D94:F94"/>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59" r:id="rId1"/>
  <headerFooter>
    <oddFooter>&amp;C- &amp;P -</oddFooter>
  </headerFooter>
</worksheet>
</file>

<file path=xl/worksheets/sheet11.xml><?xml version="1.0" encoding="utf-8"?>
<worksheet xmlns="http://schemas.openxmlformats.org/spreadsheetml/2006/main" xmlns:r="http://schemas.openxmlformats.org/officeDocument/2006/relationships">
  <dimension ref="A1:IV173"/>
  <sheetViews>
    <sheetView view="pageBreakPreview" zoomScaleSheetLayoutView="100" zoomScalePageLayoutView="0" workbookViewId="0" topLeftCell="A1">
      <selection activeCell="B1" sqref="B1:Q1"/>
    </sheetView>
  </sheetViews>
  <sheetFormatPr defaultColWidth="9.125" defaultRowHeight="12.75"/>
  <cols>
    <col min="1" max="1" width="4.625" style="538" customWidth="1"/>
    <col min="2" max="3" width="5.75390625" style="651" customWidth="1"/>
    <col min="4" max="4" width="62.75390625" style="321" customWidth="1"/>
    <col min="5" max="5" width="12.75390625" style="782" customWidth="1"/>
    <col min="6" max="7" width="10.75390625" style="650" customWidth="1"/>
    <col min="8" max="8" width="6.75390625" style="541" customWidth="1"/>
    <col min="9" max="14" width="14.875" style="650" customWidth="1"/>
    <col min="15" max="15" width="15.75390625" style="562" customWidth="1"/>
    <col min="16" max="16" width="13.875" style="650" customWidth="1"/>
    <col min="17" max="16384" width="9.125" style="321" customWidth="1"/>
  </cols>
  <sheetData>
    <row r="1" spans="1:17" ht="16.5" customHeight="1">
      <c r="A1" s="1409"/>
      <c r="B1" s="2140" t="s">
        <v>1467</v>
      </c>
      <c r="C1" s="2140"/>
      <c r="D1" s="2140"/>
      <c r="E1" s="2140"/>
      <c r="F1" s="2140"/>
      <c r="G1" s="2140"/>
      <c r="H1" s="2140"/>
      <c r="I1" s="2140"/>
      <c r="J1" s="2140"/>
      <c r="K1" s="2140"/>
      <c r="L1" s="2140"/>
      <c r="M1" s="2140"/>
      <c r="N1" s="2140"/>
      <c r="O1" s="2140"/>
      <c r="P1" s="2140"/>
      <c r="Q1" s="2140"/>
    </row>
    <row r="2" spans="1:250" ht="18" customHeight="1">
      <c r="A2" s="1409"/>
      <c r="B2" s="1406"/>
      <c r="C2" s="1406"/>
      <c r="D2" s="1406"/>
      <c r="E2" s="1406"/>
      <c r="F2" s="1406"/>
      <c r="G2" s="1406"/>
      <c r="H2" s="1406"/>
      <c r="I2" s="1406"/>
      <c r="J2" s="1406"/>
      <c r="K2" s="1406"/>
      <c r="L2" s="1406"/>
      <c r="M2" s="1406"/>
      <c r="N2" s="1406"/>
      <c r="O2" s="1406"/>
      <c r="P2" s="1406"/>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c r="BY2" s="540"/>
      <c r="BZ2" s="540"/>
      <c r="CA2" s="540"/>
      <c r="CB2" s="540"/>
      <c r="CC2" s="540"/>
      <c r="CD2" s="540"/>
      <c r="CE2" s="540"/>
      <c r="CF2" s="540"/>
      <c r="CG2" s="540"/>
      <c r="CH2" s="540"/>
      <c r="CI2" s="540"/>
      <c r="CJ2" s="540"/>
      <c r="CK2" s="540"/>
      <c r="CL2" s="540"/>
      <c r="CM2" s="540"/>
      <c r="CN2" s="540"/>
      <c r="CO2" s="540"/>
      <c r="CP2" s="540"/>
      <c r="CQ2" s="540"/>
      <c r="CR2" s="540"/>
      <c r="CS2" s="540"/>
      <c r="CT2" s="540"/>
      <c r="CU2" s="540"/>
      <c r="CV2" s="540"/>
      <c r="CW2" s="540"/>
      <c r="CX2" s="540"/>
      <c r="CY2" s="540"/>
      <c r="CZ2" s="540"/>
      <c r="DA2" s="540"/>
      <c r="DB2" s="540"/>
      <c r="DC2" s="540"/>
      <c r="DD2" s="540"/>
      <c r="DE2" s="540"/>
      <c r="DF2" s="540"/>
      <c r="DG2" s="540"/>
      <c r="DH2" s="540"/>
      <c r="DI2" s="540"/>
      <c r="DJ2" s="540"/>
      <c r="DK2" s="540"/>
      <c r="DL2" s="540"/>
      <c r="DM2" s="540"/>
      <c r="DN2" s="540"/>
      <c r="DO2" s="540"/>
      <c r="DP2" s="540"/>
      <c r="DQ2" s="540"/>
      <c r="DR2" s="540"/>
      <c r="DS2" s="540"/>
      <c r="DT2" s="540"/>
      <c r="DU2" s="540"/>
      <c r="DV2" s="540"/>
      <c r="DW2" s="540"/>
      <c r="DX2" s="540"/>
      <c r="DY2" s="540"/>
      <c r="DZ2" s="540"/>
      <c r="EA2" s="540"/>
      <c r="EB2" s="540"/>
      <c r="EC2" s="540"/>
      <c r="ED2" s="540"/>
      <c r="EE2" s="540"/>
      <c r="EF2" s="540"/>
      <c r="EG2" s="540"/>
      <c r="EH2" s="540"/>
      <c r="EI2" s="540"/>
      <c r="EJ2" s="540"/>
      <c r="EK2" s="540"/>
      <c r="EL2" s="540"/>
      <c r="EM2" s="540"/>
      <c r="EN2" s="540"/>
      <c r="EO2" s="540"/>
      <c r="EP2" s="540"/>
      <c r="EQ2" s="540"/>
      <c r="ER2" s="540"/>
      <c r="ES2" s="540"/>
      <c r="ET2" s="540"/>
      <c r="EU2" s="540"/>
      <c r="EV2" s="540"/>
      <c r="EW2" s="540"/>
      <c r="EX2" s="540"/>
      <c r="EY2" s="540"/>
      <c r="EZ2" s="540"/>
      <c r="FA2" s="540"/>
      <c r="FB2" s="540"/>
      <c r="FC2" s="540"/>
      <c r="FD2" s="540"/>
      <c r="FE2" s="540"/>
      <c r="FF2" s="540"/>
      <c r="FG2" s="540"/>
      <c r="FH2" s="540"/>
      <c r="FI2" s="540"/>
      <c r="FJ2" s="540"/>
      <c r="FK2" s="540"/>
      <c r="FL2" s="540"/>
      <c r="FM2" s="540"/>
      <c r="FN2" s="540"/>
      <c r="FO2" s="540"/>
      <c r="FP2" s="540"/>
      <c r="FQ2" s="540"/>
      <c r="FR2" s="540"/>
      <c r="FS2" s="540"/>
      <c r="FT2" s="540"/>
      <c r="FU2" s="540"/>
      <c r="FV2" s="540"/>
      <c r="FW2" s="540"/>
      <c r="FX2" s="540"/>
      <c r="FY2" s="540"/>
      <c r="FZ2" s="540"/>
      <c r="GA2" s="540"/>
      <c r="GB2" s="540"/>
      <c r="GC2" s="540"/>
      <c r="GD2" s="540"/>
      <c r="GE2" s="540"/>
      <c r="GF2" s="540"/>
      <c r="GG2" s="540"/>
      <c r="GH2" s="540"/>
      <c r="GI2" s="540"/>
      <c r="GJ2" s="540"/>
      <c r="GK2" s="540"/>
      <c r="GL2" s="540"/>
      <c r="GM2" s="540"/>
      <c r="GN2" s="540"/>
      <c r="GO2" s="540"/>
      <c r="GP2" s="540"/>
      <c r="GQ2" s="540"/>
      <c r="GR2" s="540"/>
      <c r="GS2" s="540"/>
      <c r="GT2" s="540"/>
      <c r="GU2" s="540"/>
      <c r="GV2" s="540"/>
      <c r="GW2" s="540"/>
      <c r="GX2" s="540"/>
      <c r="GY2" s="540"/>
      <c r="GZ2" s="540"/>
      <c r="HA2" s="540"/>
      <c r="HB2" s="540"/>
      <c r="HC2" s="540"/>
      <c r="HD2" s="540"/>
      <c r="HE2" s="540"/>
      <c r="HF2" s="540"/>
      <c r="HG2" s="540"/>
      <c r="HH2" s="540"/>
      <c r="HI2" s="540"/>
      <c r="HJ2" s="540"/>
      <c r="HK2" s="540"/>
      <c r="HL2" s="540"/>
      <c r="HM2" s="540"/>
      <c r="HN2" s="540"/>
      <c r="HO2" s="540"/>
      <c r="HP2" s="540"/>
      <c r="HQ2" s="540"/>
      <c r="HR2" s="540"/>
      <c r="HS2" s="540"/>
      <c r="HT2" s="540"/>
      <c r="HU2" s="540"/>
      <c r="HV2" s="540"/>
      <c r="HW2" s="540"/>
      <c r="HX2" s="540"/>
      <c r="HY2" s="540"/>
      <c r="HZ2" s="540"/>
      <c r="IA2" s="540"/>
      <c r="IB2" s="540"/>
      <c r="IC2" s="540"/>
      <c r="ID2" s="540"/>
      <c r="IE2" s="540"/>
      <c r="IF2" s="540"/>
      <c r="IG2" s="540"/>
      <c r="IH2" s="540"/>
      <c r="II2" s="540"/>
      <c r="IJ2" s="540"/>
      <c r="IK2" s="540"/>
      <c r="IL2" s="540"/>
      <c r="IM2" s="540"/>
      <c r="IN2" s="540"/>
      <c r="IO2" s="540"/>
      <c r="IP2" s="540"/>
    </row>
    <row r="3" spans="1:16" ht="24.75" customHeight="1">
      <c r="A3" s="2173" t="s">
        <v>14</v>
      </c>
      <c r="B3" s="2173"/>
      <c r="C3" s="2173"/>
      <c r="D3" s="2173"/>
      <c r="E3" s="2173"/>
      <c r="F3" s="2173"/>
      <c r="G3" s="2173"/>
      <c r="H3" s="2173"/>
      <c r="I3" s="2173"/>
      <c r="J3" s="2173"/>
      <c r="K3" s="2173"/>
      <c r="L3" s="2173"/>
      <c r="M3" s="2173"/>
      <c r="N3" s="2173"/>
      <c r="O3" s="2173"/>
      <c r="P3" s="2173"/>
    </row>
    <row r="4" spans="1:16" ht="24.75" customHeight="1">
      <c r="A4" s="2231" t="s">
        <v>1052</v>
      </c>
      <c r="B4" s="2231"/>
      <c r="C4" s="2231"/>
      <c r="D4" s="2231"/>
      <c r="E4" s="2231"/>
      <c r="F4" s="2231"/>
      <c r="G4" s="2231"/>
      <c r="H4" s="2231"/>
      <c r="I4" s="2231"/>
      <c r="J4" s="2231"/>
      <c r="K4" s="2231"/>
      <c r="L4" s="2231"/>
      <c r="M4" s="2231"/>
      <c r="N4" s="2231"/>
      <c r="O4" s="2231"/>
      <c r="P4" s="2231"/>
    </row>
    <row r="5" spans="1:16" s="731" customFormat="1" ht="18" customHeight="1">
      <c r="A5" s="538"/>
      <c r="B5" s="538"/>
      <c r="C5" s="538"/>
      <c r="E5" s="497"/>
      <c r="F5" s="497"/>
      <c r="G5" s="497"/>
      <c r="H5" s="732"/>
      <c r="I5" s="497"/>
      <c r="J5" s="497"/>
      <c r="K5" s="497"/>
      <c r="L5" s="497"/>
      <c r="M5" s="497"/>
      <c r="N5" s="497"/>
      <c r="O5" s="733"/>
      <c r="P5" s="503" t="s">
        <v>0</v>
      </c>
    </row>
    <row r="6" spans="1:250" s="737" customFormat="1" ht="18" customHeight="1" thickBot="1">
      <c r="A6" s="734"/>
      <c r="B6" s="735" t="s">
        <v>1</v>
      </c>
      <c r="C6" s="736" t="s">
        <v>3</v>
      </c>
      <c r="D6" s="736" t="s">
        <v>2</v>
      </c>
      <c r="E6" s="736" t="s">
        <v>4</v>
      </c>
      <c r="F6" s="736" t="s">
        <v>5</v>
      </c>
      <c r="G6" s="736" t="s">
        <v>15</v>
      </c>
      <c r="H6" s="736" t="s">
        <v>16</v>
      </c>
      <c r="I6" s="736" t="s">
        <v>17</v>
      </c>
      <c r="J6" s="736" t="s">
        <v>36</v>
      </c>
      <c r="K6" s="736" t="s">
        <v>30</v>
      </c>
      <c r="L6" s="736" t="s">
        <v>23</v>
      </c>
      <c r="M6" s="736" t="s">
        <v>37</v>
      </c>
      <c r="N6" s="736" t="s">
        <v>38</v>
      </c>
      <c r="O6" s="736" t="s">
        <v>158</v>
      </c>
      <c r="P6" s="736" t="s">
        <v>159</v>
      </c>
      <c r="Q6" s="734"/>
      <c r="R6" s="734"/>
      <c r="S6" s="734"/>
      <c r="T6" s="734"/>
      <c r="U6" s="734"/>
      <c r="V6" s="734"/>
      <c r="W6" s="734"/>
      <c r="X6" s="734"/>
      <c r="Y6" s="734"/>
      <c r="Z6" s="734"/>
      <c r="AA6" s="734"/>
      <c r="AB6" s="734"/>
      <c r="AC6" s="734"/>
      <c r="AD6" s="734"/>
      <c r="AE6" s="734"/>
      <c r="AF6" s="734"/>
      <c r="AG6" s="734"/>
      <c r="AH6" s="734"/>
      <c r="AI6" s="734"/>
      <c r="AJ6" s="734"/>
      <c r="AK6" s="734"/>
      <c r="AL6" s="734"/>
      <c r="AM6" s="734"/>
      <c r="AN6" s="734"/>
      <c r="AO6" s="734"/>
      <c r="AP6" s="734"/>
      <c r="AQ6" s="734"/>
      <c r="AR6" s="734"/>
      <c r="AS6" s="734"/>
      <c r="AT6" s="734"/>
      <c r="AU6" s="734"/>
      <c r="AV6" s="734"/>
      <c r="AW6" s="734"/>
      <c r="AX6" s="734"/>
      <c r="AY6" s="734"/>
      <c r="AZ6" s="734"/>
      <c r="BA6" s="734"/>
      <c r="BB6" s="734"/>
      <c r="BC6" s="734"/>
      <c r="BD6" s="734"/>
      <c r="BE6" s="734"/>
      <c r="BF6" s="734"/>
      <c r="BG6" s="734"/>
      <c r="BH6" s="734"/>
      <c r="BI6" s="734"/>
      <c r="BJ6" s="734"/>
      <c r="BK6" s="734"/>
      <c r="BL6" s="734"/>
      <c r="BM6" s="734"/>
      <c r="BN6" s="734"/>
      <c r="BO6" s="734"/>
      <c r="BP6" s="734"/>
      <c r="BQ6" s="734"/>
      <c r="BR6" s="734"/>
      <c r="BS6" s="734"/>
      <c r="BT6" s="734"/>
      <c r="BU6" s="734"/>
      <c r="BV6" s="734"/>
      <c r="BW6" s="734"/>
      <c r="BX6" s="734"/>
      <c r="BY6" s="734"/>
      <c r="BZ6" s="734"/>
      <c r="CA6" s="734"/>
      <c r="CB6" s="734"/>
      <c r="CC6" s="734"/>
      <c r="CD6" s="734"/>
      <c r="CE6" s="734"/>
      <c r="CF6" s="734"/>
      <c r="CG6" s="734"/>
      <c r="CH6" s="734"/>
      <c r="CI6" s="734"/>
      <c r="CJ6" s="734"/>
      <c r="CK6" s="734"/>
      <c r="CL6" s="734"/>
      <c r="CM6" s="734"/>
      <c r="CN6" s="734"/>
      <c r="CO6" s="734"/>
      <c r="CP6" s="734"/>
      <c r="CQ6" s="734"/>
      <c r="CR6" s="734"/>
      <c r="CS6" s="734"/>
      <c r="CT6" s="734"/>
      <c r="CU6" s="734"/>
      <c r="CV6" s="734"/>
      <c r="CW6" s="734"/>
      <c r="CX6" s="734"/>
      <c r="CY6" s="734"/>
      <c r="CZ6" s="734"/>
      <c r="DA6" s="734"/>
      <c r="DB6" s="734"/>
      <c r="DC6" s="734"/>
      <c r="DD6" s="734"/>
      <c r="DE6" s="734"/>
      <c r="DF6" s="734"/>
      <c r="DG6" s="734"/>
      <c r="DH6" s="734"/>
      <c r="DI6" s="734"/>
      <c r="DJ6" s="734"/>
      <c r="DK6" s="734"/>
      <c r="DL6" s="734"/>
      <c r="DM6" s="734"/>
      <c r="DN6" s="734"/>
      <c r="DO6" s="734"/>
      <c r="DP6" s="734"/>
      <c r="DQ6" s="734"/>
      <c r="DR6" s="734"/>
      <c r="DS6" s="734"/>
      <c r="DT6" s="734"/>
      <c r="DU6" s="734"/>
      <c r="DV6" s="734"/>
      <c r="DW6" s="734"/>
      <c r="DX6" s="734"/>
      <c r="DY6" s="734"/>
      <c r="DZ6" s="734"/>
      <c r="EA6" s="734"/>
      <c r="EB6" s="734"/>
      <c r="EC6" s="734"/>
      <c r="ED6" s="734"/>
      <c r="EE6" s="734"/>
      <c r="EF6" s="734"/>
      <c r="EG6" s="734"/>
      <c r="EH6" s="734"/>
      <c r="EI6" s="734"/>
      <c r="EJ6" s="734"/>
      <c r="EK6" s="734"/>
      <c r="EL6" s="734"/>
      <c r="EM6" s="734"/>
      <c r="EN6" s="734"/>
      <c r="EO6" s="734"/>
      <c r="EP6" s="734"/>
      <c r="EQ6" s="734"/>
      <c r="ER6" s="734"/>
      <c r="ES6" s="734"/>
      <c r="ET6" s="734"/>
      <c r="EU6" s="734"/>
      <c r="EV6" s="734"/>
      <c r="EW6" s="734"/>
      <c r="EX6" s="734"/>
      <c r="EY6" s="734"/>
      <c r="EZ6" s="734"/>
      <c r="FA6" s="734"/>
      <c r="FB6" s="734"/>
      <c r="FC6" s="734"/>
      <c r="FD6" s="734"/>
      <c r="FE6" s="734"/>
      <c r="FF6" s="734"/>
      <c r="FG6" s="734"/>
      <c r="FH6" s="734"/>
      <c r="FI6" s="734"/>
      <c r="FJ6" s="734"/>
      <c r="FK6" s="734"/>
      <c r="FL6" s="734"/>
      <c r="FM6" s="734"/>
      <c r="FN6" s="734"/>
      <c r="FO6" s="734"/>
      <c r="FP6" s="734"/>
      <c r="FQ6" s="734"/>
      <c r="FR6" s="734"/>
      <c r="FS6" s="734"/>
      <c r="FT6" s="734"/>
      <c r="FU6" s="734"/>
      <c r="FV6" s="734"/>
      <c r="FW6" s="734"/>
      <c r="FX6" s="734"/>
      <c r="FY6" s="734"/>
      <c r="FZ6" s="734"/>
      <c r="GA6" s="734"/>
      <c r="GB6" s="734"/>
      <c r="GC6" s="734"/>
      <c r="GD6" s="734"/>
      <c r="GE6" s="734"/>
      <c r="GF6" s="734"/>
      <c r="GG6" s="734"/>
      <c r="GH6" s="734"/>
      <c r="GI6" s="734"/>
      <c r="GJ6" s="734"/>
      <c r="GK6" s="734"/>
      <c r="GL6" s="734"/>
      <c r="GM6" s="734"/>
      <c r="GN6" s="734"/>
      <c r="GO6" s="734"/>
      <c r="GP6" s="734"/>
      <c r="GQ6" s="734"/>
      <c r="GR6" s="734"/>
      <c r="GS6" s="734"/>
      <c r="GT6" s="734"/>
      <c r="GU6" s="734"/>
      <c r="GV6" s="734"/>
      <c r="GW6" s="734"/>
      <c r="GX6" s="734"/>
      <c r="GY6" s="734"/>
      <c r="GZ6" s="734"/>
      <c r="HA6" s="734"/>
      <c r="HB6" s="734"/>
      <c r="HC6" s="734"/>
      <c r="HD6" s="734"/>
      <c r="HE6" s="734"/>
      <c r="HF6" s="734"/>
      <c r="HG6" s="734"/>
      <c r="HH6" s="734"/>
      <c r="HI6" s="734"/>
      <c r="HJ6" s="734"/>
      <c r="HK6" s="734"/>
      <c r="HL6" s="734"/>
      <c r="HM6" s="734"/>
      <c r="HN6" s="734"/>
      <c r="HO6" s="734"/>
      <c r="HP6" s="734"/>
      <c r="HQ6" s="734"/>
      <c r="HR6" s="734"/>
      <c r="HS6" s="734"/>
      <c r="HT6" s="734"/>
      <c r="HU6" s="734"/>
      <c r="HV6" s="734"/>
      <c r="HW6" s="734"/>
      <c r="HX6" s="734"/>
      <c r="HY6" s="734"/>
      <c r="HZ6" s="734"/>
      <c r="IA6" s="734"/>
      <c r="IB6" s="734"/>
      <c r="IC6" s="734"/>
      <c r="ID6" s="734"/>
      <c r="IE6" s="734"/>
      <c r="IF6" s="734"/>
      <c r="IG6" s="734"/>
      <c r="IH6" s="734"/>
      <c r="II6" s="734"/>
      <c r="IJ6" s="734"/>
      <c r="IK6" s="734"/>
      <c r="IL6" s="734"/>
      <c r="IM6" s="734"/>
      <c r="IN6" s="734"/>
      <c r="IO6" s="734"/>
      <c r="IP6" s="734"/>
    </row>
    <row r="7" spans="2:18" ht="22.5" customHeight="1">
      <c r="B7" s="2225" t="s">
        <v>18</v>
      </c>
      <c r="C7" s="2221" t="s">
        <v>19</v>
      </c>
      <c r="D7" s="2232" t="s">
        <v>6</v>
      </c>
      <c r="E7" s="2228" t="s">
        <v>578</v>
      </c>
      <c r="F7" s="2228" t="s">
        <v>584</v>
      </c>
      <c r="G7" s="2235" t="s">
        <v>820</v>
      </c>
      <c r="H7" s="2190" t="s">
        <v>20</v>
      </c>
      <c r="I7" s="2238" t="s">
        <v>569</v>
      </c>
      <c r="J7" s="2228"/>
      <c r="K7" s="2228"/>
      <c r="L7" s="2228"/>
      <c r="M7" s="2228"/>
      <c r="N7" s="2228"/>
      <c r="O7" s="2239"/>
      <c r="P7" s="2240" t="s">
        <v>574</v>
      </c>
      <c r="Q7" s="2224"/>
      <c r="R7" s="2224"/>
    </row>
    <row r="8" spans="2:16" ht="33" customHeight="1">
      <c r="B8" s="2226"/>
      <c r="C8" s="2222"/>
      <c r="D8" s="2233"/>
      <c r="E8" s="2229"/>
      <c r="F8" s="2229"/>
      <c r="G8" s="2236"/>
      <c r="H8" s="2191"/>
      <c r="I8" s="2243" t="s">
        <v>580</v>
      </c>
      <c r="J8" s="2244"/>
      <c r="K8" s="2245"/>
      <c r="L8" s="2245"/>
      <c r="M8" s="2210" t="s">
        <v>161</v>
      </c>
      <c r="N8" s="2210"/>
      <c r="O8" s="2211" t="s">
        <v>127</v>
      </c>
      <c r="P8" s="2241"/>
    </row>
    <row r="9" spans="2:16" ht="53.25" customHeight="1" thickBot="1">
      <c r="B9" s="2227"/>
      <c r="C9" s="2223"/>
      <c r="D9" s="2234"/>
      <c r="E9" s="2230"/>
      <c r="F9" s="2230"/>
      <c r="G9" s="2237"/>
      <c r="H9" s="2192"/>
      <c r="I9" s="756" t="s">
        <v>40</v>
      </c>
      <c r="J9" s="542" t="s">
        <v>575</v>
      </c>
      <c r="K9" s="543" t="s">
        <v>42</v>
      </c>
      <c r="L9" s="543" t="s">
        <v>577</v>
      </c>
      <c r="M9" s="542" t="s">
        <v>227</v>
      </c>
      <c r="N9" s="542" t="s">
        <v>162</v>
      </c>
      <c r="O9" s="2212"/>
      <c r="P9" s="2242"/>
    </row>
    <row r="10" spans="1:256" s="546" customFormat="1" ht="22.5" customHeight="1">
      <c r="A10" s="561">
        <v>1</v>
      </c>
      <c r="B10" s="544">
        <v>18</v>
      </c>
      <c r="C10" s="556" t="s">
        <v>14</v>
      </c>
      <c r="D10" s="744"/>
      <c r="E10" s="328"/>
      <c r="F10" s="326"/>
      <c r="G10" s="327"/>
      <c r="H10" s="761"/>
      <c r="I10" s="774"/>
      <c r="J10" s="775"/>
      <c r="K10" s="775"/>
      <c r="L10" s="775"/>
      <c r="M10" s="775"/>
      <c r="N10" s="775"/>
      <c r="O10" s="776"/>
      <c r="P10" s="548"/>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1"/>
      <c r="AY10" s="321"/>
      <c r="AZ10" s="321"/>
      <c r="BA10" s="321"/>
      <c r="BB10" s="321"/>
      <c r="BC10" s="321"/>
      <c r="BD10" s="321"/>
      <c r="BE10" s="321"/>
      <c r="BF10" s="321"/>
      <c r="BG10" s="321"/>
      <c r="BH10" s="321"/>
      <c r="BI10" s="321"/>
      <c r="BJ10" s="321"/>
      <c r="BK10" s="321"/>
      <c r="BL10" s="321"/>
      <c r="BM10" s="321"/>
      <c r="BN10" s="321"/>
      <c r="BO10" s="321"/>
      <c r="BP10" s="321"/>
      <c r="BQ10" s="321"/>
      <c r="BR10" s="321"/>
      <c r="BS10" s="321"/>
      <c r="BT10" s="321"/>
      <c r="BU10" s="321"/>
      <c r="BV10" s="321"/>
      <c r="BW10" s="321"/>
      <c r="BX10" s="321"/>
      <c r="BY10" s="321"/>
      <c r="BZ10" s="321"/>
      <c r="CA10" s="321"/>
      <c r="CB10" s="321"/>
      <c r="CC10" s="321"/>
      <c r="CD10" s="321"/>
      <c r="CE10" s="321"/>
      <c r="CF10" s="321"/>
      <c r="CG10" s="321"/>
      <c r="CH10" s="321"/>
      <c r="CI10" s="321"/>
      <c r="CJ10" s="321"/>
      <c r="CK10" s="321"/>
      <c r="CL10" s="321"/>
      <c r="CM10" s="321"/>
      <c r="CN10" s="321"/>
      <c r="CO10" s="321"/>
      <c r="CP10" s="321"/>
      <c r="CQ10" s="321"/>
      <c r="CR10" s="321"/>
      <c r="CS10" s="321"/>
      <c r="CT10" s="321"/>
      <c r="CU10" s="321"/>
      <c r="CV10" s="321"/>
      <c r="CW10" s="321"/>
      <c r="CX10" s="321"/>
      <c r="CY10" s="321"/>
      <c r="CZ10" s="321"/>
      <c r="DA10" s="321"/>
      <c r="DB10" s="321"/>
      <c r="DC10" s="321"/>
      <c r="DD10" s="321"/>
      <c r="DE10" s="321"/>
      <c r="DF10" s="321"/>
      <c r="DG10" s="321"/>
      <c r="DH10" s="321"/>
      <c r="DI10" s="321"/>
      <c r="DJ10" s="321"/>
      <c r="DK10" s="321"/>
      <c r="DL10" s="321"/>
      <c r="DM10" s="321"/>
      <c r="DN10" s="321"/>
      <c r="DO10" s="321"/>
      <c r="DP10" s="321"/>
      <c r="DQ10" s="321"/>
      <c r="DR10" s="321"/>
      <c r="DS10" s="321"/>
      <c r="DT10" s="321"/>
      <c r="DU10" s="321"/>
      <c r="DV10" s="321"/>
      <c r="DW10" s="321"/>
      <c r="DX10" s="321"/>
      <c r="DY10" s="321"/>
      <c r="DZ10" s="321"/>
      <c r="EA10" s="321"/>
      <c r="EB10" s="321"/>
      <c r="EC10" s="321"/>
      <c r="ED10" s="321"/>
      <c r="EE10" s="321"/>
      <c r="EF10" s="321"/>
      <c r="EG10" s="321"/>
      <c r="EH10" s="321"/>
      <c r="EI10" s="321"/>
      <c r="EJ10" s="321"/>
      <c r="EK10" s="321"/>
      <c r="EL10" s="321"/>
      <c r="EM10" s="321"/>
      <c r="EN10" s="321"/>
      <c r="EO10" s="321"/>
      <c r="EP10" s="321"/>
      <c r="EQ10" s="321"/>
      <c r="ER10" s="321"/>
      <c r="ES10" s="321"/>
      <c r="ET10" s="321"/>
      <c r="EU10" s="321"/>
      <c r="EV10" s="321"/>
      <c r="EW10" s="321"/>
      <c r="EX10" s="321"/>
      <c r="EY10" s="321"/>
      <c r="EZ10" s="321"/>
      <c r="FA10" s="321"/>
      <c r="FB10" s="321"/>
      <c r="FC10" s="321"/>
      <c r="FD10" s="321"/>
      <c r="FE10" s="321"/>
      <c r="FF10" s="321"/>
      <c r="FG10" s="321"/>
      <c r="FH10" s="321"/>
      <c r="FI10" s="321"/>
      <c r="FJ10" s="321"/>
      <c r="FK10" s="321"/>
      <c r="FL10" s="321"/>
      <c r="FM10" s="321"/>
      <c r="FN10" s="321"/>
      <c r="FO10" s="321"/>
      <c r="FP10" s="321"/>
      <c r="FQ10" s="321"/>
      <c r="FR10" s="321"/>
      <c r="FS10" s="321"/>
      <c r="FT10" s="321"/>
      <c r="FU10" s="321"/>
      <c r="FV10" s="321"/>
      <c r="FW10" s="321"/>
      <c r="FX10" s="321"/>
      <c r="FY10" s="321"/>
      <c r="FZ10" s="321"/>
      <c r="GA10" s="321"/>
      <c r="GB10" s="321"/>
      <c r="GC10" s="321"/>
      <c r="GD10" s="321"/>
      <c r="GE10" s="321"/>
      <c r="GF10" s="321"/>
      <c r="GG10" s="321"/>
      <c r="GH10" s="321"/>
      <c r="GI10" s="321"/>
      <c r="GJ10" s="321"/>
      <c r="GK10" s="321"/>
      <c r="GL10" s="321"/>
      <c r="GM10" s="321"/>
      <c r="GN10" s="321"/>
      <c r="GO10" s="321"/>
      <c r="GP10" s="321"/>
      <c r="GQ10" s="321"/>
      <c r="GR10" s="321"/>
      <c r="GS10" s="321"/>
      <c r="GT10" s="321"/>
      <c r="GU10" s="321"/>
      <c r="GV10" s="321"/>
      <c r="GW10" s="321"/>
      <c r="GX10" s="321"/>
      <c r="GY10" s="321"/>
      <c r="GZ10" s="321"/>
      <c r="HA10" s="321"/>
      <c r="HB10" s="321"/>
      <c r="HC10" s="321"/>
      <c r="HD10" s="321"/>
      <c r="HE10" s="321"/>
      <c r="HF10" s="321"/>
      <c r="HG10" s="321"/>
      <c r="HH10" s="321"/>
      <c r="HI10" s="321"/>
      <c r="HJ10" s="321"/>
      <c r="HK10" s="321"/>
      <c r="HL10" s="321"/>
      <c r="HM10" s="321"/>
      <c r="HN10" s="321"/>
      <c r="HO10" s="321"/>
      <c r="HP10" s="321"/>
      <c r="HQ10" s="321"/>
      <c r="HR10" s="321"/>
      <c r="HS10" s="321"/>
      <c r="HT10" s="321"/>
      <c r="HU10" s="321"/>
      <c r="HV10" s="321"/>
      <c r="HW10" s="321"/>
      <c r="HX10" s="321"/>
      <c r="HY10" s="321"/>
      <c r="HZ10" s="321"/>
      <c r="IA10" s="321"/>
      <c r="IB10" s="321"/>
      <c r="IC10" s="321"/>
      <c r="ID10" s="321"/>
      <c r="IE10" s="321"/>
      <c r="IF10" s="321"/>
      <c r="IG10" s="321"/>
      <c r="IH10" s="321"/>
      <c r="II10" s="321"/>
      <c r="IJ10" s="321"/>
      <c r="IK10" s="321"/>
      <c r="IL10" s="321"/>
      <c r="IM10" s="321"/>
      <c r="IN10" s="321"/>
      <c r="IO10" s="321"/>
      <c r="IP10" s="321"/>
      <c r="IQ10" s="321"/>
      <c r="IR10" s="321"/>
      <c r="IS10" s="321"/>
      <c r="IT10" s="321"/>
      <c r="IU10" s="321"/>
      <c r="IV10" s="321"/>
    </row>
    <row r="11" spans="1:256" s="546" customFormat="1" ht="22.5" customHeight="1">
      <c r="A11" s="561">
        <v>2</v>
      </c>
      <c r="B11" s="554"/>
      <c r="C11" s="361">
        <v>1</v>
      </c>
      <c r="D11" s="549" t="s">
        <v>554</v>
      </c>
      <c r="E11" s="330"/>
      <c r="F11" s="550"/>
      <c r="G11" s="331"/>
      <c r="H11" s="762" t="s">
        <v>24</v>
      </c>
      <c r="I11" s="777"/>
      <c r="J11" s="773"/>
      <c r="K11" s="773"/>
      <c r="L11" s="773"/>
      <c r="M11" s="773"/>
      <c r="N11" s="773"/>
      <c r="O11" s="745"/>
      <c r="P11" s="55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c r="AZ11" s="321"/>
      <c r="BA11" s="321"/>
      <c r="BB11" s="321"/>
      <c r="BC11" s="321"/>
      <c r="BD11" s="321"/>
      <c r="BE11" s="321"/>
      <c r="BF11" s="321"/>
      <c r="BG11" s="321"/>
      <c r="BH11" s="321"/>
      <c r="BI11" s="321"/>
      <c r="BJ11" s="321"/>
      <c r="BK11" s="321"/>
      <c r="BL11" s="321"/>
      <c r="BM11" s="321"/>
      <c r="BN11" s="321"/>
      <c r="BO11" s="321"/>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c r="CM11" s="321"/>
      <c r="CN11" s="321"/>
      <c r="CO11" s="321"/>
      <c r="CP11" s="321"/>
      <c r="CQ11" s="321"/>
      <c r="CR11" s="321"/>
      <c r="CS11" s="321"/>
      <c r="CT11" s="321"/>
      <c r="CU11" s="321"/>
      <c r="CV11" s="321"/>
      <c r="CW11" s="321"/>
      <c r="CX11" s="321"/>
      <c r="CY11" s="321"/>
      <c r="CZ11" s="321"/>
      <c r="DA11" s="321"/>
      <c r="DB11" s="321"/>
      <c r="DC11" s="321"/>
      <c r="DD11" s="321"/>
      <c r="DE11" s="321"/>
      <c r="DF11" s="321"/>
      <c r="DG11" s="321"/>
      <c r="DH11" s="321"/>
      <c r="DI11" s="321"/>
      <c r="DJ11" s="321"/>
      <c r="DK11" s="321"/>
      <c r="DL11" s="321"/>
      <c r="DM11" s="321"/>
      <c r="DN11" s="321"/>
      <c r="DO11" s="321"/>
      <c r="DP11" s="321"/>
      <c r="DQ11" s="321"/>
      <c r="DR11" s="321"/>
      <c r="DS11" s="321"/>
      <c r="DT11" s="321"/>
      <c r="DU11" s="321"/>
      <c r="DV11" s="321"/>
      <c r="DW11" s="321"/>
      <c r="DX11" s="321"/>
      <c r="DY11" s="321"/>
      <c r="DZ11" s="321"/>
      <c r="EA11" s="321"/>
      <c r="EB11" s="321"/>
      <c r="EC11" s="321"/>
      <c r="ED11" s="321"/>
      <c r="EE11" s="321"/>
      <c r="EF11" s="321"/>
      <c r="EG11" s="321"/>
      <c r="EH11" s="321"/>
      <c r="EI11" s="321"/>
      <c r="EJ11" s="321"/>
      <c r="EK11" s="321"/>
      <c r="EL11" s="321"/>
      <c r="EM11" s="321"/>
      <c r="EN11" s="321"/>
      <c r="EO11" s="321"/>
      <c r="EP11" s="321"/>
      <c r="EQ11" s="321"/>
      <c r="ER11" s="321"/>
      <c r="ES11" s="321"/>
      <c r="ET11" s="321"/>
      <c r="EU11" s="321"/>
      <c r="EV11" s="321"/>
      <c r="EW11" s="321"/>
      <c r="EX11" s="321"/>
      <c r="EY11" s="321"/>
      <c r="EZ11" s="321"/>
      <c r="FA11" s="321"/>
      <c r="FB11" s="321"/>
      <c r="FC11" s="321"/>
      <c r="FD11" s="321"/>
      <c r="FE11" s="321"/>
      <c r="FF11" s="321"/>
      <c r="FG11" s="321"/>
      <c r="FH11" s="321"/>
      <c r="FI11" s="321"/>
      <c r="FJ11" s="321"/>
      <c r="FK11" s="321"/>
      <c r="FL11" s="321"/>
      <c r="FM11" s="321"/>
      <c r="FN11" s="321"/>
      <c r="FO11" s="321"/>
      <c r="FP11" s="321"/>
      <c r="FQ11" s="321"/>
      <c r="FR11" s="321"/>
      <c r="FS11" s="321"/>
      <c r="FT11" s="321"/>
      <c r="FU11" s="321"/>
      <c r="FV11" s="321"/>
      <c r="FW11" s="321"/>
      <c r="FX11" s="321"/>
      <c r="FY11" s="321"/>
      <c r="FZ11" s="321"/>
      <c r="GA11" s="321"/>
      <c r="GB11" s="321"/>
      <c r="GC11" s="321"/>
      <c r="GD11" s="321"/>
      <c r="GE11" s="321"/>
      <c r="GF11" s="321"/>
      <c r="GG11" s="321"/>
      <c r="GH11" s="321"/>
      <c r="GI11" s="321"/>
      <c r="GJ11" s="321"/>
      <c r="GK11" s="321"/>
      <c r="GL11" s="321"/>
      <c r="GM11" s="321"/>
      <c r="GN11" s="321"/>
      <c r="GO11" s="321"/>
      <c r="GP11" s="321"/>
      <c r="GQ11" s="321"/>
      <c r="GR11" s="321"/>
      <c r="GS11" s="321"/>
      <c r="GT11" s="321"/>
      <c r="GU11" s="321"/>
      <c r="GV11" s="321"/>
      <c r="GW11" s="321"/>
      <c r="GX11" s="321"/>
      <c r="GY11" s="321"/>
      <c r="GZ11" s="321"/>
      <c r="HA11" s="321"/>
      <c r="HB11" s="321"/>
      <c r="HC11" s="321"/>
      <c r="HD11" s="321"/>
      <c r="HE11" s="321"/>
      <c r="HF11" s="321"/>
      <c r="HG11" s="321"/>
      <c r="HH11" s="321"/>
      <c r="HI11" s="321"/>
      <c r="HJ11" s="321"/>
      <c r="HK11" s="321"/>
      <c r="HL11" s="321"/>
      <c r="HM11" s="321"/>
      <c r="HN11" s="321"/>
      <c r="HO11" s="321"/>
      <c r="HP11" s="321"/>
      <c r="HQ11" s="321"/>
      <c r="HR11" s="321"/>
      <c r="HS11" s="321"/>
      <c r="HT11" s="321"/>
      <c r="HU11" s="321"/>
      <c r="HV11" s="321"/>
      <c r="HW11" s="321"/>
      <c r="HX11" s="321"/>
      <c r="HY11" s="321"/>
      <c r="HZ11" s="321"/>
      <c r="IA11" s="321"/>
      <c r="IB11" s="321"/>
      <c r="IC11" s="321"/>
      <c r="ID11" s="321"/>
      <c r="IE11" s="321"/>
      <c r="IF11" s="321"/>
      <c r="IG11" s="321"/>
      <c r="IH11" s="321"/>
      <c r="II11" s="321"/>
      <c r="IJ11" s="321"/>
      <c r="IK11" s="321"/>
      <c r="IL11" s="321"/>
      <c r="IM11" s="321"/>
      <c r="IN11" s="321"/>
      <c r="IO11" s="321"/>
      <c r="IP11" s="321"/>
      <c r="IQ11" s="321"/>
      <c r="IR11" s="321"/>
      <c r="IS11" s="321"/>
      <c r="IT11" s="321"/>
      <c r="IU11" s="321"/>
      <c r="IV11" s="321"/>
    </row>
    <row r="12" spans="1:16" s="754" customFormat="1" ht="18" customHeight="1">
      <c r="A12" s="561">
        <v>3</v>
      </c>
      <c r="B12" s="746"/>
      <c r="C12" s="747"/>
      <c r="D12" s="748" t="s">
        <v>303</v>
      </c>
      <c r="E12" s="330">
        <f>F12+G12+O13+P12</f>
        <v>1119735</v>
      </c>
      <c r="F12" s="550"/>
      <c r="G12" s="331">
        <v>237</v>
      </c>
      <c r="H12" s="762"/>
      <c r="I12" s="759"/>
      <c r="J12" s="752"/>
      <c r="K12" s="773">
        <v>1398</v>
      </c>
      <c r="L12" s="752"/>
      <c r="M12" s="773">
        <f>201554+916546</f>
        <v>1118100</v>
      </c>
      <c r="N12" s="752"/>
      <c r="O12" s="745">
        <f>SUM(I12:N12)</f>
        <v>1119498</v>
      </c>
      <c r="P12" s="753"/>
    </row>
    <row r="13" spans="1:16" s="754" customFormat="1" ht="18" customHeight="1">
      <c r="A13" s="561">
        <v>4</v>
      </c>
      <c r="B13" s="746"/>
      <c r="C13" s="747"/>
      <c r="D13" s="436" t="s">
        <v>994</v>
      </c>
      <c r="E13" s="330"/>
      <c r="F13" s="550"/>
      <c r="G13" s="331"/>
      <c r="H13" s="762"/>
      <c r="I13" s="759"/>
      <c r="J13" s="752"/>
      <c r="K13" s="547">
        <v>1698</v>
      </c>
      <c r="L13" s="1131"/>
      <c r="M13" s="547">
        <v>1117800</v>
      </c>
      <c r="N13" s="752"/>
      <c r="O13" s="555">
        <f>SUM(I13:N13)</f>
        <v>1119498</v>
      </c>
      <c r="P13" s="753"/>
    </row>
    <row r="14" spans="1:16" s="754" customFormat="1" ht="18" customHeight="1">
      <c r="A14" s="561">
        <v>5</v>
      </c>
      <c r="B14" s="746"/>
      <c r="C14" s="747"/>
      <c r="D14" s="987" t="s">
        <v>1035</v>
      </c>
      <c r="E14" s="330"/>
      <c r="F14" s="550"/>
      <c r="G14" s="331"/>
      <c r="H14" s="762"/>
      <c r="I14" s="1132"/>
      <c r="J14" s="1131"/>
      <c r="K14" s="1266">
        <v>1182</v>
      </c>
      <c r="L14" s="1369"/>
      <c r="M14" s="1266">
        <v>1105911</v>
      </c>
      <c r="N14" s="1131"/>
      <c r="O14" s="1175">
        <f>SUM(I14:N14)</f>
        <v>1107093</v>
      </c>
      <c r="P14" s="753"/>
    </row>
    <row r="15" spans="1:256" s="546" customFormat="1" ht="22.5" customHeight="1">
      <c r="A15" s="561">
        <v>6</v>
      </c>
      <c r="B15" s="554"/>
      <c r="C15" s="361">
        <v>2</v>
      </c>
      <c r="D15" s="557" t="s">
        <v>464</v>
      </c>
      <c r="E15" s="330"/>
      <c r="F15" s="550"/>
      <c r="G15" s="331"/>
      <c r="H15" s="762" t="s">
        <v>24</v>
      </c>
      <c r="I15" s="777"/>
      <c r="J15" s="773"/>
      <c r="K15" s="773"/>
      <c r="L15" s="773"/>
      <c r="M15" s="773"/>
      <c r="N15" s="773"/>
      <c r="O15" s="745"/>
      <c r="P15" s="55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21"/>
      <c r="BD15" s="321"/>
      <c r="BE15" s="321"/>
      <c r="BF15" s="321"/>
      <c r="BG15" s="321"/>
      <c r="BH15" s="321"/>
      <c r="BI15" s="321"/>
      <c r="BJ15" s="321"/>
      <c r="BK15" s="321"/>
      <c r="BL15" s="321"/>
      <c r="BM15" s="321"/>
      <c r="BN15" s="321"/>
      <c r="BO15" s="321"/>
      <c r="BP15" s="321"/>
      <c r="BQ15" s="321"/>
      <c r="BR15" s="321"/>
      <c r="BS15" s="321"/>
      <c r="BT15" s="321"/>
      <c r="BU15" s="321"/>
      <c r="BV15" s="321"/>
      <c r="BW15" s="321"/>
      <c r="BX15" s="321"/>
      <c r="BY15" s="321"/>
      <c r="BZ15" s="321"/>
      <c r="CA15" s="321"/>
      <c r="CB15" s="321"/>
      <c r="CC15" s="321"/>
      <c r="CD15" s="321"/>
      <c r="CE15" s="321"/>
      <c r="CF15" s="321"/>
      <c r="CG15" s="321"/>
      <c r="CH15" s="321"/>
      <c r="CI15" s="321"/>
      <c r="CJ15" s="321"/>
      <c r="CK15" s="321"/>
      <c r="CL15" s="321"/>
      <c r="CM15" s="321"/>
      <c r="CN15" s="321"/>
      <c r="CO15" s="321"/>
      <c r="CP15" s="321"/>
      <c r="CQ15" s="321"/>
      <c r="CR15" s="321"/>
      <c r="CS15" s="321"/>
      <c r="CT15" s="321"/>
      <c r="CU15" s="321"/>
      <c r="CV15" s="321"/>
      <c r="CW15" s="321"/>
      <c r="CX15" s="321"/>
      <c r="CY15" s="321"/>
      <c r="CZ15" s="321"/>
      <c r="DA15" s="321"/>
      <c r="DB15" s="321"/>
      <c r="DC15" s="321"/>
      <c r="DD15" s="321"/>
      <c r="DE15" s="321"/>
      <c r="DF15" s="321"/>
      <c r="DG15" s="321"/>
      <c r="DH15" s="321"/>
      <c r="DI15" s="321"/>
      <c r="DJ15" s="321"/>
      <c r="DK15" s="321"/>
      <c r="DL15" s="321"/>
      <c r="DM15" s="321"/>
      <c r="DN15" s="321"/>
      <c r="DO15" s="321"/>
      <c r="DP15" s="321"/>
      <c r="DQ15" s="321"/>
      <c r="DR15" s="321"/>
      <c r="DS15" s="321"/>
      <c r="DT15" s="321"/>
      <c r="DU15" s="321"/>
      <c r="DV15" s="321"/>
      <c r="DW15" s="321"/>
      <c r="DX15" s="321"/>
      <c r="DY15" s="321"/>
      <c r="DZ15" s="321"/>
      <c r="EA15" s="321"/>
      <c r="EB15" s="321"/>
      <c r="EC15" s="321"/>
      <c r="ED15" s="321"/>
      <c r="EE15" s="321"/>
      <c r="EF15" s="321"/>
      <c r="EG15" s="321"/>
      <c r="EH15" s="321"/>
      <c r="EI15" s="321"/>
      <c r="EJ15" s="321"/>
      <c r="EK15" s="321"/>
      <c r="EL15" s="321"/>
      <c r="EM15" s="321"/>
      <c r="EN15" s="321"/>
      <c r="EO15" s="321"/>
      <c r="EP15" s="321"/>
      <c r="EQ15" s="321"/>
      <c r="ER15" s="321"/>
      <c r="ES15" s="321"/>
      <c r="ET15" s="321"/>
      <c r="EU15" s="321"/>
      <c r="EV15" s="321"/>
      <c r="EW15" s="321"/>
      <c r="EX15" s="321"/>
      <c r="EY15" s="321"/>
      <c r="EZ15" s="321"/>
      <c r="FA15" s="321"/>
      <c r="FB15" s="321"/>
      <c r="FC15" s="321"/>
      <c r="FD15" s="321"/>
      <c r="FE15" s="321"/>
      <c r="FF15" s="321"/>
      <c r="FG15" s="321"/>
      <c r="FH15" s="321"/>
      <c r="FI15" s="321"/>
      <c r="FJ15" s="321"/>
      <c r="FK15" s="321"/>
      <c r="FL15" s="321"/>
      <c r="FM15" s="321"/>
      <c r="FN15" s="321"/>
      <c r="FO15" s="321"/>
      <c r="FP15" s="321"/>
      <c r="FQ15" s="321"/>
      <c r="FR15" s="321"/>
      <c r="FS15" s="321"/>
      <c r="FT15" s="321"/>
      <c r="FU15" s="321"/>
      <c r="FV15" s="321"/>
      <c r="FW15" s="321"/>
      <c r="FX15" s="321"/>
      <c r="FY15" s="321"/>
      <c r="FZ15" s="321"/>
      <c r="GA15" s="321"/>
      <c r="GB15" s="321"/>
      <c r="GC15" s="321"/>
      <c r="GD15" s="321"/>
      <c r="GE15" s="321"/>
      <c r="GF15" s="321"/>
      <c r="GG15" s="321"/>
      <c r="GH15" s="321"/>
      <c r="GI15" s="321"/>
      <c r="GJ15" s="321"/>
      <c r="GK15" s="321"/>
      <c r="GL15" s="321"/>
      <c r="GM15" s="321"/>
      <c r="GN15" s="321"/>
      <c r="GO15" s="321"/>
      <c r="GP15" s="321"/>
      <c r="GQ15" s="321"/>
      <c r="GR15" s="321"/>
      <c r="GS15" s="321"/>
      <c r="GT15" s="321"/>
      <c r="GU15" s="321"/>
      <c r="GV15" s="321"/>
      <c r="GW15" s="321"/>
      <c r="GX15" s="321"/>
      <c r="GY15" s="321"/>
      <c r="GZ15" s="321"/>
      <c r="HA15" s="321"/>
      <c r="HB15" s="321"/>
      <c r="HC15" s="321"/>
      <c r="HD15" s="321"/>
      <c r="HE15" s="321"/>
      <c r="HF15" s="321"/>
      <c r="HG15" s="321"/>
      <c r="HH15" s="321"/>
      <c r="HI15" s="321"/>
      <c r="HJ15" s="321"/>
      <c r="HK15" s="321"/>
      <c r="HL15" s="321"/>
      <c r="HM15" s="321"/>
      <c r="HN15" s="321"/>
      <c r="HO15" s="321"/>
      <c r="HP15" s="321"/>
      <c r="HQ15" s="321"/>
      <c r="HR15" s="321"/>
      <c r="HS15" s="321"/>
      <c r="HT15" s="321"/>
      <c r="HU15" s="321"/>
      <c r="HV15" s="321"/>
      <c r="HW15" s="321"/>
      <c r="HX15" s="321"/>
      <c r="HY15" s="321"/>
      <c r="HZ15" s="321"/>
      <c r="IA15" s="321"/>
      <c r="IB15" s="321"/>
      <c r="IC15" s="321"/>
      <c r="ID15" s="321"/>
      <c r="IE15" s="321"/>
      <c r="IF15" s="321"/>
      <c r="IG15" s="321"/>
      <c r="IH15" s="321"/>
      <c r="II15" s="321"/>
      <c r="IJ15" s="321"/>
      <c r="IK15" s="321"/>
      <c r="IL15" s="321"/>
      <c r="IM15" s="321"/>
      <c r="IN15" s="321"/>
      <c r="IO15" s="321"/>
      <c r="IP15" s="321"/>
      <c r="IQ15" s="321"/>
      <c r="IR15" s="321"/>
      <c r="IS15" s="321"/>
      <c r="IT15" s="321"/>
      <c r="IU15" s="321"/>
      <c r="IV15" s="321"/>
    </row>
    <row r="16" spans="1:16" s="754" customFormat="1" ht="18" customHeight="1">
      <c r="A16" s="561">
        <v>7</v>
      </c>
      <c r="B16" s="746"/>
      <c r="C16" s="747"/>
      <c r="D16" s="748" t="s">
        <v>303</v>
      </c>
      <c r="E16" s="330">
        <f>F16+G16+O17+P16</f>
        <v>25975</v>
      </c>
      <c r="F16" s="550">
        <f>6208+6205</f>
        <v>12413</v>
      </c>
      <c r="G16" s="331">
        <f>2345+10041</f>
        <v>12386</v>
      </c>
      <c r="H16" s="762"/>
      <c r="I16" s="777">
        <v>73</v>
      </c>
      <c r="J16" s="773">
        <v>73</v>
      </c>
      <c r="K16" s="773">
        <v>509</v>
      </c>
      <c r="L16" s="752"/>
      <c r="M16" s="752"/>
      <c r="N16" s="752"/>
      <c r="O16" s="745">
        <f>SUM(I16:N16)</f>
        <v>655</v>
      </c>
      <c r="P16" s="753"/>
    </row>
    <row r="17" spans="1:16" s="754" customFormat="1" ht="18" customHeight="1">
      <c r="A17" s="561">
        <v>8</v>
      </c>
      <c r="B17" s="746"/>
      <c r="C17" s="747"/>
      <c r="D17" s="436" t="s">
        <v>994</v>
      </c>
      <c r="E17" s="330"/>
      <c r="F17" s="550"/>
      <c r="G17" s="331"/>
      <c r="H17" s="762"/>
      <c r="I17" s="758">
        <v>74</v>
      </c>
      <c r="J17" s="547">
        <v>40</v>
      </c>
      <c r="K17" s="547">
        <v>302</v>
      </c>
      <c r="L17" s="547">
        <v>760</v>
      </c>
      <c r="M17" s="752"/>
      <c r="N17" s="752"/>
      <c r="O17" s="555">
        <f>SUM(I17:N17)</f>
        <v>1176</v>
      </c>
      <c r="P17" s="753"/>
    </row>
    <row r="18" spans="1:16" s="754" customFormat="1" ht="18" customHeight="1">
      <c r="A18" s="561">
        <v>9</v>
      </c>
      <c r="B18" s="746"/>
      <c r="C18" s="747"/>
      <c r="D18" s="987" t="s">
        <v>1035</v>
      </c>
      <c r="E18" s="330"/>
      <c r="F18" s="550"/>
      <c r="G18" s="331"/>
      <c r="H18" s="762"/>
      <c r="I18" s="1269">
        <v>74</v>
      </c>
      <c r="J18" s="1266">
        <v>40</v>
      </c>
      <c r="K18" s="1266">
        <v>302</v>
      </c>
      <c r="L18" s="1266">
        <v>0</v>
      </c>
      <c r="M18" s="1131"/>
      <c r="N18" s="1131"/>
      <c r="O18" s="1175">
        <f>SUM(I18:N18)</f>
        <v>416</v>
      </c>
      <c r="P18" s="753"/>
    </row>
    <row r="19" spans="1:256" s="546" customFormat="1" ht="36" customHeight="1">
      <c r="A19" s="561">
        <v>10</v>
      </c>
      <c r="B19" s="554"/>
      <c r="C19" s="322">
        <v>3</v>
      </c>
      <c r="D19" s="1485" t="s">
        <v>602</v>
      </c>
      <c r="E19" s="330"/>
      <c r="F19" s="550"/>
      <c r="G19" s="331"/>
      <c r="H19" s="784" t="s">
        <v>24</v>
      </c>
      <c r="I19" s="777"/>
      <c r="J19" s="773"/>
      <c r="K19" s="773"/>
      <c r="L19" s="773"/>
      <c r="M19" s="773"/>
      <c r="N19" s="773"/>
      <c r="O19" s="745"/>
      <c r="P19" s="55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321"/>
      <c r="BC19" s="321"/>
      <c r="BD19" s="321"/>
      <c r="BE19" s="321"/>
      <c r="BF19" s="321"/>
      <c r="BG19" s="321"/>
      <c r="BH19" s="321"/>
      <c r="BI19" s="321"/>
      <c r="BJ19" s="321"/>
      <c r="BK19" s="321"/>
      <c r="BL19" s="321"/>
      <c r="BM19" s="321"/>
      <c r="BN19" s="321"/>
      <c r="BO19" s="321"/>
      <c r="BP19" s="321"/>
      <c r="BQ19" s="321"/>
      <c r="BR19" s="321"/>
      <c r="BS19" s="321"/>
      <c r="BT19" s="321"/>
      <c r="BU19" s="321"/>
      <c r="BV19" s="321"/>
      <c r="BW19" s="321"/>
      <c r="BX19" s="321"/>
      <c r="BY19" s="321"/>
      <c r="BZ19" s="321"/>
      <c r="CA19" s="321"/>
      <c r="CB19" s="321"/>
      <c r="CC19" s="321"/>
      <c r="CD19" s="321"/>
      <c r="CE19" s="321"/>
      <c r="CF19" s="321"/>
      <c r="CG19" s="321"/>
      <c r="CH19" s="321"/>
      <c r="CI19" s="321"/>
      <c r="CJ19" s="321"/>
      <c r="CK19" s="321"/>
      <c r="CL19" s="321"/>
      <c r="CM19" s="321"/>
      <c r="CN19" s="321"/>
      <c r="CO19" s="321"/>
      <c r="CP19" s="321"/>
      <c r="CQ19" s="321"/>
      <c r="CR19" s="321"/>
      <c r="CS19" s="321"/>
      <c r="CT19" s="321"/>
      <c r="CU19" s="321"/>
      <c r="CV19" s="321"/>
      <c r="CW19" s="321"/>
      <c r="CX19" s="321"/>
      <c r="CY19" s="321"/>
      <c r="CZ19" s="321"/>
      <c r="DA19" s="321"/>
      <c r="DB19" s="321"/>
      <c r="DC19" s="321"/>
      <c r="DD19" s="321"/>
      <c r="DE19" s="321"/>
      <c r="DF19" s="321"/>
      <c r="DG19" s="321"/>
      <c r="DH19" s="321"/>
      <c r="DI19" s="321"/>
      <c r="DJ19" s="321"/>
      <c r="DK19" s="321"/>
      <c r="DL19" s="321"/>
      <c r="DM19" s="321"/>
      <c r="DN19" s="321"/>
      <c r="DO19" s="321"/>
      <c r="DP19" s="321"/>
      <c r="DQ19" s="321"/>
      <c r="DR19" s="321"/>
      <c r="DS19" s="321"/>
      <c r="DT19" s="321"/>
      <c r="DU19" s="321"/>
      <c r="DV19" s="321"/>
      <c r="DW19" s="321"/>
      <c r="DX19" s="321"/>
      <c r="DY19" s="321"/>
      <c r="DZ19" s="321"/>
      <c r="EA19" s="321"/>
      <c r="EB19" s="321"/>
      <c r="EC19" s="321"/>
      <c r="ED19" s="321"/>
      <c r="EE19" s="321"/>
      <c r="EF19" s="321"/>
      <c r="EG19" s="321"/>
      <c r="EH19" s="321"/>
      <c r="EI19" s="321"/>
      <c r="EJ19" s="321"/>
      <c r="EK19" s="321"/>
      <c r="EL19" s="321"/>
      <c r="EM19" s="321"/>
      <c r="EN19" s="321"/>
      <c r="EO19" s="321"/>
      <c r="EP19" s="321"/>
      <c r="EQ19" s="321"/>
      <c r="ER19" s="321"/>
      <c r="ES19" s="321"/>
      <c r="ET19" s="321"/>
      <c r="EU19" s="321"/>
      <c r="EV19" s="321"/>
      <c r="EW19" s="321"/>
      <c r="EX19" s="321"/>
      <c r="EY19" s="321"/>
      <c r="EZ19" s="321"/>
      <c r="FA19" s="321"/>
      <c r="FB19" s="321"/>
      <c r="FC19" s="321"/>
      <c r="FD19" s="321"/>
      <c r="FE19" s="321"/>
      <c r="FF19" s="321"/>
      <c r="FG19" s="321"/>
      <c r="FH19" s="321"/>
      <c r="FI19" s="321"/>
      <c r="FJ19" s="321"/>
      <c r="FK19" s="321"/>
      <c r="FL19" s="321"/>
      <c r="FM19" s="321"/>
      <c r="FN19" s="321"/>
      <c r="FO19" s="321"/>
      <c r="FP19" s="321"/>
      <c r="FQ19" s="321"/>
      <c r="FR19" s="321"/>
      <c r="FS19" s="321"/>
      <c r="FT19" s="321"/>
      <c r="FU19" s="321"/>
      <c r="FV19" s="321"/>
      <c r="FW19" s="321"/>
      <c r="FX19" s="321"/>
      <c r="FY19" s="321"/>
      <c r="FZ19" s="321"/>
      <c r="GA19" s="321"/>
      <c r="GB19" s="321"/>
      <c r="GC19" s="321"/>
      <c r="GD19" s="321"/>
      <c r="GE19" s="321"/>
      <c r="GF19" s="321"/>
      <c r="GG19" s="321"/>
      <c r="GH19" s="321"/>
      <c r="GI19" s="321"/>
      <c r="GJ19" s="321"/>
      <c r="GK19" s="321"/>
      <c r="GL19" s="321"/>
      <c r="GM19" s="321"/>
      <c r="GN19" s="321"/>
      <c r="GO19" s="321"/>
      <c r="GP19" s="321"/>
      <c r="GQ19" s="321"/>
      <c r="GR19" s="321"/>
      <c r="GS19" s="321"/>
      <c r="GT19" s="321"/>
      <c r="GU19" s="321"/>
      <c r="GV19" s="321"/>
      <c r="GW19" s="321"/>
      <c r="GX19" s="321"/>
      <c r="GY19" s="321"/>
      <c r="GZ19" s="321"/>
      <c r="HA19" s="321"/>
      <c r="HB19" s="321"/>
      <c r="HC19" s="321"/>
      <c r="HD19" s="321"/>
      <c r="HE19" s="321"/>
      <c r="HF19" s="321"/>
      <c r="HG19" s="321"/>
      <c r="HH19" s="321"/>
      <c r="HI19" s="321"/>
      <c r="HJ19" s="321"/>
      <c r="HK19" s="321"/>
      <c r="HL19" s="321"/>
      <c r="HM19" s="321"/>
      <c r="HN19" s="321"/>
      <c r="HO19" s="321"/>
      <c r="HP19" s="321"/>
      <c r="HQ19" s="321"/>
      <c r="HR19" s="321"/>
      <c r="HS19" s="321"/>
      <c r="HT19" s="321"/>
      <c r="HU19" s="321"/>
      <c r="HV19" s="321"/>
      <c r="HW19" s="321"/>
      <c r="HX19" s="321"/>
      <c r="HY19" s="321"/>
      <c r="HZ19" s="321"/>
      <c r="IA19" s="321"/>
      <c r="IB19" s="321"/>
      <c r="IC19" s="321"/>
      <c r="ID19" s="321"/>
      <c r="IE19" s="321"/>
      <c r="IF19" s="321"/>
      <c r="IG19" s="321"/>
      <c r="IH19" s="321"/>
      <c r="II19" s="321"/>
      <c r="IJ19" s="321"/>
      <c r="IK19" s="321"/>
      <c r="IL19" s="321"/>
      <c r="IM19" s="321"/>
      <c r="IN19" s="321"/>
      <c r="IO19" s="321"/>
      <c r="IP19" s="321"/>
      <c r="IQ19" s="321"/>
      <c r="IR19" s="321"/>
      <c r="IS19" s="321"/>
      <c r="IT19" s="321"/>
      <c r="IU19" s="321"/>
      <c r="IV19" s="321"/>
    </row>
    <row r="20" spans="1:16" s="754" customFormat="1" ht="18" customHeight="1">
      <c r="A20" s="561">
        <v>11</v>
      </c>
      <c r="B20" s="746"/>
      <c r="C20" s="747"/>
      <c r="D20" s="748" t="s">
        <v>303</v>
      </c>
      <c r="E20" s="330">
        <f>F20+G20+O21+P20</f>
        <v>282576</v>
      </c>
      <c r="F20" s="550">
        <v>6699</v>
      </c>
      <c r="G20" s="331"/>
      <c r="H20" s="762"/>
      <c r="I20" s="759"/>
      <c r="J20" s="752"/>
      <c r="K20" s="773">
        <v>278</v>
      </c>
      <c r="L20" s="752"/>
      <c r="M20" s="773">
        <f>52777+222822</f>
        <v>275599</v>
      </c>
      <c r="N20" s="752"/>
      <c r="O20" s="745">
        <f>SUM(I20:N20)</f>
        <v>275877</v>
      </c>
      <c r="P20" s="753"/>
    </row>
    <row r="21" spans="1:16" s="754" customFormat="1" ht="18" customHeight="1">
      <c r="A21" s="561">
        <v>12</v>
      </c>
      <c r="B21" s="746"/>
      <c r="C21" s="747"/>
      <c r="D21" s="436" t="s">
        <v>994</v>
      </c>
      <c r="E21" s="330"/>
      <c r="F21" s="550"/>
      <c r="G21" s="331"/>
      <c r="H21" s="762"/>
      <c r="I21" s="759"/>
      <c r="J21" s="752"/>
      <c r="K21" s="547">
        <v>278</v>
      </c>
      <c r="L21" s="1131"/>
      <c r="M21" s="547">
        <v>275599</v>
      </c>
      <c r="N21" s="752"/>
      <c r="O21" s="555">
        <f>SUM(I21:N21)</f>
        <v>275877</v>
      </c>
      <c r="P21" s="753"/>
    </row>
    <row r="22" spans="1:16" s="754" customFormat="1" ht="18" customHeight="1">
      <c r="A22" s="561">
        <v>13</v>
      </c>
      <c r="B22" s="746"/>
      <c r="C22" s="747"/>
      <c r="D22" s="987" t="s">
        <v>1036</v>
      </c>
      <c r="E22" s="330"/>
      <c r="F22" s="550"/>
      <c r="G22" s="331"/>
      <c r="H22" s="762"/>
      <c r="I22" s="1132"/>
      <c r="J22" s="1131"/>
      <c r="K22" s="1266">
        <v>0</v>
      </c>
      <c r="L22" s="1369"/>
      <c r="M22" s="1266">
        <v>0</v>
      </c>
      <c r="N22" s="1131"/>
      <c r="O22" s="1175">
        <f>SUM(I22:N22)</f>
        <v>0</v>
      </c>
      <c r="P22" s="753"/>
    </row>
    <row r="23" spans="1:256" s="546" customFormat="1" ht="22.5" customHeight="1">
      <c r="A23" s="561">
        <v>14</v>
      </c>
      <c r="B23" s="554"/>
      <c r="C23" s="361">
        <v>4</v>
      </c>
      <c r="D23" s="549" t="s">
        <v>603</v>
      </c>
      <c r="E23" s="330"/>
      <c r="F23" s="550"/>
      <c r="G23" s="331"/>
      <c r="H23" s="762" t="s">
        <v>24</v>
      </c>
      <c r="I23" s="777"/>
      <c r="J23" s="773"/>
      <c r="K23" s="773"/>
      <c r="L23" s="773"/>
      <c r="M23" s="773"/>
      <c r="N23" s="773"/>
      <c r="O23" s="745"/>
      <c r="P23" s="55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1"/>
      <c r="AQ23" s="321"/>
      <c r="AR23" s="321"/>
      <c r="AS23" s="321"/>
      <c r="AT23" s="321"/>
      <c r="AU23" s="321"/>
      <c r="AV23" s="321"/>
      <c r="AW23" s="321"/>
      <c r="AX23" s="321"/>
      <c r="AY23" s="321"/>
      <c r="AZ23" s="321"/>
      <c r="BA23" s="321"/>
      <c r="BB23" s="321"/>
      <c r="BC23" s="321"/>
      <c r="BD23" s="321"/>
      <c r="BE23" s="321"/>
      <c r="BF23" s="321"/>
      <c r="BG23" s="321"/>
      <c r="BH23" s="321"/>
      <c r="BI23" s="321"/>
      <c r="BJ23" s="321"/>
      <c r="BK23" s="321"/>
      <c r="BL23" s="321"/>
      <c r="BM23" s="321"/>
      <c r="BN23" s="321"/>
      <c r="BO23" s="321"/>
      <c r="BP23" s="321"/>
      <c r="BQ23" s="321"/>
      <c r="BR23" s="321"/>
      <c r="BS23" s="321"/>
      <c r="BT23" s="321"/>
      <c r="BU23" s="321"/>
      <c r="BV23" s="321"/>
      <c r="BW23" s="321"/>
      <c r="BX23" s="321"/>
      <c r="BY23" s="321"/>
      <c r="BZ23" s="321"/>
      <c r="CA23" s="321"/>
      <c r="CB23" s="321"/>
      <c r="CC23" s="321"/>
      <c r="CD23" s="321"/>
      <c r="CE23" s="321"/>
      <c r="CF23" s="321"/>
      <c r="CG23" s="321"/>
      <c r="CH23" s="321"/>
      <c r="CI23" s="321"/>
      <c r="CJ23" s="321"/>
      <c r="CK23" s="321"/>
      <c r="CL23" s="321"/>
      <c r="CM23" s="321"/>
      <c r="CN23" s="321"/>
      <c r="CO23" s="321"/>
      <c r="CP23" s="321"/>
      <c r="CQ23" s="321"/>
      <c r="CR23" s="321"/>
      <c r="CS23" s="321"/>
      <c r="CT23" s="321"/>
      <c r="CU23" s="321"/>
      <c r="CV23" s="321"/>
      <c r="CW23" s="321"/>
      <c r="CX23" s="321"/>
      <c r="CY23" s="321"/>
      <c r="CZ23" s="321"/>
      <c r="DA23" s="321"/>
      <c r="DB23" s="321"/>
      <c r="DC23" s="321"/>
      <c r="DD23" s="321"/>
      <c r="DE23" s="321"/>
      <c r="DF23" s="321"/>
      <c r="DG23" s="321"/>
      <c r="DH23" s="321"/>
      <c r="DI23" s="321"/>
      <c r="DJ23" s="321"/>
      <c r="DK23" s="321"/>
      <c r="DL23" s="321"/>
      <c r="DM23" s="321"/>
      <c r="DN23" s="321"/>
      <c r="DO23" s="321"/>
      <c r="DP23" s="321"/>
      <c r="DQ23" s="321"/>
      <c r="DR23" s="321"/>
      <c r="DS23" s="321"/>
      <c r="DT23" s="321"/>
      <c r="DU23" s="321"/>
      <c r="DV23" s="321"/>
      <c r="DW23" s="321"/>
      <c r="DX23" s="321"/>
      <c r="DY23" s="321"/>
      <c r="DZ23" s="321"/>
      <c r="EA23" s="321"/>
      <c r="EB23" s="321"/>
      <c r="EC23" s="321"/>
      <c r="ED23" s="321"/>
      <c r="EE23" s="321"/>
      <c r="EF23" s="321"/>
      <c r="EG23" s="321"/>
      <c r="EH23" s="321"/>
      <c r="EI23" s="321"/>
      <c r="EJ23" s="321"/>
      <c r="EK23" s="321"/>
      <c r="EL23" s="321"/>
      <c r="EM23" s="321"/>
      <c r="EN23" s="321"/>
      <c r="EO23" s="321"/>
      <c r="EP23" s="321"/>
      <c r="EQ23" s="321"/>
      <c r="ER23" s="321"/>
      <c r="ES23" s="321"/>
      <c r="ET23" s="321"/>
      <c r="EU23" s="321"/>
      <c r="EV23" s="321"/>
      <c r="EW23" s="321"/>
      <c r="EX23" s="321"/>
      <c r="EY23" s="321"/>
      <c r="EZ23" s="321"/>
      <c r="FA23" s="321"/>
      <c r="FB23" s="321"/>
      <c r="FC23" s="321"/>
      <c r="FD23" s="321"/>
      <c r="FE23" s="321"/>
      <c r="FF23" s="321"/>
      <c r="FG23" s="321"/>
      <c r="FH23" s="321"/>
      <c r="FI23" s="321"/>
      <c r="FJ23" s="321"/>
      <c r="FK23" s="321"/>
      <c r="FL23" s="321"/>
      <c r="FM23" s="321"/>
      <c r="FN23" s="321"/>
      <c r="FO23" s="321"/>
      <c r="FP23" s="321"/>
      <c r="FQ23" s="321"/>
      <c r="FR23" s="321"/>
      <c r="FS23" s="321"/>
      <c r="FT23" s="321"/>
      <c r="FU23" s="321"/>
      <c r="FV23" s="321"/>
      <c r="FW23" s="321"/>
      <c r="FX23" s="321"/>
      <c r="FY23" s="321"/>
      <c r="FZ23" s="321"/>
      <c r="GA23" s="321"/>
      <c r="GB23" s="321"/>
      <c r="GC23" s="321"/>
      <c r="GD23" s="321"/>
      <c r="GE23" s="321"/>
      <c r="GF23" s="321"/>
      <c r="GG23" s="321"/>
      <c r="GH23" s="321"/>
      <c r="GI23" s="321"/>
      <c r="GJ23" s="321"/>
      <c r="GK23" s="321"/>
      <c r="GL23" s="321"/>
      <c r="GM23" s="321"/>
      <c r="GN23" s="321"/>
      <c r="GO23" s="321"/>
      <c r="GP23" s="321"/>
      <c r="GQ23" s="321"/>
      <c r="GR23" s="321"/>
      <c r="GS23" s="321"/>
      <c r="GT23" s="321"/>
      <c r="GU23" s="321"/>
      <c r="GV23" s="321"/>
      <c r="GW23" s="321"/>
      <c r="GX23" s="321"/>
      <c r="GY23" s="321"/>
      <c r="GZ23" s="321"/>
      <c r="HA23" s="321"/>
      <c r="HB23" s="321"/>
      <c r="HC23" s="321"/>
      <c r="HD23" s="321"/>
      <c r="HE23" s="321"/>
      <c r="HF23" s="321"/>
      <c r="HG23" s="321"/>
      <c r="HH23" s="321"/>
      <c r="HI23" s="321"/>
      <c r="HJ23" s="321"/>
      <c r="HK23" s="321"/>
      <c r="HL23" s="321"/>
      <c r="HM23" s="321"/>
      <c r="HN23" s="321"/>
      <c r="HO23" s="321"/>
      <c r="HP23" s="321"/>
      <c r="HQ23" s="321"/>
      <c r="HR23" s="321"/>
      <c r="HS23" s="321"/>
      <c r="HT23" s="321"/>
      <c r="HU23" s="321"/>
      <c r="HV23" s="321"/>
      <c r="HW23" s="321"/>
      <c r="HX23" s="321"/>
      <c r="HY23" s="321"/>
      <c r="HZ23" s="321"/>
      <c r="IA23" s="321"/>
      <c r="IB23" s="321"/>
      <c r="IC23" s="321"/>
      <c r="ID23" s="321"/>
      <c r="IE23" s="321"/>
      <c r="IF23" s="321"/>
      <c r="IG23" s="321"/>
      <c r="IH23" s="321"/>
      <c r="II23" s="321"/>
      <c r="IJ23" s="321"/>
      <c r="IK23" s="321"/>
      <c r="IL23" s="321"/>
      <c r="IM23" s="321"/>
      <c r="IN23" s="321"/>
      <c r="IO23" s="321"/>
      <c r="IP23" s="321"/>
      <c r="IQ23" s="321"/>
      <c r="IR23" s="321"/>
      <c r="IS23" s="321"/>
      <c r="IT23" s="321"/>
      <c r="IU23" s="321"/>
      <c r="IV23" s="321"/>
    </row>
    <row r="24" spans="1:16" s="754" customFormat="1" ht="18" customHeight="1">
      <c r="A24" s="561">
        <v>15</v>
      </c>
      <c r="B24" s="746"/>
      <c r="C24" s="747"/>
      <c r="D24" s="755" t="s">
        <v>303</v>
      </c>
      <c r="E24" s="330">
        <f>F24+G24+O25+P24</f>
        <v>66636</v>
      </c>
      <c r="F24" s="550">
        <v>143</v>
      </c>
      <c r="G24" s="331">
        <f>196+62988+1540</f>
        <v>64724</v>
      </c>
      <c r="H24" s="762"/>
      <c r="I24" s="759"/>
      <c r="J24" s="752"/>
      <c r="K24" s="773">
        <v>61</v>
      </c>
      <c r="L24" s="752"/>
      <c r="M24" s="773">
        <v>1708</v>
      </c>
      <c r="N24" s="752"/>
      <c r="O24" s="745">
        <f>SUM(I24:N24)</f>
        <v>1769</v>
      </c>
      <c r="P24" s="753"/>
    </row>
    <row r="25" spans="1:16" s="754" customFormat="1" ht="18" customHeight="1">
      <c r="A25" s="561">
        <v>16</v>
      </c>
      <c r="B25" s="746"/>
      <c r="C25" s="747"/>
      <c r="D25" s="436" t="s">
        <v>994</v>
      </c>
      <c r="E25" s="330"/>
      <c r="F25" s="550"/>
      <c r="G25" s="331"/>
      <c r="H25" s="762"/>
      <c r="I25" s="759"/>
      <c r="J25" s="752"/>
      <c r="K25" s="547">
        <v>61</v>
      </c>
      <c r="L25" s="1131"/>
      <c r="M25" s="547">
        <v>1708</v>
      </c>
      <c r="N25" s="752"/>
      <c r="O25" s="555">
        <f>SUM(I25:N25)</f>
        <v>1769</v>
      </c>
      <c r="P25" s="753"/>
    </row>
    <row r="26" spans="1:16" s="754" customFormat="1" ht="18" customHeight="1">
      <c r="A26" s="561">
        <v>17</v>
      </c>
      <c r="B26" s="746"/>
      <c r="C26" s="747"/>
      <c r="D26" s="987" t="s">
        <v>1036</v>
      </c>
      <c r="E26" s="330"/>
      <c r="F26" s="550"/>
      <c r="G26" s="331"/>
      <c r="H26" s="762"/>
      <c r="I26" s="1132"/>
      <c r="J26" s="1131"/>
      <c r="K26" s="1266">
        <v>0</v>
      </c>
      <c r="L26" s="1369"/>
      <c r="M26" s="1266">
        <v>0</v>
      </c>
      <c r="N26" s="1131"/>
      <c r="O26" s="1175">
        <f>SUM(I26:N26)</f>
        <v>0</v>
      </c>
      <c r="P26" s="753"/>
    </row>
    <row r="27" spans="1:256" s="546" customFormat="1" ht="38.25" customHeight="1">
      <c r="A27" s="561">
        <v>18</v>
      </c>
      <c r="B27" s="554"/>
      <c r="C27" s="322">
        <v>5</v>
      </c>
      <c r="D27" s="324" t="s">
        <v>560</v>
      </c>
      <c r="E27" s="330"/>
      <c r="F27" s="330"/>
      <c r="G27" s="331"/>
      <c r="H27" s="784" t="s">
        <v>24</v>
      </c>
      <c r="I27" s="778"/>
      <c r="J27" s="772"/>
      <c r="K27" s="772"/>
      <c r="L27" s="772"/>
      <c r="M27" s="772"/>
      <c r="N27" s="772"/>
      <c r="O27" s="779"/>
      <c r="P27" s="55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c r="BF27" s="321"/>
      <c r="BG27" s="321"/>
      <c r="BH27" s="321"/>
      <c r="BI27" s="321"/>
      <c r="BJ27" s="321"/>
      <c r="BK27" s="321"/>
      <c r="BL27" s="321"/>
      <c r="BM27" s="321"/>
      <c r="BN27" s="321"/>
      <c r="BO27" s="321"/>
      <c r="BP27" s="321"/>
      <c r="BQ27" s="321"/>
      <c r="BR27" s="321"/>
      <c r="BS27" s="321"/>
      <c r="BT27" s="321"/>
      <c r="BU27" s="321"/>
      <c r="BV27" s="321"/>
      <c r="BW27" s="321"/>
      <c r="BX27" s="321"/>
      <c r="BY27" s="321"/>
      <c r="BZ27" s="321"/>
      <c r="CA27" s="321"/>
      <c r="CB27" s="321"/>
      <c r="CC27" s="321"/>
      <c r="CD27" s="321"/>
      <c r="CE27" s="321"/>
      <c r="CF27" s="321"/>
      <c r="CG27" s="321"/>
      <c r="CH27" s="321"/>
      <c r="CI27" s="321"/>
      <c r="CJ27" s="321"/>
      <c r="CK27" s="321"/>
      <c r="CL27" s="321"/>
      <c r="CM27" s="321"/>
      <c r="CN27" s="321"/>
      <c r="CO27" s="321"/>
      <c r="CP27" s="321"/>
      <c r="CQ27" s="321"/>
      <c r="CR27" s="321"/>
      <c r="CS27" s="321"/>
      <c r="CT27" s="321"/>
      <c r="CU27" s="321"/>
      <c r="CV27" s="321"/>
      <c r="CW27" s="321"/>
      <c r="CX27" s="321"/>
      <c r="CY27" s="321"/>
      <c r="CZ27" s="321"/>
      <c r="DA27" s="321"/>
      <c r="DB27" s="321"/>
      <c r="DC27" s="321"/>
      <c r="DD27" s="321"/>
      <c r="DE27" s="321"/>
      <c r="DF27" s="321"/>
      <c r="DG27" s="321"/>
      <c r="DH27" s="321"/>
      <c r="DI27" s="321"/>
      <c r="DJ27" s="321"/>
      <c r="DK27" s="321"/>
      <c r="DL27" s="321"/>
      <c r="DM27" s="321"/>
      <c r="DN27" s="321"/>
      <c r="DO27" s="321"/>
      <c r="DP27" s="321"/>
      <c r="DQ27" s="321"/>
      <c r="DR27" s="321"/>
      <c r="DS27" s="321"/>
      <c r="DT27" s="321"/>
      <c r="DU27" s="321"/>
      <c r="DV27" s="321"/>
      <c r="DW27" s="321"/>
      <c r="DX27" s="321"/>
      <c r="DY27" s="321"/>
      <c r="DZ27" s="321"/>
      <c r="EA27" s="321"/>
      <c r="EB27" s="321"/>
      <c r="EC27" s="321"/>
      <c r="ED27" s="321"/>
      <c r="EE27" s="321"/>
      <c r="EF27" s="321"/>
      <c r="EG27" s="321"/>
      <c r="EH27" s="321"/>
      <c r="EI27" s="321"/>
      <c r="EJ27" s="321"/>
      <c r="EK27" s="321"/>
      <c r="EL27" s="321"/>
      <c r="EM27" s="321"/>
      <c r="EN27" s="321"/>
      <c r="EO27" s="321"/>
      <c r="EP27" s="321"/>
      <c r="EQ27" s="321"/>
      <c r="ER27" s="321"/>
      <c r="ES27" s="321"/>
      <c r="ET27" s="321"/>
      <c r="EU27" s="321"/>
      <c r="EV27" s="321"/>
      <c r="EW27" s="321"/>
      <c r="EX27" s="321"/>
      <c r="EY27" s="321"/>
      <c r="EZ27" s="321"/>
      <c r="FA27" s="321"/>
      <c r="FB27" s="321"/>
      <c r="FC27" s="321"/>
      <c r="FD27" s="321"/>
      <c r="FE27" s="321"/>
      <c r="FF27" s="321"/>
      <c r="FG27" s="321"/>
      <c r="FH27" s="321"/>
      <c r="FI27" s="321"/>
      <c r="FJ27" s="321"/>
      <c r="FK27" s="321"/>
      <c r="FL27" s="321"/>
      <c r="FM27" s="321"/>
      <c r="FN27" s="321"/>
      <c r="FO27" s="321"/>
      <c r="FP27" s="321"/>
      <c r="FQ27" s="321"/>
      <c r="FR27" s="321"/>
      <c r="FS27" s="321"/>
      <c r="FT27" s="321"/>
      <c r="FU27" s="321"/>
      <c r="FV27" s="321"/>
      <c r="FW27" s="321"/>
      <c r="FX27" s="321"/>
      <c r="FY27" s="321"/>
      <c r="FZ27" s="321"/>
      <c r="GA27" s="321"/>
      <c r="GB27" s="321"/>
      <c r="GC27" s="321"/>
      <c r="GD27" s="321"/>
      <c r="GE27" s="321"/>
      <c r="GF27" s="321"/>
      <c r="GG27" s="321"/>
      <c r="GH27" s="321"/>
      <c r="GI27" s="321"/>
      <c r="GJ27" s="321"/>
      <c r="GK27" s="321"/>
      <c r="GL27" s="321"/>
      <c r="GM27" s="321"/>
      <c r="GN27" s="321"/>
      <c r="GO27" s="321"/>
      <c r="GP27" s="321"/>
      <c r="GQ27" s="321"/>
      <c r="GR27" s="321"/>
      <c r="GS27" s="321"/>
      <c r="GT27" s="321"/>
      <c r="GU27" s="321"/>
      <c r="GV27" s="321"/>
      <c r="GW27" s="321"/>
      <c r="GX27" s="321"/>
      <c r="GY27" s="321"/>
      <c r="GZ27" s="321"/>
      <c r="HA27" s="321"/>
      <c r="HB27" s="321"/>
      <c r="HC27" s="321"/>
      <c r="HD27" s="321"/>
      <c r="HE27" s="321"/>
      <c r="HF27" s="321"/>
      <c r="HG27" s="321"/>
      <c r="HH27" s="321"/>
      <c r="HI27" s="321"/>
      <c r="HJ27" s="321"/>
      <c r="HK27" s="321"/>
      <c r="HL27" s="321"/>
      <c r="HM27" s="321"/>
      <c r="HN27" s="321"/>
      <c r="HO27" s="321"/>
      <c r="HP27" s="321"/>
      <c r="HQ27" s="321"/>
      <c r="HR27" s="321"/>
      <c r="HS27" s="321"/>
      <c r="HT27" s="321"/>
      <c r="HU27" s="321"/>
      <c r="HV27" s="321"/>
      <c r="HW27" s="321"/>
      <c r="HX27" s="321"/>
      <c r="HY27" s="321"/>
      <c r="HZ27" s="321"/>
      <c r="IA27" s="321"/>
      <c r="IB27" s="321"/>
      <c r="IC27" s="321"/>
      <c r="ID27" s="321"/>
      <c r="IE27" s="321"/>
      <c r="IF27" s="321"/>
      <c r="IG27" s="321"/>
      <c r="IH27" s="321"/>
      <c r="II27" s="321"/>
      <c r="IJ27" s="321"/>
      <c r="IK27" s="321"/>
      <c r="IL27" s="321"/>
      <c r="IM27" s="321"/>
      <c r="IN27" s="321"/>
      <c r="IO27" s="321"/>
      <c r="IP27" s="321"/>
      <c r="IQ27" s="321"/>
      <c r="IR27" s="321"/>
      <c r="IS27" s="321"/>
      <c r="IT27" s="321"/>
      <c r="IU27" s="321"/>
      <c r="IV27" s="321"/>
    </row>
    <row r="28" spans="1:16" ht="18" customHeight="1">
      <c r="A28" s="561">
        <v>19</v>
      </c>
      <c r="B28" s="455"/>
      <c r="C28" s="361"/>
      <c r="D28" s="755" t="s">
        <v>303</v>
      </c>
      <c r="E28" s="330">
        <f>F28+G28+O29+P28-L29-N29+3250</f>
        <v>175747</v>
      </c>
      <c r="F28" s="330">
        <v>6541</v>
      </c>
      <c r="G28" s="331"/>
      <c r="H28" s="762"/>
      <c r="I28" s="778"/>
      <c r="J28" s="772"/>
      <c r="K28" s="772">
        <v>382</v>
      </c>
      <c r="L28" s="772"/>
      <c r="M28" s="772">
        <f>34933+130641</f>
        <v>165574</v>
      </c>
      <c r="N28" s="772"/>
      <c r="O28" s="745">
        <f>SUM(I28:N28)</f>
        <v>165956</v>
      </c>
      <c r="P28" s="551"/>
    </row>
    <row r="29" spans="1:16" ht="18" customHeight="1">
      <c r="A29" s="561">
        <v>20</v>
      </c>
      <c r="B29" s="455"/>
      <c r="C29" s="361"/>
      <c r="D29" s="436" t="s">
        <v>994</v>
      </c>
      <c r="E29" s="330"/>
      <c r="F29" s="330"/>
      <c r="G29" s="331"/>
      <c r="H29" s="762"/>
      <c r="I29" s="778"/>
      <c r="J29" s="772"/>
      <c r="K29" s="330">
        <v>382</v>
      </c>
      <c r="L29" s="330">
        <v>3632</v>
      </c>
      <c r="M29" s="330">
        <v>165574</v>
      </c>
      <c r="N29" s="330">
        <v>130641</v>
      </c>
      <c r="O29" s="555">
        <f>SUM(I29:N29)</f>
        <v>300229</v>
      </c>
      <c r="P29" s="551"/>
    </row>
    <row r="30" spans="1:16" ht="18" customHeight="1">
      <c r="A30" s="561">
        <v>21</v>
      </c>
      <c r="B30" s="455"/>
      <c r="C30" s="361"/>
      <c r="D30" s="987" t="s">
        <v>1035</v>
      </c>
      <c r="E30" s="330"/>
      <c r="F30" s="330"/>
      <c r="G30" s="331"/>
      <c r="H30" s="762"/>
      <c r="I30" s="760"/>
      <c r="J30" s="330"/>
      <c r="K30" s="330">
        <v>40</v>
      </c>
      <c r="L30" s="1151">
        <v>3632</v>
      </c>
      <c r="M30" s="1151">
        <v>0</v>
      </c>
      <c r="N30" s="1151">
        <v>130641</v>
      </c>
      <c r="O30" s="1175">
        <f>SUM(I30:N30)</f>
        <v>134313</v>
      </c>
      <c r="P30" s="551"/>
    </row>
    <row r="31" spans="1:16" ht="33">
      <c r="A31" s="561">
        <v>22</v>
      </c>
      <c r="B31" s="455"/>
      <c r="C31" s="322">
        <v>6</v>
      </c>
      <c r="D31" s="743" t="s">
        <v>605</v>
      </c>
      <c r="E31" s="330"/>
      <c r="F31" s="330"/>
      <c r="G31" s="331"/>
      <c r="H31" s="762" t="s">
        <v>24</v>
      </c>
      <c r="I31" s="778"/>
      <c r="J31" s="772"/>
      <c r="K31" s="772"/>
      <c r="L31" s="772"/>
      <c r="M31" s="772"/>
      <c r="N31" s="772"/>
      <c r="O31" s="745"/>
      <c r="P31" s="551"/>
    </row>
    <row r="32" spans="1:16" ht="18" customHeight="1">
      <c r="A32" s="561">
        <v>23</v>
      </c>
      <c r="B32" s="455"/>
      <c r="C32" s="361"/>
      <c r="D32" s="755" t="s">
        <v>303</v>
      </c>
      <c r="E32" s="330">
        <f>F32+G32+O33+P32</f>
        <v>64792</v>
      </c>
      <c r="F32" s="330">
        <v>1956</v>
      </c>
      <c r="G32" s="331"/>
      <c r="H32" s="762"/>
      <c r="I32" s="778"/>
      <c r="J32" s="772"/>
      <c r="K32" s="772">
        <v>270</v>
      </c>
      <c r="L32" s="772"/>
      <c r="M32" s="772">
        <f>7068+41498</f>
        <v>48566</v>
      </c>
      <c r="N32" s="772"/>
      <c r="O32" s="745">
        <f>SUM(I32:N32)</f>
        <v>48836</v>
      </c>
      <c r="P32" s="551"/>
    </row>
    <row r="33" spans="1:16" ht="18" customHeight="1">
      <c r="A33" s="561">
        <v>24</v>
      </c>
      <c r="B33" s="455"/>
      <c r="C33" s="361"/>
      <c r="D33" s="436" t="s">
        <v>994</v>
      </c>
      <c r="E33" s="330"/>
      <c r="F33" s="330"/>
      <c r="G33" s="331"/>
      <c r="H33" s="762"/>
      <c r="I33" s="778"/>
      <c r="J33" s="772"/>
      <c r="K33" s="330">
        <v>270</v>
      </c>
      <c r="L33" s="330"/>
      <c r="M33" s="330">
        <v>62566</v>
      </c>
      <c r="N33" s="772"/>
      <c r="O33" s="555">
        <f>SUM(I33:N33)</f>
        <v>62836</v>
      </c>
      <c r="P33" s="551"/>
    </row>
    <row r="34" spans="1:16" ht="18" customHeight="1">
      <c r="A34" s="561">
        <v>25</v>
      </c>
      <c r="B34" s="455"/>
      <c r="C34" s="361"/>
      <c r="D34" s="987" t="s">
        <v>1035</v>
      </c>
      <c r="E34" s="330"/>
      <c r="F34" s="330"/>
      <c r="G34" s="331"/>
      <c r="H34" s="762"/>
      <c r="I34" s="760"/>
      <c r="J34" s="330"/>
      <c r="K34" s="1151">
        <v>0</v>
      </c>
      <c r="L34" s="330"/>
      <c r="M34" s="1151">
        <v>0</v>
      </c>
      <c r="N34" s="330"/>
      <c r="O34" s="1175">
        <f>SUM(I34:N34)</f>
        <v>0</v>
      </c>
      <c r="P34" s="551"/>
    </row>
    <row r="35" spans="1:16" ht="33">
      <c r="A35" s="561">
        <v>26</v>
      </c>
      <c r="B35" s="455"/>
      <c r="C35" s="322">
        <v>7</v>
      </c>
      <c r="D35" s="742" t="s">
        <v>606</v>
      </c>
      <c r="E35" s="330"/>
      <c r="F35" s="330"/>
      <c r="G35" s="331"/>
      <c r="H35" s="762" t="s">
        <v>24</v>
      </c>
      <c r="I35" s="778"/>
      <c r="J35" s="772"/>
      <c r="K35" s="772"/>
      <c r="L35" s="772"/>
      <c r="M35" s="772"/>
      <c r="N35" s="772"/>
      <c r="O35" s="745"/>
      <c r="P35" s="551"/>
    </row>
    <row r="36" spans="1:16" ht="18" customHeight="1">
      <c r="A36" s="561">
        <v>27</v>
      </c>
      <c r="B36" s="455"/>
      <c r="C36" s="361"/>
      <c r="D36" s="755" t="s">
        <v>303</v>
      </c>
      <c r="E36" s="330">
        <f>F36+G36+O37+P36</f>
        <v>79009</v>
      </c>
      <c r="F36" s="330">
        <v>2459</v>
      </c>
      <c r="G36" s="331"/>
      <c r="H36" s="762"/>
      <c r="I36" s="778"/>
      <c r="J36" s="772"/>
      <c r="K36" s="772">
        <v>270</v>
      </c>
      <c r="L36" s="772"/>
      <c r="M36" s="772">
        <f>37058+53222</f>
        <v>90280</v>
      </c>
      <c r="N36" s="772"/>
      <c r="O36" s="745">
        <f>SUM(I36:N36)</f>
        <v>90550</v>
      </c>
      <c r="P36" s="551"/>
    </row>
    <row r="37" spans="1:16" ht="18" customHeight="1">
      <c r="A37" s="561">
        <v>28</v>
      </c>
      <c r="B37" s="455"/>
      <c r="C37" s="361"/>
      <c r="D37" s="436" t="s">
        <v>994</v>
      </c>
      <c r="E37" s="330"/>
      <c r="F37" s="330"/>
      <c r="G37" s="331"/>
      <c r="H37" s="762"/>
      <c r="I37" s="778"/>
      <c r="J37" s="772"/>
      <c r="K37" s="330">
        <v>270</v>
      </c>
      <c r="L37" s="330"/>
      <c r="M37" s="330">
        <v>76280</v>
      </c>
      <c r="N37" s="772"/>
      <c r="O37" s="555">
        <f>SUM(I37:N37)</f>
        <v>76550</v>
      </c>
      <c r="P37" s="551"/>
    </row>
    <row r="38" spans="1:16" ht="18" customHeight="1">
      <c r="A38" s="561">
        <v>29</v>
      </c>
      <c r="B38" s="455"/>
      <c r="C38" s="361"/>
      <c r="D38" s="987" t="s">
        <v>1035</v>
      </c>
      <c r="E38" s="330"/>
      <c r="F38" s="330"/>
      <c r="G38" s="331"/>
      <c r="H38" s="762"/>
      <c r="I38" s="760"/>
      <c r="J38" s="330"/>
      <c r="K38" s="1151">
        <v>140</v>
      </c>
      <c r="L38" s="330"/>
      <c r="M38" s="1151">
        <v>0</v>
      </c>
      <c r="N38" s="330"/>
      <c r="O38" s="1175">
        <f>SUM(I38:N38)</f>
        <v>140</v>
      </c>
      <c r="P38" s="551"/>
    </row>
    <row r="39" spans="1:16" ht="22.5" customHeight="1">
      <c r="A39" s="561">
        <v>30</v>
      </c>
      <c r="B39" s="455"/>
      <c r="C39" s="361">
        <v>8</v>
      </c>
      <c r="D39" s="955" t="s">
        <v>524</v>
      </c>
      <c r="E39" s="330"/>
      <c r="F39" s="330"/>
      <c r="G39" s="331"/>
      <c r="H39" s="762" t="s">
        <v>24</v>
      </c>
      <c r="I39" s="778"/>
      <c r="J39" s="772"/>
      <c r="K39" s="772"/>
      <c r="L39" s="772"/>
      <c r="M39" s="772"/>
      <c r="N39" s="772"/>
      <c r="O39" s="745"/>
      <c r="P39" s="551"/>
    </row>
    <row r="40" spans="1:16" ht="18" customHeight="1">
      <c r="A40" s="561">
        <v>31</v>
      </c>
      <c r="B40" s="455"/>
      <c r="C40" s="361"/>
      <c r="D40" s="755" t="s">
        <v>303</v>
      </c>
      <c r="E40" s="330">
        <f>F40+G40+O41+P40</f>
        <v>72672</v>
      </c>
      <c r="F40" s="330">
        <v>4926</v>
      </c>
      <c r="G40" s="331">
        <f>120+67252+329</f>
        <v>67701</v>
      </c>
      <c r="H40" s="762"/>
      <c r="I40" s="778"/>
      <c r="J40" s="772"/>
      <c r="K40" s="772">
        <v>45</v>
      </c>
      <c r="L40" s="772"/>
      <c r="M40" s="772"/>
      <c r="N40" s="772"/>
      <c r="O40" s="745">
        <f>SUM(I40:N40)</f>
        <v>45</v>
      </c>
      <c r="P40" s="551"/>
    </row>
    <row r="41" spans="1:16" ht="18" customHeight="1">
      <c r="A41" s="561">
        <v>32</v>
      </c>
      <c r="B41" s="455"/>
      <c r="C41" s="361"/>
      <c r="D41" s="436" t="s">
        <v>994</v>
      </c>
      <c r="E41" s="330"/>
      <c r="F41" s="330"/>
      <c r="G41" s="331"/>
      <c r="H41" s="762"/>
      <c r="I41" s="778"/>
      <c r="J41" s="772"/>
      <c r="K41" s="330">
        <v>0</v>
      </c>
      <c r="L41" s="330">
        <v>45</v>
      </c>
      <c r="M41" s="772"/>
      <c r="N41" s="772"/>
      <c r="O41" s="555">
        <f>SUM(I41:N41)</f>
        <v>45</v>
      </c>
      <c r="P41" s="551"/>
    </row>
    <row r="42" spans="1:16" ht="18" customHeight="1">
      <c r="A42" s="561">
        <v>33</v>
      </c>
      <c r="B42" s="455"/>
      <c r="C42" s="361"/>
      <c r="D42" s="987" t="s">
        <v>1035</v>
      </c>
      <c r="E42" s="330"/>
      <c r="F42" s="330"/>
      <c r="G42" s="331"/>
      <c r="H42" s="762"/>
      <c r="I42" s="760"/>
      <c r="J42" s="330"/>
      <c r="K42" s="1151">
        <v>0</v>
      </c>
      <c r="L42" s="1151">
        <v>45</v>
      </c>
      <c r="M42" s="330"/>
      <c r="N42" s="330"/>
      <c r="O42" s="1175">
        <f>SUM(I42:N42)</f>
        <v>45</v>
      </c>
      <c r="P42" s="551"/>
    </row>
    <row r="43" spans="1:256" s="546" customFormat="1" ht="54.75" customHeight="1">
      <c r="A43" s="561">
        <v>34</v>
      </c>
      <c r="B43" s="554"/>
      <c r="C43" s="322">
        <v>9</v>
      </c>
      <c r="D43" s="741" t="s">
        <v>561</v>
      </c>
      <c r="E43" s="330"/>
      <c r="F43" s="550"/>
      <c r="G43" s="331"/>
      <c r="H43" s="784" t="s">
        <v>24</v>
      </c>
      <c r="I43" s="777"/>
      <c r="J43" s="773"/>
      <c r="K43" s="773"/>
      <c r="L43" s="773"/>
      <c r="M43" s="773"/>
      <c r="N43" s="773"/>
      <c r="O43" s="745"/>
      <c r="P43" s="55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1"/>
      <c r="BN43" s="321"/>
      <c r="BO43" s="321"/>
      <c r="BP43" s="321"/>
      <c r="BQ43" s="321"/>
      <c r="BR43" s="321"/>
      <c r="BS43" s="321"/>
      <c r="BT43" s="321"/>
      <c r="BU43" s="321"/>
      <c r="BV43" s="321"/>
      <c r="BW43" s="321"/>
      <c r="BX43" s="321"/>
      <c r="BY43" s="321"/>
      <c r="BZ43" s="321"/>
      <c r="CA43" s="321"/>
      <c r="CB43" s="321"/>
      <c r="CC43" s="321"/>
      <c r="CD43" s="321"/>
      <c r="CE43" s="321"/>
      <c r="CF43" s="321"/>
      <c r="CG43" s="321"/>
      <c r="CH43" s="321"/>
      <c r="CI43" s="321"/>
      <c r="CJ43" s="321"/>
      <c r="CK43" s="321"/>
      <c r="CL43" s="321"/>
      <c r="CM43" s="321"/>
      <c r="CN43" s="321"/>
      <c r="CO43" s="321"/>
      <c r="CP43" s="321"/>
      <c r="CQ43" s="321"/>
      <c r="CR43" s="321"/>
      <c r="CS43" s="321"/>
      <c r="CT43" s="321"/>
      <c r="CU43" s="321"/>
      <c r="CV43" s="321"/>
      <c r="CW43" s="321"/>
      <c r="CX43" s="321"/>
      <c r="CY43" s="321"/>
      <c r="CZ43" s="321"/>
      <c r="DA43" s="321"/>
      <c r="DB43" s="321"/>
      <c r="DC43" s="321"/>
      <c r="DD43" s="321"/>
      <c r="DE43" s="321"/>
      <c r="DF43" s="321"/>
      <c r="DG43" s="321"/>
      <c r="DH43" s="321"/>
      <c r="DI43" s="321"/>
      <c r="DJ43" s="321"/>
      <c r="DK43" s="321"/>
      <c r="DL43" s="321"/>
      <c r="DM43" s="321"/>
      <c r="DN43" s="321"/>
      <c r="DO43" s="321"/>
      <c r="DP43" s="321"/>
      <c r="DQ43" s="321"/>
      <c r="DR43" s="321"/>
      <c r="DS43" s="321"/>
      <c r="DT43" s="321"/>
      <c r="DU43" s="321"/>
      <c r="DV43" s="321"/>
      <c r="DW43" s="321"/>
      <c r="DX43" s="321"/>
      <c r="DY43" s="321"/>
      <c r="DZ43" s="321"/>
      <c r="EA43" s="321"/>
      <c r="EB43" s="321"/>
      <c r="EC43" s="321"/>
      <c r="ED43" s="321"/>
      <c r="EE43" s="321"/>
      <c r="EF43" s="321"/>
      <c r="EG43" s="321"/>
      <c r="EH43" s="321"/>
      <c r="EI43" s="321"/>
      <c r="EJ43" s="321"/>
      <c r="EK43" s="321"/>
      <c r="EL43" s="321"/>
      <c r="EM43" s="321"/>
      <c r="EN43" s="321"/>
      <c r="EO43" s="321"/>
      <c r="EP43" s="321"/>
      <c r="EQ43" s="321"/>
      <c r="ER43" s="321"/>
      <c r="ES43" s="321"/>
      <c r="ET43" s="321"/>
      <c r="EU43" s="321"/>
      <c r="EV43" s="321"/>
      <c r="EW43" s="321"/>
      <c r="EX43" s="321"/>
      <c r="EY43" s="321"/>
      <c r="EZ43" s="321"/>
      <c r="FA43" s="321"/>
      <c r="FB43" s="321"/>
      <c r="FC43" s="321"/>
      <c r="FD43" s="321"/>
      <c r="FE43" s="321"/>
      <c r="FF43" s="321"/>
      <c r="FG43" s="321"/>
      <c r="FH43" s="321"/>
      <c r="FI43" s="321"/>
      <c r="FJ43" s="321"/>
      <c r="FK43" s="321"/>
      <c r="FL43" s="321"/>
      <c r="FM43" s="321"/>
      <c r="FN43" s="321"/>
      <c r="FO43" s="321"/>
      <c r="FP43" s="321"/>
      <c r="FQ43" s="321"/>
      <c r="FR43" s="321"/>
      <c r="FS43" s="321"/>
      <c r="FT43" s="321"/>
      <c r="FU43" s="321"/>
      <c r="FV43" s="321"/>
      <c r="FW43" s="321"/>
      <c r="FX43" s="321"/>
      <c r="FY43" s="321"/>
      <c r="FZ43" s="321"/>
      <c r="GA43" s="321"/>
      <c r="GB43" s="321"/>
      <c r="GC43" s="321"/>
      <c r="GD43" s="321"/>
      <c r="GE43" s="321"/>
      <c r="GF43" s="321"/>
      <c r="GG43" s="321"/>
      <c r="GH43" s="321"/>
      <c r="GI43" s="321"/>
      <c r="GJ43" s="321"/>
      <c r="GK43" s="321"/>
      <c r="GL43" s="321"/>
      <c r="GM43" s="321"/>
      <c r="GN43" s="321"/>
      <c r="GO43" s="321"/>
      <c r="GP43" s="321"/>
      <c r="GQ43" s="321"/>
      <c r="GR43" s="321"/>
      <c r="GS43" s="321"/>
      <c r="GT43" s="321"/>
      <c r="GU43" s="321"/>
      <c r="GV43" s="321"/>
      <c r="GW43" s="321"/>
      <c r="GX43" s="321"/>
      <c r="GY43" s="321"/>
      <c r="GZ43" s="321"/>
      <c r="HA43" s="321"/>
      <c r="HB43" s="321"/>
      <c r="HC43" s="321"/>
      <c r="HD43" s="321"/>
      <c r="HE43" s="321"/>
      <c r="HF43" s="321"/>
      <c r="HG43" s="321"/>
      <c r="HH43" s="321"/>
      <c r="HI43" s="321"/>
      <c r="HJ43" s="321"/>
      <c r="HK43" s="321"/>
      <c r="HL43" s="321"/>
      <c r="HM43" s="321"/>
      <c r="HN43" s="321"/>
      <c r="HO43" s="321"/>
      <c r="HP43" s="321"/>
      <c r="HQ43" s="321"/>
      <c r="HR43" s="321"/>
      <c r="HS43" s="321"/>
      <c r="HT43" s="321"/>
      <c r="HU43" s="321"/>
      <c r="HV43" s="321"/>
      <c r="HW43" s="321"/>
      <c r="HX43" s="321"/>
      <c r="HY43" s="321"/>
      <c r="HZ43" s="321"/>
      <c r="IA43" s="321"/>
      <c r="IB43" s="321"/>
      <c r="IC43" s="321"/>
      <c r="ID43" s="321"/>
      <c r="IE43" s="321"/>
      <c r="IF43" s="321"/>
      <c r="IG43" s="321"/>
      <c r="IH43" s="321"/>
      <c r="II43" s="321"/>
      <c r="IJ43" s="321"/>
      <c r="IK43" s="321"/>
      <c r="IL43" s="321"/>
      <c r="IM43" s="321"/>
      <c r="IN43" s="321"/>
      <c r="IO43" s="321"/>
      <c r="IP43" s="321"/>
      <c r="IQ43" s="321"/>
      <c r="IR43" s="321"/>
      <c r="IS43" s="321"/>
      <c r="IT43" s="321"/>
      <c r="IU43" s="321"/>
      <c r="IV43" s="321"/>
    </row>
    <row r="44" spans="1:16" ht="18" customHeight="1">
      <c r="A44" s="561">
        <v>35</v>
      </c>
      <c r="B44" s="455"/>
      <c r="C44" s="361"/>
      <c r="D44" s="755" t="s">
        <v>303</v>
      </c>
      <c r="E44" s="330">
        <f>F44+G44+O45+P44</f>
        <v>91960</v>
      </c>
      <c r="F44" s="550">
        <v>4834</v>
      </c>
      <c r="G44" s="331">
        <v>40</v>
      </c>
      <c r="H44" s="762"/>
      <c r="I44" s="777"/>
      <c r="J44" s="773"/>
      <c r="K44" s="773">
        <v>395</v>
      </c>
      <c r="L44" s="773"/>
      <c r="M44" s="773">
        <f>760+194617</f>
        <v>195377</v>
      </c>
      <c r="N44" s="773"/>
      <c r="O44" s="745">
        <f>SUM(I44:N44)</f>
        <v>195772</v>
      </c>
      <c r="P44" s="551"/>
    </row>
    <row r="45" spans="1:16" ht="18" customHeight="1">
      <c r="A45" s="561">
        <v>36</v>
      </c>
      <c r="B45" s="455"/>
      <c r="C45" s="361"/>
      <c r="D45" s="436" t="s">
        <v>994</v>
      </c>
      <c r="E45" s="330"/>
      <c r="F45" s="550"/>
      <c r="G45" s="331"/>
      <c r="H45" s="762"/>
      <c r="I45" s="777"/>
      <c r="J45" s="773"/>
      <c r="K45" s="547">
        <v>0</v>
      </c>
      <c r="L45" s="547">
        <v>435</v>
      </c>
      <c r="M45" s="547">
        <v>0</v>
      </c>
      <c r="N45" s="547">
        <v>86651</v>
      </c>
      <c r="O45" s="555">
        <f>SUM(I45:N45)</f>
        <v>87086</v>
      </c>
      <c r="P45" s="551"/>
    </row>
    <row r="46" spans="1:16" ht="18" customHeight="1">
      <c r="A46" s="561">
        <v>37</v>
      </c>
      <c r="B46" s="455"/>
      <c r="C46" s="361"/>
      <c r="D46" s="987" t="s">
        <v>1035</v>
      </c>
      <c r="E46" s="330"/>
      <c r="F46" s="550"/>
      <c r="G46" s="331"/>
      <c r="H46" s="762"/>
      <c r="I46" s="758"/>
      <c r="J46" s="547"/>
      <c r="K46" s="1266">
        <v>0</v>
      </c>
      <c r="L46" s="1266">
        <v>435</v>
      </c>
      <c r="M46" s="1266">
        <v>0</v>
      </c>
      <c r="N46" s="1266">
        <v>86651</v>
      </c>
      <c r="O46" s="1175">
        <f>SUM(I46:N46)</f>
        <v>87086</v>
      </c>
      <c r="P46" s="551"/>
    </row>
    <row r="47" spans="1:256" s="546" customFormat="1" ht="33">
      <c r="A47" s="561">
        <v>38</v>
      </c>
      <c r="B47" s="554"/>
      <c r="C47" s="322">
        <v>10</v>
      </c>
      <c r="D47" s="324" t="s">
        <v>604</v>
      </c>
      <c r="E47" s="330"/>
      <c r="F47" s="550"/>
      <c r="G47" s="331"/>
      <c r="H47" s="784" t="s">
        <v>24</v>
      </c>
      <c r="I47" s="777"/>
      <c r="J47" s="773"/>
      <c r="K47" s="773"/>
      <c r="L47" s="773"/>
      <c r="M47" s="773"/>
      <c r="N47" s="773"/>
      <c r="O47" s="745"/>
      <c r="P47" s="55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c r="AU47" s="321"/>
      <c r="AV47" s="321"/>
      <c r="AW47" s="321"/>
      <c r="AX47" s="321"/>
      <c r="AY47" s="321"/>
      <c r="AZ47" s="321"/>
      <c r="BA47" s="321"/>
      <c r="BB47" s="321"/>
      <c r="BC47" s="321"/>
      <c r="BD47" s="321"/>
      <c r="BE47" s="321"/>
      <c r="BF47" s="321"/>
      <c r="BG47" s="321"/>
      <c r="BH47" s="321"/>
      <c r="BI47" s="321"/>
      <c r="BJ47" s="321"/>
      <c r="BK47" s="321"/>
      <c r="BL47" s="321"/>
      <c r="BM47" s="321"/>
      <c r="BN47" s="321"/>
      <c r="BO47" s="321"/>
      <c r="BP47" s="321"/>
      <c r="BQ47" s="321"/>
      <c r="BR47" s="321"/>
      <c r="BS47" s="321"/>
      <c r="BT47" s="321"/>
      <c r="BU47" s="321"/>
      <c r="BV47" s="321"/>
      <c r="BW47" s="321"/>
      <c r="BX47" s="321"/>
      <c r="BY47" s="321"/>
      <c r="BZ47" s="321"/>
      <c r="CA47" s="321"/>
      <c r="CB47" s="321"/>
      <c r="CC47" s="321"/>
      <c r="CD47" s="321"/>
      <c r="CE47" s="321"/>
      <c r="CF47" s="321"/>
      <c r="CG47" s="321"/>
      <c r="CH47" s="321"/>
      <c r="CI47" s="321"/>
      <c r="CJ47" s="321"/>
      <c r="CK47" s="321"/>
      <c r="CL47" s="321"/>
      <c r="CM47" s="321"/>
      <c r="CN47" s="321"/>
      <c r="CO47" s="321"/>
      <c r="CP47" s="321"/>
      <c r="CQ47" s="321"/>
      <c r="CR47" s="321"/>
      <c r="CS47" s="321"/>
      <c r="CT47" s="321"/>
      <c r="CU47" s="321"/>
      <c r="CV47" s="321"/>
      <c r="CW47" s="321"/>
      <c r="CX47" s="321"/>
      <c r="CY47" s="321"/>
      <c r="CZ47" s="321"/>
      <c r="DA47" s="321"/>
      <c r="DB47" s="321"/>
      <c r="DC47" s="321"/>
      <c r="DD47" s="321"/>
      <c r="DE47" s="321"/>
      <c r="DF47" s="321"/>
      <c r="DG47" s="321"/>
      <c r="DH47" s="321"/>
      <c r="DI47" s="321"/>
      <c r="DJ47" s="321"/>
      <c r="DK47" s="321"/>
      <c r="DL47" s="321"/>
      <c r="DM47" s="321"/>
      <c r="DN47" s="321"/>
      <c r="DO47" s="321"/>
      <c r="DP47" s="321"/>
      <c r="DQ47" s="321"/>
      <c r="DR47" s="321"/>
      <c r="DS47" s="321"/>
      <c r="DT47" s="321"/>
      <c r="DU47" s="321"/>
      <c r="DV47" s="321"/>
      <c r="DW47" s="321"/>
      <c r="DX47" s="321"/>
      <c r="DY47" s="321"/>
      <c r="DZ47" s="321"/>
      <c r="EA47" s="321"/>
      <c r="EB47" s="321"/>
      <c r="EC47" s="321"/>
      <c r="ED47" s="321"/>
      <c r="EE47" s="321"/>
      <c r="EF47" s="321"/>
      <c r="EG47" s="321"/>
      <c r="EH47" s="321"/>
      <c r="EI47" s="321"/>
      <c r="EJ47" s="321"/>
      <c r="EK47" s="321"/>
      <c r="EL47" s="321"/>
      <c r="EM47" s="321"/>
      <c r="EN47" s="321"/>
      <c r="EO47" s="321"/>
      <c r="EP47" s="321"/>
      <c r="EQ47" s="321"/>
      <c r="ER47" s="321"/>
      <c r="ES47" s="321"/>
      <c r="ET47" s="321"/>
      <c r="EU47" s="321"/>
      <c r="EV47" s="321"/>
      <c r="EW47" s="321"/>
      <c r="EX47" s="321"/>
      <c r="EY47" s="321"/>
      <c r="EZ47" s="321"/>
      <c r="FA47" s="321"/>
      <c r="FB47" s="321"/>
      <c r="FC47" s="321"/>
      <c r="FD47" s="321"/>
      <c r="FE47" s="321"/>
      <c r="FF47" s="321"/>
      <c r="FG47" s="321"/>
      <c r="FH47" s="321"/>
      <c r="FI47" s="321"/>
      <c r="FJ47" s="321"/>
      <c r="FK47" s="321"/>
      <c r="FL47" s="321"/>
      <c r="FM47" s="321"/>
      <c r="FN47" s="321"/>
      <c r="FO47" s="321"/>
      <c r="FP47" s="321"/>
      <c r="FQ47" s="321"/>
      <c r="FR47" s="321"/>
      <c r="FS47" s="321"/>
      <c r="FT47" s="321"/>
      <c r="FU47" s="321"/>
      <c r="FV47" s="321"/>
      <c r="FW47" s="321"/>
      <c r="FX47" s="321"/>
      <c r="FY47" s="321"/>
      <c r="FZ47" s="321"/>
      <c r="GA47" s="321"/>
      <c r="GB47" s="321"/>
      <c r="GC47" s="321"/>
      <c r="GD47" s="321"/>
      <c r="GE47" s="321"/>
      <c r="GF47" s="321"/>
      <c r="GG47" s="321"/>
      <c r="GH47" s="321"/>
      <c r="GI47" s="321"/>
      <c r="GJ47" s="321"/>
      <c r="GK47" s="321"/>
      <c r="GL47" s="321"/>
      <c r="GM47" s="321"/>
      <c r="GN47" s="321"/>
      <c r="GO47" s="321"/>
      <c r="GP47" s="321"/>
      <c r="GQ47" s="321"/>
      <c r="GR47" s="321"/>
      <c r="GS47" s="321"/>
      <c r="GT47" s="321"/>
      <c r="GU47" s="321"/>
      <c r="GV47" s="321"/>
      <c r="GW47" s="321"/>
      <c r="GX47" s="321"/>
      <c r="GY47" s="321"/>
      <c r="GZ47" s="321"/>
      <c r="HA47" s="321"/>
      <c r="HB47" s="321"/>
      <c r="HC47" s="321"/>
      <c r="HD47" s="321"/>
      <c r="HE47" s="321"/>
      <c r="HF47" s="321"/>
      <c r="HG47" s="321"/>
      <c r="HH47" s="321"/>
      <c r="HI47" s="321"/>
      <c r="HJ47" s="321"/>
      <c r="HK47" s="321"/>
      <c r="HL47" s="321"/>
      <c r="HM47" s="321"/>
      <c r="HN47" s="321"/>
      <c r="HO47" s="321"/>
      <c r="HP47" s="321"/>
      <c r="HQ47" s="321"/>
      <c r="HR47" s="321"/>
      <c r="HS47" s="321"/>
      <c r="HT47" s="321"/>
      <c r="HU47" s="321"/>
      <c r="HV47" s="321"/>
      <c r="HW47" s="321"/>
      <c r="HX47" s="321"/>
      <c r="HY47" s="321"/>
      <c r="HZ47" s="321"/>
      <c r="IA47" s="321"/>
      <c r="IB47" s="321"/>
      <c r="IC47" s="321"/>
      <c r="ID47" s="321"/>
      <c r="IE47" s="321"/>
      <c r="IF47" s="321"/>
      <c r="IG47" s="321"/>
      <c r="IH47" s="321"/>
      <c r="II47" s="321"/>
      <c r="IJ47" s="321"/>
      <c r="IK47" s="321"/>
      <c r="IL47" s="321"/>
      <c r="IM47" s="321"/>
      <c r="IN47" s="321"/>
      <c r="IO47" s="321"/>
      <c r="IP47" s="321"/>
      <c r="IQ47" s="321"/>
      <c r="IR47" s="321"/>
      <c r="IS47" s="321"/>
      <c r="IT47" s="321"/>
      <c r="IU47" s="321"/>
      <c r="IV47" s="321"/>
    </row>
    <row r="48" spans="1:16" ht="18" customHeight="1">
      <c r="A48" s="561">
        <v>39</v>
      </c>
      <c r="B48" s="455"/>
      <c r="C48" s="361"/>
      <c r="D48" s="755" t="s">
        <v>303</v>
      </c>
      <c r="E48" s="330">
        <f>F48+G48+O49+P48</f>
        <v>334981</v>
      </c>
      <c r="F48" s="550">
        <v>6401</v>
      </c>
      <c r="G48" s="331">
        <v>100</v>
      </c>
      <c r="H48" s="762"/>
      <c r="I48" s="777"/>
      <c r="J48" s="773"/>
      <c r="K48" s="773">
        <v>278</v>
      </c>
      <c r="L48" s="773"/>
      <c r="M48" s="773">
        <f>29875+298327</f>
        <v>328202</v>
      </c>
      <c r="N48" s="773"/>
      <c r="O48" s="745">
        <f>SUM(I48:N48)</f>
        <v>328480</v>
      </c>
      <c r="P48" s="551"/>
    </row>
    <row r="49" spans="1:16" ht="18" customHeight="1">
      <c r="A49" s="561">
        <v>40</v>
      </c>
      <c r="B49" s="455"/>
      <c r="C49" s="361"/>
      <c r="D49" s="436" t="s">
        <v>994</v>
      </c>
      <c r="E49" s="330"/>
      <c r="F49" s="550"/>
      <c r="G49" s="331"/>
      <c r="H49" s="762"/>
      <c r="I49" s="777"/>
      <c r="J49" s="773"/>
      <c r="K49" s="547">
        <v>278</v>
      </c>
      <c r="L49" s="547"/>
      <c r="M49" s="547">
        <v>328202</v>
      </c>
      <c r="N49" s="773"/>
      <c r="O49" s="555">
        <f>SUM(I49:N49)</f>
        <v>328480</v>
      </c>
      <c r="P49" s="551"/>
    </row>
    <row r="50" spans="1:16" ht="18" customHeight="1">
      <c r="A50" s="561">
        <v>41</v>
      </c>
      <c r="B50" s="455"/>
      <c r="C50" s="361"/>
      <c r="D50" s="987" t="s">
        <v>1036</v>
      </c>
      <c r="E50" s="330"/>
      <c r="F50" s="550"/>
      <c r="G50" s="331"/>
      <c r="H50" s="762"/>
      <c r="I50" s="758"/>
      <c r="J50" s="547"/>
      <c r="K50" s="1266">
        <v>128</v>
      </c>
      <c r="L50" s="1266"/>
      <c r="M50" s="1266">
        <v>0</v>
      </c>
      <c r="N50" s="547"/>
      <c r="O50" s="1175">
        <f>SUM(I50:N50)</f>
        <v>128</v>
      </c>
      <c r="P50" s="551"/>
    </row>
    <row r="51" spans="1:16" ht="33">
      <c r="A51" s="561">
        <v>42</v>
      </c>
      <c r="B51" s="455"/>
      <c r="C51" s="322">
        <v>11</v>
      </c>
      <c r="D51" s="324" t="s">
        <v>607</v>
      </c>
      <c r="E51" s="330"/>
      <c r="F51" s="550"/>
      <c r="G51" s="331"/>
      <c r="H51" s="762" t="s">
        <v>24</v>
      </c>
      <c r="I51" s="777"/>
      <c r="J51" s="773"/>
      <c r="K51" s="773"/>
      <c r="L51" s="773"/>
      <c r="M51" s="773"/>
      <c r="N51" s="773"/>
      <c r="O51" s="745"/>
      <c r="P51" s="551"/>
    </row>
    <row r="52" spans="1:256" s="546" customFormat="1" ht="18" customHeight="1">
      <c r="A52" s="561">
        <v>43</v>
      </c>
      <c r="B52" s="554"/>
      <c r="C52" s="322"/>
      <c r="D52" s="755" t="s">
        <v>303</v>
      </c>
      <c r="E52" s="330">
        <f>F52+G52+O53+P52</f>
        <v>3597000</v>
      </c>
      <c r="F52" s="550">
        <v>450951</v>
      </c>
      <c r="G52" s="331">
        <f>1230725+544</f>
        <v>1231269</v>
      </c>
      <c r="H52" s="762"/>
      <c r="I52" s="777"/>
      <c r="J52" s="773"/>
      <c r="K52" s="773">
        <v>1422</v>
      </c>
      <c r="L52" s="773"/>
      <c r="M52" s="773">
        <f>294000+1619358</f>
        <v>1913358</v>
      </c>
      <c r="N52" s="773"/>
      <c r="O52" s="745">
        <f>SUM(I52:N52)</f>
        <v>1914780</v>
      </c>
      <c r="P52" s="55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c r="AU52" s="321"/>
      <c r="AV52" s="321"/>
      <c r="AW52" s="321"/>
      <c r="AX52" s="321"/>
      <c r="AY52" s="321"/>
      <c r="AZ52" s="321"/>
      <c r="BA52" s="321"/>
      <c r="BB52" s="321"/>
      <c r="BC52" s="321"/>
      <c r="BD52" s="321"/>
      <c r="BE52" s="321"/>
      <c r="BF52" s="321"/>
      <c r="BG52" s="321"/>
      <c r="BH52" s="321"/>
      <c r="BI52" s="321"/>
      <c r="BJ52" s="321"/>
      <c r="BK52" s="321"/>
      <c r="BL52" s="321"/>
      <c r="BM52" s="321"/>
      <c r="BN52" s="321"/>
      <c r="BO52" s="321"/>
      <c r="BP52" s="321"/>
      <c r="BQ52" s="321"/>
      <c r="BR52" s="321"/>
      <c r="BS52" s="321"/>
      <c r="BT52" s="321"/>
      <c r="BU52" s="321"/>
      <c r="BV52" s="321"/>
      <c r="BW52" s="321"/>
      <c r="BX52" s="321"/>
      <c r="BY52" s="321"/>
      <c r="BZ52" s="321"/>
      <c r="CA52" s="321"/>
      <c r="CB52" s="321"/>
      <c r="CC52" s="321"/>
      <c r="CD52" s="321"/>
      <c r="CE52" s="321"/>
      <c r="CF52" s="321"/>
      <c r="CG52" s="321"/>
      <c r="CH52" s="321"/>
      <c r="CI52" s="321"/>
      <c r="CJ52" s="321"/>
      <c r="CK52" s="321"/>
      <c r="CL52" s="321"/>
      <c r="CM52" s="321"/>
      <c r="CN52" s="321"/>
      <c r="CO52" s="321"/>
      <c r="CP52" s="321"/>
      <c r="CQ52" s="321"/>
      <c r="CR52" s="321"/>
      <c r="CS52" s="321"/>
      <c r="CT52" s="321"/>
      <c r="CU52" s="321"/>
      <c r="CV52" s="321"/>
      <c r="CW52" s="321"/>
      <c r="CX52" s="321"/>
      <c r="CY52" s="321"/>
      <c r="CZ52" s="321"/>
      <c r="DA52" s="321"/>
      <c r="DB52" s="321"/>
      <c r="DC52" s="321"/>
      <c r="DD52" s="321"/>
      <c r="DE52" s="321"/>
      <c r="DF52" s="321"/>
      <c r="DG52" s="321"/>
      <c r="DH52" s="321"/>
      <c r="DI52" s="321"/>
      <c r="DJ52" s="321"/>
      <c r="DK52" s="321"/>
      <c r="DL52" s="321"/>
      <c r="DM52" s="321"/>
      <c r="DN52" s="321"/>
      <c r="DO52" s="321"/>
      <c r="DP52" s="321"/>
      <c r="DQ52" s="321"/>
      <c r="DR52" s="321"/>
      <c r="DS52" s="321"/>
      <c r="DT52" s="321"/>
      <c r="DU52" s="321"/>
      <c r="DV52" s="321"/>
      <c r="DW52" s="321"/>
      <c r="DX52" s="321"/>
      <c r="DY52" s="321"/>
      <c r="DZ52" s="321"/>
      <c r="EA52" s="321"/>
      <c r="EB52" s="321"/>
      <c r="EC52" s="321"/>
      <c r="ED52" s="321"/>
      <c r="EE52" s="321"/>
      <c r="EF52" s="321"/>
      <c r="EG52" s="321"/>
      <c r="EH52" s="321"/>
      <c r="EI52" s="321"/>
      <c r="EJ52" s="321"/>
      <c r="EK52" s="321"/>
      <c r="EL52" s="321"/>
      <c r="EM52" s="321"/>
      <c r="EN52" s="321"/>
      <c r="EO52" s="321"/>
      <c r="EP52" s="321"/>
      <c r="EQ52" s="321"/>
      <c r="ER52" s="321"/>
      <c r="ES52" s="321"/>
      <c r="ET52" s="321"/>
      <c r="EU52" s="321"/>
      <c r="EV52" s="321"/>
      <c r="EW52" s="321"/>
      <c r="EX52" s="321"/>
      <c r="EY52" s="321"/>
      <c r="EZ52" s="321"/>
      <c r="FA52" s="321"/>
      <c r="FB52" s="321"/>
      <c r="FC52" s="321"/>
      <c r="FD52" s="321"/>
      <c r="FE52" s="321"/>
      <c r="FF52" s="321"/>
      <c r="FG52" s="321"/>
      <c r="FH52" s="321"/>
      <c r="FI52" s="321"/>
      <c r="FJ52" s="321"/>
      <c r="FK52" s="321"/>
      <c r="FL52" s="321"/>
      <c r="FM52" s="321"/>
      <c r="FN52" s="321"/>
      <c r="FO52" s="321"/>
      <c r="FP52" s="321"/>
      <c r="FQ52" s="321"/>
      <c r="FR52" s="321"/>
      <c r="FS52" s="321"/>
      <c r="FT52" s="321"/>
      <c r="FU52" s="321"/>
      <c r="FV52" s="321"/>
      <c r="FW52" s="321"/>
      <c r="FX52" s="321"/>
      <c r="FY52" s="321"/>
      <c r="FZ52" s="321"/>
      <c r="GA52" s="321"/>
      <c r="GB52" s="321"/>
      <c r="GC52" s="321"/>
      <c r="GD52" s="321"/>
      <c r="GE52" s="321"/>
      <c r="GF52" s="321"/>
      <c r="GG52" s="321"/>
      <c r="GH52" s="321"/>
      <c r="GI52" s="321"/>
      <c r="GJ52" s="321"/>
      <c r="GK52" s="321"/>
      <c r="GL52" s="321"/>
      <c r="GM52" s="321"/>
      <c r="GN52" s="321"/>
      <c r="GO52" s="321"/>
      <c r="GP52" s="321"/>
      <c r="GQ52" s="321"/>
      <c r="GR52" s="321"/>
      <c r="GS52" s="321"/>
      <c r="GT52" s="321"/>
      <c r="GU52" s="321"/>
      <c r="GV52" s="321"/>
      <c r="GW52" s="321"/>
      <c r="GX52" s="321"/>
      <c r="GY52" s="321"/>
      <c r="GZ52" s="321"/>
      <c r="HA52" s="321"/>
      <c r="HB52" s="321"/>
      <c r="HC52" s="321"/>
      <c r="HD52" s="321"/>
      <c r="HE52" s="321"/>
      <c r="HF52" s="321"/>
      <c r="HG52" s="321"/>
      <c r="HH52" s="321"/>
      <c r="HI52" s="321"/>
      <c r="HJ52" s="321"/>
      <c r="HK52" s="321"/>
      <c r="HL52" s="321"/>
      <c r="HM52" s="321"/>
      <c r="HN52" s="321"/>
      <c r="HO52" s="321"/>
      <c r="HP52" s="321"/>
      <c r="HQ52" s="321"/>
      <c r="HR52" s="321"/>
      <c r="HS52" s="321"/>
      <c r="HT52" s="321"/>
      <c r="HU52" s="321"/>
      <c r="HV52" s="321"/>
      <c r="HW52" s="321"/>
      <c r="HX52" s="321"/>
      <c r="HY52" s="321"/>
      <c r="HZ52" s="321"/>
      <c r="IA52" s="321"/>
      <c r="IB52" s="321"/>
      <c r="IC52" s="321"/>
      <c r="ID52" s="321"/>
      <c r="IE52" s="321"/>
      <c r="IF52" s="321"/>
      <c r="IG52" s="321"/>
      <c r="IH52" s="321"/>
      <c r="II52" s="321"/>
      <c r="IJ52" s="321"/>
      <c r="IK52" s="321"/>
      <c r="IL52" s="321"/>
      <c r="IM52" s="321"/>
      <c r="IN52" s="321"/>
      <c r="IO52" s="321"/>
      <c r="IP52" s="321"/>
      <c r="IQ52" s="321"/>
      <c r="IR52" s="321"/>
      <c r="IS52" s="321"/>
      <c r="IT52" s="321"/>
      <c r="IU52" s="321"/>
      <c r="IV52" s="321"/>
    </row>
    <row r="53" spans="1:256" s="546" customFormat="1" ht="18" customHeight="1">
      <c r="A53" s="561">
        <v>44</v>
      </c>
      <c r="B53" s="554"/>
      <c r="C53" s="322"/>
      <c r="D53" s="436" t="s">
        <v>994</v>
      </c>
      <c r="E53" s="330"/>
      <c r="F53" s="550"/>
      <c r="G53" s="331"/>
      <c r="H53" s="762"/>
      <c r="I53" s="777"/>
      <c r="J53" s="773"/>
      <c r="K53" s="547">
        <v>1422</v>
      </c>
      <c r="L53" s="547"/>
      <c r="M53" s="547">
        <v>1913358</v>
      </c>
      <c r="N53" s="773"/>
      <c r="O53" s="555">
        <f>SUM(I53:N53)</f>
        <v>1914780</v>
      </c>
      <c r="P53" s="55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c r="AN53" s="321"/>
      <c r="AO53" s="321"/>
      <c r="AP53" s="321"/>
      <c r="AQ53" s="321"/>
      <c r="AR53" s="321"/>
      <c r="AS53" s="321"/>
      <c r="AT53" s="321"/>
      <c r="AU53" s="321"/>
      <c r="AV53" s="321"/>
      <c r="AW53" s="321"/>
      <c r="AX53" s="321"/>
      <c r="AY53" s="321"/>
      <c r="AZ53" s="321"/>
      <c r="BA53" s="321"/>
      <c r="BB53" s="321"/>
      <c r="BC53" s="321"/>
      <c r="BD53" s="321"/>
      <c r="BE53" s="321"/>
      <c r="BF53" s="321"/>
      <c r="BG53" s="321"/>
      <c r="BH53" s="321"/>
      <c r="BI53" s="321"/>
      <c r="BJ53" s="321"/>
      <c r="BK53" s="321"/>
      <c r="BL53" s="321"/>
      <c r="BM53" s="321"/>
      <c r="BN53" s="321"/>
      <c r="BO53" s="321"/>
      <c r="BP53" s="321"/>
      <c r="BQ53" s="321"/>
      <c r="BR53" s="321"/>
      <c r="BS53" s="321"/>
      <c r="BT53" s="321"/>
      <c r="BU53" s="321"/>
      <c r="BV53" s="321"/>
      <c r="BW53" s="321"/>
      <c r="BX53" s="321"/>
      <c r="BY53" s="321"/>
      <c r="BZ53" s="321"/>
      <c r="CA53" s="321"/>
      <c r="CB53" s="321"/>
      <c r="CC53" s="321"/>
      <c r="CD53" s="321"/>
      <c r="CE53" s="321"/>
      <c r="CF53" s="321"/>
      <c r="CG53" s="321"/>
      <c r="CH53" s="321"/>
      <c r="CI53" s="321"/>
      <c r="CJ53" s="321"/>
      <c r="CK53" s="321"/>
      <c r="CL53" s="321"/>
      <c r="CM53" s="321"/>
      <c r="CN53" s="321"/>
      <c r="CO53" s="321"/>
      <c r="CP53" s="321"/>
      <c r="CQ53" s="321"/>
      <c r="CR53" s="321"/>
      <c r="CS53" s="321"/>
      <c r="CT53" s="321"/>
      <c r="CU53" s="321"/>
      <c r="CV53" s="321"/>
      <c r="CW53" s="321"/>
      <c r="CX53" s="321"/>
      <c r="CY53" s="321"/>
      <c r="CZ53" s="321"/>
      <c r="DA53" s="321"/>
      <c r="DB53" s="321"/>
      <c r="DC53" s="321"/>
      <c r="DD53" s="321"/>
      <c r="DE53" s="321"/>
      <c r="DF53" s="321"/>
      <c r="DG53" s="321"/>
      <c r="DH53" s="321"/>
      <c r="DI53" s="321"/>
      <c r="DJ53" s="321"/>
      <c r="DK53" s="321"/>
      <c r="DL53" s="321"/>
      <c r="DM53" s="321"/>
      <c r="DN53" s="321"/>
      <c r="DO53" s="321"/>
      <c r="DP53" s="321"/>
      <c r="DQ53" s="321"/>
      <c r="DR53" s="321"/>
      <c r="DS53" s="321"/>
      <c r="DT53" s="321"/>
      <c r="DU53" s="321"/>
      <c r="DV53" s="321"/>
      <c r="DW53" s="321"/>
      <c r="DX53" s="321"/>
      <c r="DY53" s="321"/>
      <c r="DZ53" s="321"/>
      <c r="EA53" s="321"/>
      <c r="EB53" s="321"/>
      <c r="EC53" s="321"/>
      <c r="ED53" s="321"/>
      <c r="EE53" s="321"/>
      <c r="EF53" s="321"/>
      <c r="EG53" s="321"/>
      <c r="EH53" s="321"/>
      <c r="EI53" s="321"/>
      <c r="EJ53" s="321"/>
      <c r="EK53" s="321"/>
      <c r="EL53" s="321"/>
      <c r="EM53" s="321"/>
      <c r="EN53" s="321"/>
      <c r="EO53" s="321"/>
      <c r="EP53" s="321"/>
      <c r="EQ53" s="321"/>
      <c r="ER53" s="321"/>
      <c r="ES53" s="321"/>
      <c r="ET53" s="321"/>
      <c r="EU53" s="321"/>
      <c r="EV53" s="321"/>
      <c r="EW53" s="321"/>
      <c r="EX53" s="321"/>
      <c r="EY53" s="321"/>
      <c r="EZ53" s="321"/>
      <c r="FA53" s="321"/>
      <c r="FB53" s="321"/>
      <c r="FC53" s="321"/>
      <c r="FD53" s="321"/>
      <c r="FE53" s="321"/>
      <c r="FF53" s="321"/>
      <c r="FG53" s="321"/>
      <c r="FH53" s="321"/>
      <c r="FI53" s="321"/>
      <c r="FJ53" s="321"/>
      <c r="FK53" s="321"/>
      <c r="FL53" s="321"/>
      <c r="FM53" s="321"/>
      <c r="FN53" s="321"/>
      <c r="FO53" s="321"/>
      <c r="FP53" s="321"/>
      <c r="FQ53" s="321"/>
      <c r="FR53" s="321"/>
      <c r="FS53" s="321"/>
      <c r="FT53" s="321"/>
      <c r="FU53" s="321"/>
      <c r="FV53" s="321"/>
      <c r="FW53" s="321"/>
      <c r="FX53" s="321"/>
      <c r="FY53" s="321"/>
      <c r="FZ53" s="321"/>
      <c r="GA53" s="321"/>
      <c r="GB53" s="321"/>
      <c r="GC53" s="321"/>
      <c r="GD53" s="321"/>
      <c r="GE53" s="321"/>
      <c r="GF53" s="321"/>
      <c r="GG53" s="321"/>
      <c r="GH53" s="321"/>
      <c r="GI53" s="321"/>
      <c r="GJ53" s="321"/>
      <c r="GK53" s="321"/>
      <c r="GL53" s="321"/>
      <c r="GM53" s="321"/>
      <c r="GN53" s="321"/>
      <c r="GO53" s="321"/>
      <c r="GP53" s="321"/>
      <c r="GQ53" s="321"/>
      <c r="GR53" s="321"/>
      <c r="GS53" s="321"/>
      <c r="GT53" s="321"/>
      <c r="GU53" s="321"/>
      <c r="GV53" s="321"/>
      <c r="GW53" s="321"/>
      <c r="GX53" s="321"/>
      <c r="GY53" s="321"/>
      <c r="GZ53" s="321"/>
      <c r="HA53" s="321"/>
      <c r="HB53" s="321"/>
      <c r="HC53" s="321"/>
      <c r="HD53" s="321"/>
      <c r="HE53" s="321"/>
      <c r="HF53" s="321"/>
      <c r="HG53" s="321"/>
      <c r="HH53" s="321"/>
      <c r="HI53" s="321"/>
      <c r="HJ53" s="321"/>
      <c r="HK53" s="321"/>
      <c r="HL53" s="321"/>
      <c r="HM53" s="321"/>
      <c r="HN53" s="321"/>
      <c r="HO53" s="321"/>
      <c r="HP53" s="321"/>
      <c r="HQ53" s="321"/>
      <c r="HR53" s="321"/>
      <c r="HS53" s="321"/>
      <c r="HT53" s="321"/>
      <c r="HU53" s="321"/>
      <c r="HV53" s="321"/>
      <c r="HW53" s="321"/>
      <c r="HX53" s="321"/>
      <c r="HY53" s="321"/>
      <c r="HZ53" s="321"/>
      <c r="IA53" s="321"/>
      <c r="IB53" s="321"/>
      <c r="IC53" s="321"/>
      <c r="ID53" s="321"/>
      <c r="IE53" s="321"/>
      <c r="IF53" s="321"/>
      <c r="IG53" s="321"/>
      <c r="IH53" s="321"/>
      <c r="II53" s="321"/>
      <c r="IJ53" s="321"/>
      <c r="IK53" s="321"/>
      <c r="IL53" s="321"/>
      <c r="IM53" s="321"/>
      <c r="IN53" s="321"/>
      <c r="IO53" s="321"/>
      <c r="IP53" s="321"/>
      <c r="IQ53" s="321"/>
      <c r="IR53" s="321"/>
      <c r="IS53" s="321"/>
      <c r="IT53" s="321"/>
      <c r="IU53" s="321"/>
      <c r="IV53" s="321"/>
    </row>
    <row r="54" spans="1:256" s="546" customFormat="1" ht="18" customHeight="1">
      <c r="A54" s="561">
        <v>45</v>
      </c>
      <c r="B54" s="554"/>
      <c r="C54" s="322"/>
      <c r="D54" s="987" t="s">
        <v>1036</v>
      </c>
      <c r="E54" s="330"/>
      <c r="F54" s="550"/>
      <c r="G54" s="331"/>
      <c r="H54" s="762"/>
      <c r="I54" s="758"/>
      <c r="J54" s="547"/>
      <c r="K54" s="1266">
        <v>710</v>
      </c>
      <c r="L54" s="1266"/>
      <c r="M54" s="1266">
        <v>1172933</v>
      </c>
      <c r="N54" s="547"/>
      <c r="O54" s="1175">
        <f>SUM(I54:N54)</f>
        <v>1173643</v>
      </c>
      <c r="P54" s="55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1"/>
      <c r="AV54" s="321"/>
      <c r="AW54" s="321"/>
      <c r="AX54" s="321"/>
      <c r="AY54" s="321"/>
      <c r="AZ54" s="321"/>
      <c r="BA54" s="321"/>
      <c r="BB54" s="321"/>
      <c r="BC54" s="321"/>
      <c r="BD54" s="321"/>
      <c r="BE54" s="321"/>
      <c r="BF54" s="321"/>
      <c r="BG54" s="321"/>
      <c r="BH54" s="321"/>
      <c r="BI54" s="321"/>
      <c r="BJ54" s="321"/>
      <c r="BK54" s="321"/>
      <c r="BL54" s="321"/>
      <c r="BM54" s="321"/>
      <c r="BN54" s="321"/>
      <c r="BO54" s="321"/>
      <c r="BP54" s="321"/>
      <c r="BQ54" s="321"/>
      <c r="BR54" s="321"/>
      <c r="BS54" s="321"/>
      <c r="BT54" s="321"/>
      <c r="BU54" s="321"/>
      <c r="BV54" s="321"/>
      <c r="BW54" s="321"/>
      <c r="BX54" s="321"/>
      <c r="BY54" s="321"/>
      <c r="BZ54" s="321"/>
      <c r="CA54" s="321"/>
      <c r="CB54" s="321"/>
      <c r="CC54" s="321"/>
      <c r="CD54" s="321"/>
      <c r="CE54" s="321"/>
      <c r="CF54" s="321"/>
      <c r="CG54" s="321"/>
      <c r="CH54" s="321"/>
      <c r="CI54" s="321"/>
      <c r="CJ54" s="321"/>
      <c r="CK54" s="321"/>
      <c r="CL54" s="321"/>
      <c r="CM54" s="321"/>
      <c r="CN54" s="321"/>
      <c r="CO54" s="321"/>
      <c r="CP54" s="321"/>
      <c r="CQ54" s="321"/>
      <c r="CR54" s="321"/>
      <c r="CS54" s="321"/>
      <c r="CT54" s="321"/>
      <c r="CU54" s="321"/>
      <c r="CV54" s="321"/>
      <c r="CW54" s="321"/>
      <c r="CX54" s="321"/>
      <c r="CY54" s="321"/>
      <c r="CZ54" s="321"/>
      <c r="DA54" s="321"/>
      <c r="DB54" s="321"/>
      <c r="DC54" s="321"/>
      <c r="DD54" s="321"/>
      <c r="DE54" s="321"/>
      <c r="DF54" s="321"/>
      <c r="DG54" s="321"/>
      <c r="DH54" s="321"/>
      <c r="DI54" s="321"/>
      <c r="DJ54" s="321"/>
      <c r="DK54" s="321"/>
      <c r="DL54" s="321"/>
      <c r="DM54" s="321"/>
      <c r="DN54" s="321"/>
      <c r="DO54" s="321"/>
      <c r="DP54" s="321"/>
      <c r="DQ54" s="321"/>
      <c r="DR54" s="321"/>
      <c r="DS54" s="321"/>
      <c r="DT54" s="321"/>
      <c r="DU54" s="321"/>
      <c r="DV54" s="321"/>
      <c r="DW54" s="321"/>
      <c r="DX54" s="321"/>
      <c r="DY54" s="321"/>
      <c r="DZ54" s="321"/>
      <c r="EA54" s="321"/>
      <c r="EB54" s="321"/>
      <c r="EC54" s="321"/>
      <c r="ED54" s="321"/>
      <c r="EE54" s="321"/>
      <c r="EF54" s="321"/>
      <c r="EG54" s="321"/>
      <c r="EH54" s="321"/>
      <c r="EI54" s="321"/>
      <c r="EJ54" s="321"/>
      <c r="EK54" s="321"/>
      <c r="EL54" s="321"/>
      <c r="EM54" s="321"/>
      <c r="EN54" s="321"/>
      <c r="EO54" s="321"/>
      <c r="EP54" s="321"/>
      <c r="EQ54" s="321"/>
      <c r="ER54" s="321"/>
      <c r="ES54" s="321"/>
      <c r="ET54" s="321"/>
      <c r="EU54" s="321"/>
      <c r="EV54" s="321"/>
      <c r="EW54" s="321"/>
      <c r="EX54" s="321"/>
      <c r="EY54" s="321"/>
      <c r="EZ54" s="321"/>
      <c r="FA54" s="321"/>
      <c r="FB54" s="321"/>
      <c r="FC54" s="321"/>
      <c r="FD54" s="321"/>
      <c r="FE54" s="321"/>
      <c r="FF54" s="321"/>
      <c r="FG54" s="321"/>
      <c r="FH54" s="321"/>
      <c r="FI54" s="321"/>
      <c r="FJ54" s="321"/>
      <c r="FK54" s="321"/>
      <c r="FL54" s="321"/>
      <c r="FM54" s="321"/>
      <c r="FN54" s="321"/>
      <c r="FO54" s="321"/>
      <c r="FP54" s="321"/>
      <c r="FQ54" s="321"/>
      <c r="FR54" s="321"/>
      <c r="FS54" s="321"/>
      <c r="FT54" s="321"/>
      <c r="FU54" s="321"/>
      <c r="FV54" s="321"/>
      <c r="FW54" s="321"/>
      <c r="FX54" s="321"/>
      <c r="FY54" s="321"/>
      <c r="FZ54" s="321"/>
      <c r="GA54" s="321"/>
      <c r="GB54" s="321"/>
      <c r="GC54" s="321"/>
      <c r="GD54" s="321"/>
      <c r="GE54" s="321"/>
      <c r="GF54" s="321"/>
      <c r="GG54" s="321"/>
      <c r="GH54" s="321"/>
      <c r="GI54" s="321"/>
      <c r="GJ54" s="321"/>
      <c r="GK54" s="321"/>
      <c r="GL54" s="321"/>
      <c r="GM54" s="321"/>
      <c r="GN54" s="321"/>
      <c r="GO54" s="321"/>
      <c r="GP54" s="321"/>
      <c r="GQ54" s="321"/>
      <c r="GR54" s="321"/>
      <c r="GS54" s="321"/>
      <c r="GT54" s="321"/>
      <c r="GU54" s="321"/>
      <c r="GV54" s="321"/>
      <c r="GW54" s="321"/>
      <c r="GX54" s="321"/>
      <c r="GY54" s="321"/>
      <c r="GZ54" s="321"/>
      <c r="HA54" s="321"/>
      <c r="HB54" s="321"/>
      <c r="HC54" s="321"/>
      <c r="HD54" s="321"/>
      <c r="HE54" s="321"/>
      <c r="HF54" s="321"/>
      <c r="HG54" s="321"/>
      <c r="HH54" s="321"/>
      <c r="HI54" s="321"/>
      <c r="HJ54" s="321"/>
      <c r="HK54" s="321"/>
      <c r="HL54" s="321"/>
      <c r="HM54" s="321"/>
      <c r="HN54" s="321"/>
      <c r="HO54" s="321"/>
      <c r="HP54" s="321"/>
      <c r="HQ54" s="321"/>
      <c r="HR54" s="321"/>
      <c r="HS54" s="321"/>
      <c r="HT54" s="321"/>
      <c r="HU54" s="321"/>
      <c r="HV54" s="321"/>
      <c r="HW54" s="321"/>
      <c r="HX54" s="321"/>
      <c r="HY54" s="321"/>
      <c r="HZ54" s="321"/>
      <c r="IA54" s="321"/>
      <c r="IB54" s="321"/>
      <c r="IC54" s="321"/>
      <c r="ID54" s="321"/>
      <c r="IE54" s="321"/>
      <c r="IF54" s="321"/>
      <c r="IG54" s="321"/>
      <c r="IH54" s="321"/>
      <c r="II54" s="321"/>
      <c r="IJ54" s="321"/>
      <c r="IK54" s="321"/>
      <c r="IL54" s="321"/>
      <c r="IM54" s="321"/>
      <c r="IN54" s="321"/>
      <c r="IO54" s="321"/>
      <c r="IP54" s="321"/>
      <c r="IQ54" s="321"/>
      <c r="IR54" s="321"/>
      <c r="IS54" s="321"/>
      <c r="IT54" s="321"/>
      <c r="IU54" s="321"/>
      <c r="IV54" s="321"/>
    </row>
    <row r="55" spans="1:16" ht="33">
      <c r="A55" s="561">
        <v>46</v>
      </c>
      <c r="B55" s="455"/>
      <c r="C55" s="322">
        <v>12</v>
      </c>
      <c r="D55" s="860" t="s">
        <v>839</v>
      </c>
      <c r="E55" s="330"/>
      <c r="F55" s="550"/>
      <c r="G55" s="331"/>
      <c r="H55" s="762" t="s">
        <v>24</v>
      </c>
      <c r="I55" s="777"/>
      <c r="J55" s="773"/>
      <c r="K55" s="773"/>
      <c r="L55" s="773"/>
      <c r="M55" s="773"/>
      <c r="N55" s="773"/>
      <c r="O55" s="745"/>
      <c r="P55" s="551"/>
    </row>
    <row r="56" spans="1:256" s="546" customFormat="1" ht="18" customHeight="1">
      <c r="A56" s="561">
        <v>47</v>
      </c>
      <c r="B56" s="554"/>
      <c r="C56" s="361"/>
      <c r="D56" s="755" t="s">
        <v>303</v>
      </c>
      <c r="E56" s="330">
        <f>F56+G56+O57+P56+6000</f>
        <v>240000</v>
      </c>
      <c r="F56" s="550">
        <v>9749</v>
      </c>
      <c r="G56" s="331">
        <f>2883+952</f>
        <v>3835</v>
      </c>
      <c r="H56" s="762"/>
      <c r="I56" s="777"/>
      <c r="J56" s="773"/>
      <c r="K56" s="773">
        <v>3015</v>
      </c>
      <c r="L56" s="773"/>
      <c r="M56" s="773">
        <f>12000+205401</f>
        <v>217401</v>
      </c>
      <c r="N56" s="773"/>
      <c r="O56" s="745">
        <f>SUM(I56:N56)</f>
        <v>220416</v>
      </c>
      <c r="P56" s="55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1"/>
      <c r="AY56" s="321"/>
      <c r="AZ56" s="321"/>
      <c r="BA56" s="321"/>
      <c r="BB56" s="321"/>
      <c r="BC56" s="321"/>
      <c r="BD56" s="321"/>
      <c r="BE56" s="321"/>
      <c r="BF56" s="321"/>
      <c r="BG56" s="321"/>
      <c r="BH56" s="321"/>
      <c r="BI56" s="321"/>
      <c r="BJ56" s="321"/>
      <c r="BK56" s="321"/>
      <c r="BL56" s="321"/>
      <c r="BM56" s="321"/>
      <c r="BN56" s="321"/>
      <c r="BO56" s="321"/>
      <c r="BP56" s="321"/>
      <c r="BQ56" s="321"/>
      <c r="BR56" s="321"/>
      <c r="BS56" s="321"/>
      <c r="BT56" s="321"/>
      <c r="BU56" s="321"/>
      <c r="BV56" s="321"/>
      <c r="BW56" s="321"/>
      <c r="BX56" s="321"/>
      <c r="BY56" s="321"/>
      <c r="BZ56" s="321"/>
      <c r="CA56" s="321"/>
      <c r="CB56" s="321"/>
      <c r="CC56" s="321"/>
      <c r="CD56" s="321"/>
      <c r="CE56" s="321"/>
      <c r="CF56" s="321"/>
      <c r="CG56" s="321"/>
      <c r="CH56" s="321"/>
      <c r="CI56" s="321"/>
      <c r="CJ56" s="321"/>
      <c r="CK56" s="321"/>
      <c r="CL56" s="321"/>
      <c r="CM56" s="321"/>
      <c r="CN56" s="321"/>
      <c r="CO56" s="321"/>
      <c r="CP56" s="321"/>
      <c r="CQ56" s="321"/>
      <c r="CR56" s="321"/>
      <c r="CS56" s="321"/>
      <c r="CT56" s="321"/>
      <c r="CU56" s="321"/>
      <c r="CV56" s="321"/>
      <c r="CW56" s="321"/>
      <c r="CX56" s="321"/>
      <c r="CY56" s="321"/>
      <c r="CZ56" s="321"/>
      <c r="DA56" s="321"/>
      <c r="DB56" s="321"/>
      <c r="DC56" s="321"/>
      <c r="DD56" s="321"/>
      <c r="DE56" s="321"/>
      <c r="DF56" s="321"/>
      <c r="DG56" s="321"/>
      <c r="DH56" s="321"/>
      <c r="DI56" s="321"/>
      <c r="DJ56" s="321"/>
      <c r="DK56" s="321"/>
      <c r="DL56" s="321"/>
      <c r="DM56" s="321"/>
      <c r="DN56" s="321"/>
      <c r="DO56" s="321"/>
      <c r="DP56" s="321"/>
      <c r="DQ56" s="321"/>
      <c r="DR56" s="321"/>
      <c r="DS56" s="321"/>
      <c r="DT56" s="321"/>
      <c r="DU56" s="321"/>
      <c r="DV56" s="321"/>
      <c r="DW56" s="321"/>
      <c r="DX56" s="321"/>
      <c r="DY56" s="321"/>
      <c r="DZ56" s="321"/>
      <c r="EA56" s="321"/>
      <c r="EB56" s="321"/>
      <c r="EC56" s="321"/>
      <c r="ED56" s="321"/>
      <c r="EE56" s="321"/>
      <c r="EF56" s="321"/>
      <c r="EG56" s="321"/>
      <c r="EH56" s="321"/>
      <c r="EI56" s="321"/>
      <c r="EJ56" s="321"/>
      <c r="EK56" s="321"/>
      <c r="EL56" s="321"/>
      <c r="EM56" s="321"/>
      <c r="EN56" s="321"/>
      <c r="EO56" s="321"/>
      <c r="EP56" s="321"/>
      <c r="EQ56" s="321"/>
      <c r="ER56" s="321"/>
      <c r="ES56" s="321"/>
      <c r="ET56" s="321"/>
      <c r="EU56" s="321"/>
      <c r="EV56" s="321"/>
      <c r="EW56" s="321"/>
      <c r="EX56" s="321"/>
      <c r="EY56" s="321"/>
      <c r="EZ56" s="321"/>
      <c r="FA56" s="321"/>
      <c r="FB56" s="321"/>
      <c r="FC56" s="321"/>
      <c r="FD56" s="321"/>
      <c r="FE56" s="321"/>
      <c r="FF56" s="321"/>
      <c r="FG56" s="321"/>
      <c r="FH56" s="321"/>
      <c r="FI56" s="321"/>
      <c r="FJ56" s="321"/>
      <c r="FK56" s="321"/>
      <c r="FL56" s="321"/>
      <c r="FM56" s="321"/>
      <c r="FN56" s="321"/>
      <c r="FO56" s="321"/>
      <c r="FP56" s="321"/>
      <c r="FQ56" s="321"/>
      <c r="FR56" s="321"/>
      <c r="FS56" s="321"/>
      <c r="FT56" s="321"/>
      <c r="FU56" s="321"/>
      <c r="FV56" s="321"/>
      <c r="FW56" s="321"/>
      <c r="FX56" s="321"/>
      <c r="FY56" s="321"/>
      <c r="FZ56" s="321"/>
      <c r="GA56" s="321"/>
      <c r="GB56" s="321"/>
      <c r="GC56" s="321"/>
      <c r="GD56" s="321"/>
      <c r="GE56" s="321"/>
      <c r="GF56" s="321"/>
      <c r="GG56" s="321"/>
      <c r="GH56" s="321"/>
      <c r="GI56" s="321"/>
      <c r="GJ56" s="321"/>
      <c r="GK56" s="321"/>
      <c r="GL56" s="321"/>
      <c r="GM56" s="321"/>
      <c r="GN56" s="321"/>
      <c r="GO56" s="321"/>
      <c r="GP56" s="321"/>
      <c r="GQ56" s="321"/>
      <c r="GR56" s="321"/>
      <c r="GS56" s="321"/>
      <c r="GT56" s="321"/>
      <c r="GU56" s="321"/>
      <c r="GV56" s="321"/>
      <c r="GW56" s="321"/>
      <c r="GX56" s="321"/>
      <c r="GY56" s="321"/>
      <c r="GZ56" s="321"/>
      <c r="HA56" s="321"/>
      <c r="HB56" s="321"/>
      <c r="HC56" s="321"/>
      <c r="HD56" s="321"/>
      <c r="HE56" s="321"/>
      <c r="HF56" s="321"/>
      <c r="HG56" s="321"/>
      <c r="HH56" s="321"/>
      <c r="HI56" s="321"/>
      <c r="HJ56" s="321"/>
      <c r="HK56" s="321"/>
      <c r="HL56" s="321"/>
      <c r="HM56" s="321"/>
      <c r="HN56" s="321"/>
      <c r="HO56" s="321"/>
      <c r="HP56" s="321"/>
      <c r="HQ56" s="321"/>
      <c r="HR56" s="321"/>
      <c r="HS56" s="321"/>
      <c r="HT56" s="321"/>
      <c r="HU56" s="321"/>
      <c r="HV56" s="321"/>
      <c r="HW56" s="321"/>
      <c r="HX56" s="321"/>
      <c r="HY56" s="321"/>
      <c r="HZ56" s="321"/>
      <c r="IA56" s="321"/>
      <c r="IB56" s="321"/>
      <c r="IC56" s="321"/>
      <c r="ID56" s="321"/>
      <c r="IE56" s="321"/>
      <c r="IF56" s="321"/>
      <c r="IG56" s="321"/>
      <c r="IH56" s="321"/>
      <c r="II56" s="321"/>
      <c r="IJ56" s="321"/>
      <c r="IK56" s="321"/>
      <c r="IL56" s="321"/>
      <c r="IM56" s="321"/>
      <c r="IN56" s="321"/>
      <c r="IO56" s="321"/>
      <c r="IP56" s="321"/>
      <c r="IQ56" s="321"/>
      <c r="IR56" s="321"/>
      <c r="IS56" s="321"/>
      <c r="IT56" s="321"/>
      <c r="IU56" s="321"/>
      <c r="IV56" s="321"/>
    </row>
    <row r="57" spans="1:256" s="546" customFormat="1" ht="18" customHeight="1">
      <c r="A57" s="561">
        <v>48</v>
      </c>
      <c r="B57" s="554"/>
      <c r="C57" s="361"/>
      <c r="D57" s="436" t="s">
        <v>994</v>
      </c>
      <c r="E57" s="330"/>
      <c r="F57" s="550"/>
      <c r="G57" s="331"/>
      <c r="H57" s="762"/>
      <c r="I57" s="777"/>
      <c r="J57" s="773"/>
      <c r="K57" s="547">
        <v>3015</v>
      </c>
      <c r="L57" s="547"/>
      <c r="M57" s="547">
        <v>217401</v>
      </c>
      <c r="N57" s="773"/>
      <c r="O57" s="555">
        <f>SUM(I57:N57)</f>
        <v>220416</v>
      </c>
      <c r="P57" s="55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1"/>
      <c r="AY57" s="321"/>
      <c r="AZ57" s="321"/>
      <c r="BA57" s="321"/>
      <c r="BB57" s="321"/>
      <c r="BC57" s="321"/>
      <c r="BD57" s="321"/>
      <c r="BE57" s="321"/>
      <c r="BF57" s="321"/>
      <c r="BG57" s="321"/>
      <c r="BH57" s="321"/>
      <c r="BI57" s="321"/>
      <c r="BJ57" s="321"/>
      <c r="BK57" s="321"/>
      <c r="BL57" s="321"/>
      <c r="BM57" s="321"/>
      <c r="BN57" s="321"/>
      <c r="BO57" s="321"/>
      <c r="BP57" s="321"/>
      <c r="BQ57" s="321"/>
      <c r="BR57" s="321"/>
      <c r="BS57" s="321"/>
      <c r="BT57" s="321"/>
      <c r="BU57" s="321"/>
      <c r="BV57" s="321"/>
      <c r="BW57" s="321"/>
      <c r="BX57" s="321"/>
      <c r="BY57" s="321"/>
      <c r="BZ57" s="321"/>
      <c r="CA57" s="321"/>
      <c r="CB57" s="321"/>
      <c r="CC57" s="321"/>
      <c r="CD57" s="321"/>
      <c r="CE57" s="321"/>
      <c r="CF57" s="321"/>
      <c r="CG57" s="321"/>
      <c r="CH57" s="321"/>
      <c r="CI57" s="321"/>
      <c r="CJ57" s="321"/>
      <c r="CK57" s="321"/>
      <c r="CL57" s="321"/>
      <c r="CM57" s="321"/>
      <c r="CN57" s="321"/>
      <c r="CO57" s="321"/>
      <c r="CP57" s="321"/>
      <c r="CQ57" s="321"/>
      <c r="CR57" s="321"/>
      <c r="CS57" s="321"/>
      <c r="CT57" s="321"/>
      <c r="CU57" s="321"/>
      <c r="CV57" s="321"/>
      <c r="CW57" s="321"/>
      <c r="CX57" s="321"/>
      <c r="CY57" s="321"/>
      <c r="CZ57" s="321"/>
      <c r="DA57" s="321"/>
      <c r="DB57" s="321"/>
      <c r="DC57" s="321"/>
      <c r="DD57" s="321"/>
      <c r="DE57" s="321"/>
      <c r="DF57" s="321"/>
      <c r="DG57" s="321"/>
      <c r="DH57" s="321"/>
      <c r="DI57" s="321"/>
      <c r="DJ57" s="321"/>
      <c r="DK57" s="321"/>
      <c r="DL57" s="321"/>
      <c r="DM57" s="321"/>
      <c r="DN57" s="321"/>
      <c r="DO57" s="321"/>
      <c r="DP57" s="321"/>
      <c r="DQ57" s="321"/>
      <c r="DR57" s="321"/>
      <c r="DS57" s="321"/>
      <c r="DT57" s="321"/>
      <c r="DU57" s="321"/>
      <c r="DV57" s="321"/>
      <c r="DW57" s="321"/>
      <c r="DX57" s="321"/>
      <c r="DY57" s="321"/>
      <c r="DZ57" s="321"/>
      <c r="EA57" s="321"/>
      <c r="EB57" s="321"/>
      <c r="EC57" s="321"/>
      <c r="ED57" s="321"/>
      <c r="EE57" s="321"/>
      <c r="EF57" s="321"/>
      <c r="EG57" s="321"/>
      <c r="EH57" s="321"/>
      <c r="EI57" s="321"/>
      <c r="EJ57" s="321"/>
      <c r="EK57" s="321"/>
      <c r="EL57" s="321"/>
      <c r="EM57" s="321"/>
      <c r="EN57" s="321"/>
      <c r="EO57" s="321"/>
      <c r="EP57" s="321"/>
      <c r="EQ57" s="321"/>
      <c r="ER57" s="321"/>
      <c r="ES57" s="321"/>
      <c r="ET57" s="321"/>
      <c r="EU57" s="321"/>
      <c r="EV57" s="321"/>
      <c r="EW57" s="321"/>
      <c r="EX57" s="321"/>
      <c r="EY57" s="321"/>
      <c r="EZ57" s="321"/>
      <c r="FA57" s="321"/>
      <c r="FB57" s="321"/>
      <c r="FC57" s="321"/>
      <c r="FD57" s="321"/>
      <c r="FE57" s="321"/>
      <c r="FF57" s="321"/>
      <c r="FG57" s="321"/>
      <c r="FH57" s="321"/>
      <c r="FI57" s="321"/>
      <c r="FJ57" s="321"/>
      <c r="FK57" s="321"/>
      <c r="FL57" s="321"/>
      <c r="FM57" s="321"/>
      <c r="FN57" s="321"/>
      <c r="FO57" s="321"/>
      <c r="FP57" s="321"/>
      <c r="FQ57" s="321"/>
      <c r="FR57" s="321"/>
      <c r="FS57" s="321"/>
      <c r="FT57" s="321"/>
      <c r="FU57" s="321"/>
      <c r="FV57" s="321"/>
      <c r="FW57" s="321"/>
      <c r="FX57" s="321"/>
      <c r="FY57" s="321"/>
      <c r="FZ57" s="321"/>
      <c r="GA57" s="321"/>
      <c r="GB57" s="321"/>
      <c r="GC57" s="321"/>
      <c r="GD57" s="321"/>
      <c r="GE57" s="321"/>
      <c r="GF57" s="321"/>
      <c r="GG57" s="321"/>
      <c r="GH57" s="321"/>
      <c r="GI57" s="321"/>
      <c r="GJ57" s="321"/>
      <c r="GK57" s="321"/>
      <c r="GL57" s="321"/>
      <c r="GM57" s="321"/>
      <c r="GN57" s="321"/>
      <c r="GO57" s="321"/>
      <c r="GP57" s="321"/>
      <c r="GQ57" s="321"/>
      <c r="GR57" s="321"/>
      <c r="GS57" s="321"/>
      <c r="GT57" s="321"/>
      <c r="GU57" s="321"/>
      <c r="GV57" s="321"/>
      <c r="GW57" s="321"/>
      <c r="GX57" s="321"/>
      <c r="GY57" s="321"/>
      <c r="GZ57" s="321"/>
      <c r="HA57" s="321"/>
      <c r="HB57" s="321"/>
      <c r="HC57" s="321"/>
      <c r="HD57" s="321"/>
      <c r="HE57" s="321"/>
      <c r="HF57" s="321"/>
      <c r="HG57" s="321"/>
      <c r="HH57" s="321"/>
      <c r="HI57" s="321"/>
      <c r="HJ57" s="321"/>
      <c r="HK57" s="321"/>
      <c r="HL57" s="321"/>
      <c r="HM57" s="321"/>
      <c r="HN57" s="321"/>
      <c r="HO57" s="321"/>
      <c r="HP57" s="321"/>
      <c r="HQ57" s="321"/>
      <c r="HR57" s="321"/>
      <c r="HS57" s="321"/>
      <c r="HT57" s="321"/>
      <c r="HU57" s="321"/>
      <c r="HV57" s="321"/>
      <c r="HW57" s="321"/>
      <c r="HX57" s="321"/>
      <c r="HY57" s="321"/>
      <c r="HZ57" s="321"/>
      <c r="IA57" s="321"/>
      <c r="IB57" s="321"/>
      <c r="IC57" s="321"/>
      <c r="ID57" s="321"/>
      <c r="IE57" s="321"/>
      <c r="IF57" s="321"/>
      <c r="IG57" s="321"/>
      <c r="IH57" s="321"/>
      <c r="II57" s="321"/>
      <c r="IJ57" s="321"/>
      <c r="IK57" s="321"/>
      <c r="IL57" s="321"/>
      <c r="IM57" s="321"/>
      <c r="IN57" s="321"/>
      <c r="IO57" s="321"/>
      <c r="IP57" s="321"/>
      <c r="IQ57" s="321"/>
      <c r="IR57" s="321"/>
      <c r="IS57" s="321"/>
      <c r="IT57" s="321"/>
      <c r="IU57" s="321"/>
      <c r="IV57" s="321"/>
    </row>
    <row r="58" spans="1:256" s="546" customFormat="1" ht="18" customHeight="1">
      <c r="A58" s="561">
        <v>49</v>
      </c>
      <c r="B58" s="554"/>
      <c r="C58" s="361"/>
      <c r="D58" s="987" t="s">
        <v>1036</v>
      </c>
      <c r="E58" s="330"/>
      <c r="F58" s="550"/>
      <c r="G58" s="331"/>
      <c r="H58" s="762"/>
      <c r="I58" s="758"/>
      <c r="J58" s="547"/>
      <c r="K58" s="1266">
        <v>1005</v>
      </c>
      <c r="L58" s="1266"/>
      <c r="M58" s="1266">
        <v>6692</v>
      </c>
      <c r="N58" s="547"/>
      <c r="O58" s="1175">
        <f>SUM(I58:N58)</f>
        <v>7697</v>
      </c>
      <c r="P58" s="55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c r="AN58" s="321"/>
      <c r="AO58" s="321"/>
      <c r="AP58" s="321"/>
      <c r="AQ58" s="321"/>
      <c r="AR58" s="321"/>
      <c r="AS58" s="321"/>
      <c r="AT58" s="321"/>
      <c r="AU58" s="321"/>
      <c r="AV58" s="321"/>
      <c r="AW58" s="321"/>
      <c r="AX58" s="321"/>
      <c r="AY58" s="321"/>
      <c r="AZ58" s="321"/>
      <c r="BA58" s="321"/>
      <c r="BB58" s="321"/>
      <c r="BC58" s="321"/>
      <c r="BD58" s="321"/>
      <c r="BE58" s="321"/>
      <c r="BF58" s="321"/>
      <c r="BG58" s="321"/>
      <c r="BH58" s="321"/>
      <c r="BI58" s="321"/>
      <c r="BJ58" s="321"/>
      <c r="BK58" s="321"/>
      <c r="BL58" s="321"/>
      <c r="BM58" s="321"/>
      <c r="BN58" s="321"/>
      <c r="BO58" s="321"/>
      <c r="BP58" s="321"/>
      <c r="BQ58" s="321"/>
      <c r="BR58" s="321"/>
      <c r="BS58" s="321"/>
      <c r="BT58" s="321"/>
      <c r="BU58" s="321"/>
      <c r="BV58" s="321"/>
      <c r="BW58" s="321"/>
      <c r="BX58" s="321"/>
      <c r="BY58" s="321"/>
      <c r="BZ58" s="321"/>
      <c r="CA58" s="321"/>
      <c r="CB58" s="321"/>
      <c r="CC58" s="321"/>
      <c r="CD58" s="321"/>
      <c r="CE58" s="321"/>
      <c r="CF58" s="321"/>
      <c r="CG58" s="321"/>
      <c r="CH58" s="321"/>
      <c r="CI58" s="321"/>
      <c r="CJ58" s="321"/>
      <c r="CK58" s="321"/>
      <c r="CL58" s="321"/>
      <c r="CM58" s="321"/>
      <c r="CN58" s="321"/>
      <c r="CO58" s="321"/>
      <c r="CP58" s="321"/>
      <c r="CQ58" s="321"/>
      <c r="CR58" s="321"/>
      <c r="CS58" s="321"/>
      <c r="CT58" s="321"/>
      <c r="CU58" s="321"/>
      <c r="CV58" s="321"/>
      <c r="CW58" s="321"/>
      <c r="CX58" s="321"/>
      <c r="CY58" s="321"/>
      <c r="CZ58" s="321"/>
      <c r="DA58" s="321"/>
      <c r="DB58" s="321"/>
      <c r="DC58" s="321"/>
      <c r="DD58" s="321"/>
      <c r="DE58" s="321"/>
      <c r="DF58" s="321"/>
      <c r="DG58" s="321"/>
      <c r="DH58" s="321"/>
      <c r="DI58" s="321"/>
      <c r="DJ58" s="321"/>
      <c r="DK58" s="321"/>
      <c r="DL58" s="321"/>
      <c r="DM58" s="321"/>
      <c r="DN58" s="321"/>
      <c r="DO58" s="321"/>
      <c r="DP58" s="321"/>
      <c r="DQ58" s="321"/>
      <c r="DR58" s="321"/>
      <c r="DS58" s="321"/>
      <c r="DT58" s="321"/>
      <c r="DU58" s="321"/>
      <c r="DV58" s="321"/>
      <c r="DW58" s="321"/>
      <c r="DX58" s="321"/>
      <c r="DY58" s="321"/>
      <c r="DZ58" s="321"/>
      <c r="EA58" s="321"/>
      <c r="EB58" s="321"/>
      <c r="EC58" s="321"/>
      <c r="ED58" s="321"/>
      <c r="EE58" s="321"/>
      <c r="EF58" s="321"/>
      <c r="EG58" s="321"/>
      <c r="EH58" s="321"/>
      <c r="EI58" s="321"/>
      <c r="EJ58" s="321"/>
      <c r="EK58" s="321"/>
      <c r="EL58" s="321"/>
      <c r="EM58" s="321"/>
      <c r="EN58" s="321"/>
      <c r="EO58" s="321"/>
      <c r="EP58" s="321"/>
      <c r="EQ58" s="321"/>
      <c r="ER58" s="321"/>
      <c r="ES58" s="321"/>
      <c r="ET58" s="321"/>
      <c r="EU58" s="321"/>
      <c r="EV58" s="321"/>
      <c r="EW58" s="321"/>
      <c r="EX58" s="321"/>
      <c r="EY58" s="321"/>
      <c r="EZ58" s="321"/>
      <c r="FA58" s="321"/>
      <c r="FB58" s="321"/>
      <c r="FC58" s="321"/>
      <c r="FD58" s="321"/>
      <c r="FE58" s="321"/>
      <c r="FF58" s="321"/>
      <c r="FG58" s="321"/>
      <c r="FH58" s="321"/>
      <c r="FI58" s="321"/>
      <c r="FJ58" s="321"/>
      <c r="FK58" s="321"/>
      <c r="FL58" s="321"/>
      <c r="FM58" s="321"/>
      <c r="FN58" s="321"/>
      <c r="FO58" s="321"/>
      <c r="FP58" s="321"/>
      <c r="FQ58" s="321"/>
      <c r="FR58" s="321"/>
      <c r="FS58" s="321"/>
      <c r="FT58" s="321"/>
      <c r="FU58" s="321"/>
      <c r="FV58" s="321"/>
      <c r="FW58" s="321"/>
      <c r="FX58" s="321"/>
      <c r="FY58" s="321"/>
      <c r="FZ58" s="321"/>
      <c r="GA58" s="321"/>
      <c r="GB58" s="321"/>
      <c r="GC58" s="321"/>
      <c r="GD58" s="321"/>
      <c r="GE58" s="321"/>
      <c r="GF58" s="321"/>
      <c r="GG58" s="321"/>
      <c r="GH58" s="321"/>
      <c r="GI58" s="321"/>
      <c r="GJ58" s="321"/>
      <c r="GK58" s="321"/>
      <c r="GL58" s="321"/>
      <c r="GM58" s="321"/>
      <c r="GN58" s="321"/>
      <c r="GO58" s="321"/>
      <c r="GP58" s="321"/>
      <c r="GQ58" s="321"/>
      <c r="GR58" s="321"/>
      <c r="GS58" s="321"/>
      <c r="GT58" s="321"/>
      <c r="GU58" s="321"/>
      <c r="GV58" s="321"/>
      <c r="GW58" s="321"/>
      <c r="GX58" s="321"/>
      <c r="GY58" s="321"/>
      <c r="GZ58" s="321"/>
      <c r="HA58" s="321"/>
      <c r="HB58" s="321"/>
      <c r="HC58" s="321"/>
      <c r="HD58" s="321"/>
      <c r="HE58" s="321"/>
      <c r="HF58" s="321"/>
      <c r="HG58" s="321"/>
      <c r="HH58" s="321"/>
      <c r="HI58" s="321"/>
      <c r="HJ58" s="321"/>
      <c r="HK58" s="321"/>
      <c r="HL58" s="321"/>
      <c r="HM58" s="321"/>
      <c r="HN58" s="321"/>
      <c r="HO58" s="321"/>
      <c r="HP58" s="321"/>
      <c r="HQ58" s="321"/>
      <c r="HR58" s="321"/>
      <c r="HS58" s="321"/>
      <c r="HT58" s="321"/>
      <c r="HU58" s="321"/>
      <c r="HV58" s="321"/>
      <c r="HW58" s="321"/>
      <c r="HX58" s="321"/>
      <c r="HY58" s="321"/>
      <c r="HZ58" s="321"/>
      <c r="IA58" s="321"/>
      <c r="IB58" s="321"/>
      <c r="IC58" s="321"/>
      <c r="ID58" s="321"/>
      <c r="IE58" s="321"/>
      <c r="IF58" s="321"/>
      <c r="IG58" s="321"/>
      <c r="IH58" s="321"/>
      <c r="II58" s="321"/>
      <c r="IJ58" s="321"/>
      <c r="IK58" s="321"/>
      <c r="IL58" s="321"/>
      <c r="IM58" s="321"/>
      <c r="IN58" s="321"/>
      <c r="IO58" s="321"/>
      <c r="IP58" s="321"/>
      <c r="IQ58" s="321"/>
      <c r="IR58" s="321"/>
      <c r="IS58" s="321"/>
      <c r="IT58" s="321"/>
      <c r="IU58" s="321"/>
      <c r="IV58" s="321"/>
    </row>
    <row r="59" spans="1:16" ht="33">
      <c r="A59" s="561">
        <v>50</v>
      </c>
      <c r="B59" s="455"/>
      <c r="C59" s="322">
        <v>13</v>
      </c>
      <c r="D59" s="324" t="s">
        <v>608</v>
      </c>
      <c r="E59" s="330"/>
      <c r="F59" s="550"/>
      <c r="G59" s="331"/>
      <c r="H59" s="762" t="s">
        <v>24</v>
      </c>
      <c r="I59" s="777"/>
      <c r="J59" s="773"/>
      <c r="K59" s="773"/>
      <c r="L59" s="773"/>
      <c r="M59" s="773"/>
      <c r="N59" s="773"/>
      <c r="O59" s="745"/>
      <c r="P59" s="551"/>
    </row>
    <row r="60" spans="1:256" s="546" customFormat="1" ht="18" customHeight="1">
      <c r="A60" s="561">
        <v>51</v>
      </c>
      <c r="B60" s="554"/>
      <c r="C60" s="322"/>
      <c r="D60" s="755" t="s">
        <v>303</v>
      </c>
      <c r="E60" s="330">
        <f>F60+G60+O61+P60+12000</f>
        <v>501600</v>
      </c>
      <c r="F60" s="550">
        <v>326</v>
      </c>
      <c r="G60" s="331">
        <f>16713+414</f>
        <v>17127</v>
      </c>
      <c r="H60" s="762"/>
      <c r="I60" s="777"/>
      <c r="J60" s="773"/>
      <c r="K60" s="773">
        <v>9860</v>
      </c>
      <c r="L60" s="773"/>
      <c r="M60" s="773">
        <v>462287</v>
      </c>
      <c r="N60" s="773"/>
      <c r="O60" s="745">
        <f>SUM(I60:N60)</f>
        <v>472147</v>
      </c>
      <c r="P60" s="55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1"/>
      <c r="AP60" s="321"/>
      <c r="AQ60" s="321"/>
      <c r="AR60" s="321"/>
      <c r="AS60" s="321"/>
      <c r="AT60" s="321"/>
      <c r="AU60" s="321"/>
      <c r="AV60" s="321"/>
      <c r="AW60" s="321"/>
      <c r="AX60" s="321"/>
      <c r="AY60" s="321"/>
      <c r="AZ60" s="321"/>
      <c r="BA60" s="321"/>
      <c r="BB60" s="321"/>
      <c r="BC60" s="321"/>
      <c r="BD60" s="321"/>
      <c r="BE60" s="321"/>
      <c r="BF60" s="321"/>
      <c r="BG60" s="321"/>
      <c r="BH60" s="321"/>
      <c r="BI60" s="321"/>
      <c r="BJ60" s="321"/>
      <c r="BK60" s="321"/>
      <c r="BL60" s="321"/>
      <c r="BM60" s="321"/>
      <c r="BN60" s="321"/>
      <c r="BO60" s="321"/>
      <c r="BP60" s="321"/>
      <c r="BQ60" s="321"/>
      <c r="BR60" s="321"/>
      <c r="BS60" s="321"/>
      <c r="BT60" s="321"/>
      <c r="BU60" s="321"/>
      <c r="BV60" s="321"/>
      <c r="BW60" s="321"/>
      <c r="BX60" s="321"/>
      <c r="BY60" s="321"/>
      <c r="BZ60" s="321"/>
      <c r="CA60" s="321"/>
      <c r="CB60" s="321"/>
      <c r="CC60" s="321"/>
      <c r="CD60" s="321"/>
      <c r="CE60" s="321"/>
      <c r="CF60" s="321"/>
      <c r="CG60" s="321"/>
      <c r="CH60" s="321"/>
      <c r="CI60" s="321"/>
      <c r="CJ60" s="321"/>
      <c r="CK60" s="321"/>
      <c r="CL60" s="321"/>
      <c r="CM60" s="321"/>
      <c r="CN60" s="321"/>
      <c r="CO60" s="321"/>
      <c r="CP60" s="321"/>
      <c r="CQ60" s="321"/>
      <c r="CR60" s="321"/>
      <c r="CS60" s="321"/>
      <c r="CT60" s="321"/>
      <c r="CU60" s="321"/>
      <c r="CV60" s="321"/>
      <c r="CW60" s="321"/>
      <c r="CX60" s="321"/>
      <c r="CY60" s="321"/>
      <c r="CZ60" s="321"/>
      <c r="DA60" s="321"/>
      <c r="DB60" s="321"/>
      <c r="DC60" s="321"/>
      <c r="DD60" s="321"/>
      <c r="DE60" s="321"/>
      <c r="DF60" s="321"/>
      <c r="DG60" s="321"/>
      <c r="DH60" s="321"/>
      <c r="DI60" s="321"/>
      <c r="DJ60" s="321"/>
      <c r="DK60" s="321"/>
      <c r="DL60" s="321"/>
      <c r="DM60" s="321"/>
      <c r="DN60" s="321"/>
      <c r="DO60" s="321"/>
      <c r="DP60" s="321"/>
      <c r="DQ60" s="321"/>
      <c r="DR60" s="321"/>
      <c r="DS60" s="321"/>
      <c r="DT60" s="321"/>
      <c r="DU60" s="321"/>
      <c r="DV60" s="321"/>
      <c r="DW60" s="321"/>
      <c r="DX60" s="321"/>
      <c r="DY60" s="321"/>
      <c r="DZ60" s="321"/>
      <c r="EA60" s="321"/>
      <c r="EB60" s="321"/>
      <c r="EC60" s="321"/>
      <c r="ED60" s="321"/>
      <c r="EE60" s="321"/>
      <c r="EF60" s="321"/>
      <c r="EG60" s="321"/>
      <c r="EH60" s="321"/>
      <c r="EI60" s="321"/>
      <c r="EJ60" s="321"/>
      <c r="EK60" s="321"/>
      <c r="EL60" s="321"/>
      <c r="EM60" s="321"/>
      <c r="EN60" s="321"/>
      <c r="EO60" s="321"/>
      <c r="EP60" s="321"/>
      <c r="EQ60" s="321"/>
      <c r="ER60" s="321"/>
      <c r="ES60" s="321"/>
      <c r="ET60" s="321"/>
      <c r="EU60" s="321"/>
      <c r="EV60" s="321"/>
      <c r="EW60" s="321"/>
      <c r="EX60" s="321"/>
      <c r="EY60" s="321"/>
      <c r="EZ60" s="321"/>
      <c r="FA60" s="321"/>
      <c r="FB60" s="321"/>
      <c r="FC60" s="321"/>
      <c r="FD60" s="321"/>
      <c r="FE60" s="321"/>
      <c r="FF60" s="321"/>
      <c r="FG60" s="321"/>
      <c r="FH60" s="321"/>
      <c r="FI60" s="321"/>
      <c r="FJ60" s="321"/>
      <c r="FK60" s="321"/>
      <c r="FL60" s="321"/>
      <c r="FM60" s="321"/>
      <c r="FN60" s="321"/>
      <c r="FO60" s="321"/>
      <c r="FP60" s="321"/>
      <c r="FQ60" s="321"/>
      <c r="FR60" s="321"/>
      <c r="FS60" s="321"/>
      <c r="FT60" s="321"/>
      <c r="FU60" s="321"/>
      <c r="FV60" s="321"/>
      <c r="FW60" s="321"/>
      <c r="FX60" s="321"/>
      <c r="FY60" s="321"/>
      <c r="FZ60" s="321"/>
      <c r="GA60" s="321"/>
      <c r="GB60" s="321"/>
      <c r="GC60" s="321"/>
      <c r="GD60" s="321"/>
      <c r="GE60" s="321"/>
      <c r="GF60" s="321"/>
      <c r="GG60" s="321"/>
      <c r="GH60" s="321"/>
      <c r="GI60" s="321"/>
      <c r="GJ60" s="321"/>
      <c r="GK60" s="321"/>
      <c r="GL60" s="321"/>
      <c r="GM60" s="321"/>
      <c r="GN60" s="321"/>
      <c r="GO60" s="321"/>
      <c r="GP60" s="321"/>
      <c r="GQ60" s="321"/>
      <c r="GR60" s="321"/>
      <c r="GS60" s="321"/>
      <c r="GT60" s="321"/>
      <c r="GU60" s="321"/>
      <c r="GV60" s="321"/>
      <c r="GW60" s="321"/>
      <c r="GX60" s="321"/>
      <c r="GY60" s="321"/>
      <c r="GZ60" s="321"/>
      <c r="HA60" s="321"/>
      <c r="HB60" s="321"/>
      <c r="HC60" s="321"/>
      <c r="HD60" s="321"/>
      <c r="HE60" s="321"/>
      <c r="HF60" s="321"/>
      <c r="HG60" s="321"/>
      <c r="HH60" s="321"/>
      <c r="HI60" s="321"/>
      <c r="HJ60" s="321"/>
      <c r="HK60" s="321"/>
      <c r="HL60" s="321"/>
      <c r="HM60" s="321"/>
      <c r="HN60" s="321"/>
      <c r="HO60" s="321"/>
      <c r="HP60" s="321"/>
      <c r="HQ60" s="321"/>
      <c r="HR60" s="321"/>
      <c r="HS60" s="321"/>
      <c r="HT60" s="321"/>
      <c r="HU60" s="321"/>
      <c r="HV60" s="321"/>
      <c r="HW60" s="321"/>
      <c r="HX60" s="321"/>
      <c r="HY60" s="321"/>
      <c r="HZ60" s="321"/>
      <c r="IA60" s="321"/>
      <c r="IB60" s="321"/>
      <c r="IC60" s="321"/>
      <c r="ID60" s="321"/>
      <c r="IE60" s="321"/>
      <c r="IF60" s="321"/>
      <c r="IG60" s="321"/>
      <c r="IH60" s="321"/>
      <c r="II60" s="321"/>
      <c r="IJ60" s="321"/>
      <c r="IK60" s="321"/>
      <c r="IL60" s="321"/>
      <c r="IM60" s="321"/>
      <c r="IN60" s="321"/>
      <c r="IO60" s="321"/>
      <c r="IP60" s="321"/>
      <c r="IQ60" s="321"/>
      <c r="IR60" s="321"/>
      <c r="IS60" s="321"/>
      <c r="IT60" s="321"/>
      <c r="IU60" s="321"/>
      <c r="IV60" s="321"/>
    </row>
    <row r="61" spans="1:256" s="546" customFormat="1" ht="18" customHeight="1">
      <c r="A61" s="561">
        <v>52</v>
      </c>
      <c r="B61" s="554"/>
      <c r="C61" s="322"/>
      <c r="D61" s="436" t="s">
        <v>994</v>
      </c>
      <c r="E61" s="330"/>
      <c r="F61" s="550"/>
      <c r="G61" s="331"/>
      <c r="H61" s="762"/>
      <c r="I61" s="777"/>
      <c r="J61" s="773"/>
      <c r="K61" s="547">
        <v>9860</v>
      </c>
      <c r="L61" s="547"/>
      <c r="M61" s="547">
        <v>462287</v>
      </c>
      <c r="N61" s="773"/>
      <c r="O61" s="555">
        <f>SUM(I61:N61)</f>
        <v>472147</v>
      </c>
      <c r="P61" s="55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21"/>
      <c r="AT61" s="321"/>
      <c r="AU61" s="321"/>
      <c r="AV61" s="321"/>
      <c r="AW61" s="321"/>
      <c r="AX61" s="321"/>
      <c r="AY61" s="321"/>
      <c r="AZ61" s="321"/>
      <c r="BA61" s="321"/>
      <c r="BB61" s="321"/>
      <c r="BC61" s="321"/>
      <c r="BD61" s="321"/>
      <c r="BE61" s="321"/>
      <c r="BF61" s="321"/>
      <c r="BG61" s="321"/>
      <c r="BH61" s="321"/>
      <c r="BI61" s="321"/>
      <c r="BJ61" s="321"/>
      <c r="BK61" s="321"/>
      <c r="BL61" s="321"/>
      <c r="BM61" s="321"/>
      <c r="BN61" s="321"/>
      <c r="BO61" s="321"/>
      <c r="BP61" s="321"/>
      <c r="BQ61" s="321"/>
      <c r="BR61" s="321"/>
      <c r="BS61" s="321"/>
      <c r="BT61" s="321"/>
      <c r="BU61" s="321"/>
      <c r="BV61" s="321"/>
      <c r="BW61" s="321"/>
      <c r="BX61" s="321"/>
      <c r="BY61" s="321"/>
      <c r="BZ61" s="321"/>
      <c r="CA61" s="321"/>
      <c r="CB61" s="321"/>
      <c r="CC61" s="321"/>
      <c r="CD61" s="321"/>
      <c r="CE61" s="321"/>
      <c r="CF61" s="321"/>
      <c r="CG61" s="321"/>
      <c r="CH61" s="321"/>
      <c r="CI61" s="321"/>
      <c r="CJ61" s="321"/>
      <c r="CK61" s="321"/>
      <c r="CL61" s="321"/>
      <c r="CM61" s="321"/>
      <c r="CN61" s="321"/>
      <c r="CO61" s="321"/>
      <c r="CP61" s="321"/>
      <c r="CQ61" s="321"/>
      <c r="CR61" s="321"/>
      <c r="CS61" s="321"/>
      <c r="CT61" s="321"/>
      <c r="CU61" s="321"/>
      <c r="CV61" s="321"/>
      <c r="CW61" s="321"/>
      <c r="CX61" s="321"/>
      <c r="CY61" s="321"/>
      <c r="CZ61" s="321"/>
      <c r="DA61" s="321"/>
      <c r="DB61" s="321"/>
      <c r="DC61" s="321"/>
      <c r="DD61" s="321"/>
      <c r="DE61" s="321"/>
      <c r="DF61" s="321"/>
      <c r="DG61" s="321"/>
      <c r="DH61" s="321"/>
      <c r="DI61" s="321"/>
      <c r="DJ61" s="321"/>
      <c r="DK61" s="321"/>
      <c r="DL61" s="321"/>
      <c r="DM61" s="321"/>
      <c r="DN61" s="321"/>
      <c r="DO61" s="321"/>
      <c r="DP61" s="321"/>
      <c r="DQ61" s="321"/>
      <c r="DR61" s="321"/>
      <c r="DS61" s="321"/>
      <c r="DT61" s="321"/>
      <c r="DU61" s="321"/>
      <c r="DV61" s="321"/>
      <c r="DW61" s="321"/>
      <c r="DX61" s="321"/>
      <c r="DY61" s="321"/>
      <c r="DZ61" s="321"/>
      <c r="EA61" s="321"/>
      <c r="EB61" s="321"/>
      <c r="EC61" s="321"/>
      <c r="ED61" s="321"/>
      <c r="EE61" s="321"/>
      <c r="EF61" s="321"/>
      <c r="EG61" s="321"/>
      <c r="EH61" s="321"/>
      <c r="EI61" s="321"/>
      <c r="EJ61" s="321"/>
      <c r="EK61" s="321"/>
      <c r="EL61" s="321"/>
      <c r="EM61" s="321"/>
      <c r="EN61" s="321"/>
      <c r="EO61" s="321"/>
      <c r="EP61" s="321"/>
      <c r="EQ61" s="321"/>
      <c r="ER61" s="321"/>
      <c r="ES61" s="321"/>
      <c r="ET61" s="321"/>
      <c r="EU61" s="321"/>
      <c r="EV61" s="321"/>
      <c r="EW61" s="321"/>
      <c r="EX61" s="321"/>
      <c r="EY61" s="321"/>
      <c r="EZ61" s="321"/>
      <c r="FA61" s="321"/>
      <c r="FB61" s="321"/>
      <c r="FC61" s="321"/>
      <c r="FD61" s="321"/>
      <c r="FE61" s="321"/>
      <c r="FF61" s="321"/>
      <c r="FG61" s="321"/>
      <c r="FH61" s="321"/>
      <c r="FI61" s="321"/>
      <c r="FJ61" s="321"/>
      <c r="FK61" s="321"/>
      <c r="FL61" s="321"/>
      <c r="FM61" s="321"/>
      <c r="FN61" s="321"/>
      <c r="FO61" s="321"/>
      <c r="FP61" s="321"/>
      <c r="FQ61" s="321"/>
      <c r="FR61" s="321"/>
      <c r="FS61" s="321"/>
      <c r="FT61" s="321"/>
      <c r="FU61" s="321"/>
      <c r="FV61" s="321"/>
      <c r="FW61" s="321"/>
      <c r="FX61" s="321"/>
      <c r="FY61" s="321"/>
      <c r="FZ61" s="321"/>
      <c r="GA61" s="321"/>
      <c r="GB61" s="321"/>
      <c r="GC61" s="321"/>
      <c r="GD61" s="321"/>
      <c r="GE61" s="321"/>
      <c r="GF61" s="321"/>
      <c r="GG61" s="321"/>
      <c r="GH61" s="321"/>
      <c r="GI61" s="321"/>
      <c r="GJ61" s="321"/>
      <c r="GK61" s="321"/>
      <c r="GL61" s="321"/>
      <c r="GM61" s="321"/>
      <c r="GN61" s="321"/>
      <c r="GO61" s="321"/>
      <c r="GP61" s="321"/>
      <c r="GQ61" s="321"/>
      <c r="GR61" s="321"/>
      <c r="GS61" s="321"/>
      <c r="GT61" s="321"/>
      <c r="GU61" s="321"/>
      <c r="GV61" s="321"/>
      <c r="GW61" s="321"/>
      <c r="GX61" s="321"/>
      <c r="GY61" s="321"/>
      <c r="GZ61" s="321"/>
      <c r="HA61" s="321"/>
      <c r="HB61" s="321"/>
      <c r="HC61" s="321"/>
      <c r="HD61" s="321"/>
      <c r="HE61" s="321"/>
      <c r="HF61" s="321"/>
      <c r="HG61" s="321"/>
      <c r="HH61" s="321"/>
      <c r="HI61" s="321"/>
      <c r="HJ61" s="321"/>
      <c r="HK61" s="321"/>
      <c r="HL61" s="321"/>
      <c r="HM61" s="321"/>
      <c r="HN61" s="321"/>
      <c r="HO61" s="321"/>
      <c r="HP61" s="321"/>
      <c r="HQ61" s="321"/>
      <c r="HR61" s="321"/>
      <c r="HS61" s="321"/>
      <c r="HT61" s="321"/>
      <c r="HU61" s="321"/>
      <c r="HV61" s="321"/>
      <c r="HW61" s="321"/>
      <c r="HX61" s="321"/>
      <c r="HY61" s="321"/>
      <c r="HZ61" s="321"/>
      <c r="IA61" s="321"/>
      <c r="IB61" s="321"/>
      <c r="IC61" s="321"/>
      <c r="ID61" s="321"/>
      <c r="IE61" s="321"/>
      <c r="IF61" s="321"/>
      <c r="IG61" s="321"/>
      <c r="IH61" s="321"/>
      <c r="II61" s="321"/>
      <c r="IJ61" s="321"/>
      <c r="IK61" s="321"/>
      <c r="IL61" s="321"/>
      <c r="IM61" s="321"/>
      <c r="IN61" s="321"/>
      <c r="IO61" s="321"/>
      <c r="IP61" s="321"/>
      <c r="IQ61" s="321"/>
      <c r="IR61" s="321"/>
      <c r="IS61" s="321"/>
      <c r="IT61" s="321"/>
      <c r="IU61" s="321"/>
      <c r="IV61" s="321"/>
    </row>
    <row r="62" spans="1:256" s="546" customFormat="1" ht="18" customHeight="1">
      <c r="A62" s="561">
        <v>53</v>
      </c>
      <c r="B62" s="554"/>
      <c r="C62" s="322"/>
      <c r="D62" s="987" t="s">
        <v>1036</v>
      </c>
      <c r="E62" s="330"/>
      <c r="F62" s="550"/>
      <c r="G62" s="331"/>
      <c r="H62" s="762"/>
      <c r="I62" s="758"/>
      <c r="J62" s="547"/>
      <c r="K62" s="1266">
        <v>1549</v>
      </c>
      <c r="L62" s="1266"/>
      <c r="M62" s="1266">
        <v>2433</v>
      </c>
      <c r="N62" s="547"/>
      <c r="O62" s="1175">
        <f>SUM(I62:N62)</f>
        <v>3982</v>
      </c>
      <c r="P62" s="55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1"/>
      <c r="AP62" s="321"/>
      <c r="AQ62" s="321"/>
      <c r="AR62" s="321"/>
      <c r="AS62" s="321"/>
      <c r="AT62" s="321"/>
      <c r="AU62" s="321"/>
      <c r="AV62" s="321"/>
      <c r="AW62" s="321"/>
      <c r="AX62" s="321"/>
      <c r="AY62" s="321"/>
      <c r="AZ62" s="321"/>
      <c r="BA62" s="321"/>
      <c r="BB62" s="321"/>
      <c r="BC62" s="321"/>
      <c r="BD62" s="321"/>
      <c r="BE62" s="321"/>
      <c r="BF62" s="321"/>
      <c r="BG62" s="321"/>
      <c r="BH62" s="321"/>
      <c r="BI62" s="321"/>
      <c r="BJ62" s="321"/>
      <c r="BK62" s="321"/>
      <c r="BL62" s="321"/>
      <c r="BM62" s="321"/>
      <c r="BN62" s="321"/>
      <c r="BO62" s="321"/>
      <c r="BP62" s="321"/>
      <c r="BQ62" s="321"/>
      <c r="BR62" s="321"/>
      <c r="BS62" s="321"/>
      <c r="BT62" s="321"/>
      <c r="BU62" s="321"/>
      <c r="BV62" s="321"/>
      <c r="BW62" s="321"/>
      <c r="BX62" s="321"/>
      <c r="BY62" s="321"/>
      <c r="BZ62" s="321"/>
      <c r="CA62" s="321"/>
      <c r="CB62" s="321"/>
      <c r="CC62" s="321"/>
      <c r="CD62" s="321"/>
      <c r="CE62" s="321"/>
      <c r="CF62" s="321"/>
      <c r="CG62" s="321"/>
      <c r="CH62" s="321"/>
      <c r="CI62" s="321"/>
      <c r="CJ62" s="321"/>
      <c r="CK62" s="321"/>
      <c r="CL62" s="321"/>
      <c r="CM62" s="321"/>
      <c r="CN62" s="321"/>
      <c r="CO62" s="321"/>
      <c r="CP62" s="321"/>
      <c r="CQ62" s="321"/>
      <c r="CR62" s="321"/>
      <c r="CS62" s="321"/>
      <c r="CT62" s="321"/>
      <c r="CU62" s="321"/>
      <c r="CV62" s="321"/>
      <c r="CW62" s="321"/>
      <c r="CX62" s="321"/>
      <c r="CY62" s="321"/>
      <c r="CZ62" s="321"/>
      <c r="DA62" s="321"/>
      <c r="DB62" s="321"/>
      <c r="DC62" s="321"/>
      <c r="DD62" s="321"/>
      <c r="DE62" s="321"/>
      <c r="DF62" s="321"/>
      <c r="DG62" s="321"/>
      <c r="DH62" s="321"/>
      <c r="DI62" s="321"/>
      <c r="DJ62" s="321"/>
      <c r="DK62" s="321"/>
      <c r="DL62" s="321"/>
      <c r="DM62" s="321"/>
      <c r="DN62" s="321"/>
      <c r="DO62" s="321"/>
      <c r="DP62" s="321"/>
      <c r="DQ62" s="321"/>
      <c r="DR62" s="321"/>
      <c r="DS62" s="321"/>
      <c r="DT62" s="321"/>
      <c r="DU62" s="321"/>
      <c r="DV62" s="321"/>
      <c r="DW62" s="321"/>
      <c r="DX62" s="321"/>
      <c r="DY62" s="321"/>
      <c r="DZ62" s="321"/>
      <c r="EA62" s="321"/>
      <c r="EB62" s="321"/>
      <c r="EC62" s="321"/>
      <c r="ED62" s="321"/>
      <c r="EE62" s="321"/>
      <c r="EF62" s="321"/>
      <c r="EG62" s="321"/>
      <c r="EH62" s="321"/>
      <c r="EI62" s="321"/>
      <c r="EJ62" s="321"/>
      <c r="EK62" s="321"/>
      <c r="EL62" s="321"/>
      <c r="EM62" s="321"/>
      <c r="EN62" s="321"/>
      <c r="EO62" s="321"/>
      <c r="EP62" s="321"/>
      <c r="EQ62" s="321"/>
      <c r="ER62" s="321"/>
      <c r="ES62" s="321"/>
      <c r="ET62" s="321"/>
      <c r="EU62" s="321"/>
      <c r="EV62" s="321"/>
      <c r="EW62" s="321"/>
      <c r="EX62" s="321"/>
      <c r="EY62" s="321"/>
      <c r="EZ62" s="321"/>
      <c r="FA62" s="321"/>
      <c r="FB62" s="321"/>
      <c r="FC62" s="321"/>
      <c r="FD62" s="321"/>
      <c r="FE62" s="321"/>
      <c r="FF62" s="321"/>
      <c r="FG62" s="321"/>
      <c r="FH62" s="321"/>
      <c r="FI62" s="321"/>
      <c r="FJ62" s="321"/>
      <c r="FK62" s="321"/>
      <c r="FL62" s="321"/>
      <c r="FM62" s="321"/>
      <c r="FN62" s="321"/>
      <c r="FO62" s="321"/>
      <c r="FP62" s="321"/>
      <c r="FQ62" s="321"/>
      <c r="FR62" s="321"/>
      <c r="FS62" s="321"/>
      <c r="FT62" s="321"/>
      <c r="FU62" s="321"/>
      <c r="FV62" s="321"/>
      <c r="FW62" s="321"/>
      <c r="FX62" s="321"/>
      <c r="FY62" s="321"/>
      <c r="FZ62" s="321"/>
      <c r="GA62" s="321"/>
      <c r="GB62" s="321"/>
      <c r="GC62" s="321"/>
      <c r="GD62" s="321"/>
      <c r="GE62" s="321"/>
      <c r="GF62" s="321"/>
      <c r="GG62" s="321"/>
      <c r="GH62" s="321"/>
      <c r="GI62" s="321"/>
      <c r="GJ62" s="321"/>
      <c r="GK62" s="321"/>
      <c r="GL62" s="321"/>
      <c r="GM62" s="321"/>
      <c r="GN62" s="321"/>
      <c r="GO62" s="321"/>
      <c r="GP62" s="321"/>
      <c r="GQ62" s="321"/>
      <c r="GR62" s="321"/>
      <c r="GS62" s="321"/>
      <c r="GT62" s="321"/>
      <c r="GU62" s="321"/>
      <c r="GV62" s="321"/>
      <c r="GW62" s="321"/>
      <c r="GX62" s="321"/>
      <c r="GY62" s="321"/>
      <c r="GZ62" s="321"/>
      <c r="HA62" s="321"/>
      <c r="HB62" s="321"/>
      <c r="HC62" s="321"/>
      <c r="HD62" s="321"/>
      <c r="HE62" s="321"/>
      <c r="HF62" s="321"/>
      <c r="HG62" s="321"/>
      <c r="HH62" s="321"/>
      <c r="HI62" s="321"/>
      <c r="HJ62" s="321"/>
      <c r="HK62" s="321"/>
      <c r="HL62" s="321"/>
      <c r="HM62" s="321"/>
      <c r="HN62" s="321"/>
      <c r="HO62" s="321"/>
      <c r="HP62" s="321"/>
      <c r="HQ62" s="321"/>
      <c r="HR62" s="321"/>
      <c r="HS62" s="321"/>
      <c r="HT62" s="321"/>
      <c r="HU62" s="321"/>
      <c r="HV62" s="321"/>
      <c r="HW62" s="321"/>
      <c r="HX62" s="321"/>
      <c r="HY62" s="321"/>
      <c r="HZ62" s="321"/>
      <c r="IA62" s="321"/>
      <c r="IB62" s="321"/>
      <c r="IC62" s="321"/>
      <c r="ID62" s="321"/>
      <c r="IE62" s="321"/>
      <c r="IF62" s="321"/>
      <c r="IG62" s="321"/>
      <c r="IH62" s="321"/>
      <c r="II62" s="321"/>
      <c r="IJ62" s="321"/>
      <c r="IK62" s="321"/>
      <c r="IL62" s="321"/>
      <c r="IM62" s="321"/>
      <c r="IN62" s="321"/>
      <c r="IO62" s="321"/>
      <c r="IP62" s="321"/>
      <c r="IQ62" s="321"/>
      <c r="IR62" s="321"/>
      <c r="IS62" s="321"/>
      <c r="IT62" s="321"/>
      <c r="IU62" s="321"/>
      <c r="IV62" s="321"/>
    </row>
    <row r="63" spans="1:256" s="546" customFormat="1" ht="49.5">
      <c r="A63" s="561">
        <v>54</v>
      </c>
      <c r="B63" s="554"/>
      <c r="C63" s="322">
        <v>14</v>
      </c>
      <c r="D63" s="324" t="s">
        <v>418</v>
      </c>
      <c r="E63" s="330"/>
      <c r="F63" s="550"/>
      <c r="G63" s="331"/>
      <c r="H63" s="784" t="s">
        <v>24</v>
      </c>
      <c r="I63" s="777"/>
      <c r="J63" s="773"/>
      <c r="K63" s="773"/>
      <c r="L63" s="773"/>
      <c r="M63" s="773"/>
      <c r="N63" s="773"/>
      <c r="O63" s="745"/>
      <c r="P63" s="55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321"/>
      <c r="AY63" s="321"/>
      <c r="AZ63" s="321"/>
      <c r="BA63" s="321"/>
      <c r="BB63" s="321"/>
      <c r="BC63" s="321"/>
      <c r="BD63" s="321"/>
      <c r="BE63" s="321"/>
      <c r="BF63" s="321"/>
      <c r="BG63" s="321"/>
      <c r="BH63" s="321"/>
      <c r="BI63" s="321"/>
      <c r="BJ63" s="321"/>
      <c r="BK63" s="321"/>
      <c r="BL63" s="321"/>
      <c r="BM63" s="321"/>
      <c r="BN63" s="321"/>
      <c r="BO63" s="321"/>
      <c r="BP63" s="321"/>
      <c r="BQ63" s="321"/>
      <c r="BR63" s="321"/>
      <c r="BS63" s="321"/>
      <c r="BT63" s="321"/>
      <c r="BU63" s="321"/>
      <c r="BV63" s="321"/>
      <c r="BW63" s="321"/>
      <c r="BX63" s="321"/>
      <c r="BY63" s="321"/>
      <c r="BZ63" s="321"/>
      <c r="CA63" s="321"/>
      <c r="CB63" s="321"/>
      <c r="CC63" s="321"/>
      <c r="CD63" s="321"/>
      <c r="CE63" s="321"/>
      <c r="CF63" s="321"/>
      <c r="CG63" s="321"/>
      <c r="CH63" s="321"/>
      <c r="CI63" s="321"/>
      <c r="CJ63" s="321"/>
      <c r="CK63" s="321"/>
      <c r="CL63" s="321"/>
      <c r="CM63" s="321"/>
      <c r="CN63" s="321"/>
      <c r="CO63" s="321"/>
      <c r="CP63" s="321"/>
      <c r="CQ63" s="321"/>
      <c r="CR63" s="321"/>
      <c r="CS63" s="321"/>
      <c r="CT63" s="321"/>
      <c r="CU63" s="321"/>
      <c r="CV63" s="321"/>
      <c r="CW63" s="321"/>
      <c r="CX63" s="321"/>
      <c r="CY63" s="321"/>
      <c r="CZ63" s="321"/>
      <c r="DA63" s="321"/>
      <c r="DB63" s="321"/>
      <c r="DC63" s="321"/>
      <c r="DD63" s="321"/>
      <c r="DE63" s="321"/>
      <c r="DF63" s="321"/>
      <c r="DG63" s="321"/>
      <c r="DH63" s="321"/>
      <c r="DI63" s="321"/>
      <c r="DJ63" s="321"/>
      <c r="DK63" s="321"/>
      <c r="DL63" s="321"/>
      <c r="DM63" s="321"/>
      <c r="DN63" s="321"/>
      <c r="DO63" s="321"/>
      <c r="DP63" s="321"/>
      <c r="DQ63" s="321"/>
      <c r="DR63" s="321"/>
      <c r="DS63" s="321"/>
      <c r="DT63" s="321"/>
      <c r="DU63" s="321"/>
      <c r="DV63" s="321"/>
      <c r="DW63" s="321"/>
      <c r="DX63" s="321"/>
      <c r="DY63" s="321"/>
      <c r="DZ63" s="321"/>
      <c r="EA63" s="321"/>
      <c r="EB63" s="321"/>
      <c r="EC63" s="321"/>
      <c r="ED63" s="321"/>
      <c r="EE63" s="321"/>
      <c r="EF63" s="321"/>
      <c r="EG63" s="321"/>
      <c r="EH63" s="321"/>
      <c r="EI63" s="321"/>
      <c r="EJ63" s="321"/>
      <c r="EK63" s="321"/>
      <c r="EL63" s="321"/>
      <c r="EM63" s="321"/>
      <c r="EN63" s="321"/>
      <c r="EO63" s="321"/>
      <c r="EP63" s="321"/>
      <c r="EQ63" s="321"/>
      <c r="ER63" s="321"/>
      <c r="ES63" s="321"/>
      <c r="ET63" s="321"/>
      <c r="EU63" s="321"/>
      <c r="EV63" s="321"/>
      <c r="EW63" s="321"/>
      <c r="EX63" s="321"/>
      <c r="EY63" s="321"/>
      <c r="EZ63" s="321"/>
      <c r="FA63" s="321"/>
      <c r="FB63" s="321"/>
      <c r="FC63" s="321"/>
      <c r="FD63" s="321"/>
      <c r="FE63" s="321"/>
      <c r="FF63" s="321"/>
      <c r="FG63" s="321"/>
      <c r="FH63" s="321"/>
      <c r="FI63" s="321"/>
      <c r="FJ63" s="321"/>
      <c r="FK63" s="321"/>
      <c r="FL63" s="321"/>
      <c r="FM63" s="321"/>
      <c r="FN63" s="321"/>
      <c r="FO63" s="321"/>
      <c r="FP63" s="321"/>
      <c r="FQ63" s="321"/>
      <c r="FR63" s="321"/>
      <c r="FS63" s="321"/>
      <c r="FT63" s="321"/>
      <c r="FU63" s="321"/>
      <c r="FV63" s="321"/>
      <c r="FW63" s="321"/>
      <c r="FX63" s="321"/>
      <c r="FY63" s="321"/>
      <c r="FZ63" s="321"/>
      <c r="GA63" s="321"/>
      <c r="GB63" s="321"/>
      <c r="GC63" s="321"/>
      <c r="GD63" s="321"/>
      <c r="GE63" s="321"/>
      <c r="GF63" s="321"/>
      <c r="GG63" s="321"/>
      <c r="GH63" s="321"/>
      <c r="GI63" s="321"/>
      <c r="GJ63" s="321"/>
      <c r="GK63" s="321"/>
      <c r="GL63" s="321"/>
      <c r="GM63" s="321"/>
      <c r="GN63" s="321"/>
      <c r="GO63" s="321"/>
      <c r="GP63" s="321"/>
      <c r="GQ63" s="321"/>
      <c r="GR63" s="321"/>
      <c r="GS63" s="321"/>
      <c r="GT63" s="321"/>
      <c r="GU63" s="321"/>
      <c r="GV63" s="321"/>
      <c r="GW63" s="321"/>
      <c r="GX63" s="321"/>
      <c r="GY63" s="321"/>
      <c r="GZ63" s="321"/>
      <c r="HA63" s="321"/>
      <c r="HB63" s="321"/>
      <c r="HC63" s="321"/>
      <c r="HD63" s="321"/>
      <c r="HE63" s="321"/>
      <c r="HF63" s="321"/>
      <c r="HG63" s="321"/>
      <c r="HH63" s="321"/>
      <c r="HI63" s="321"/>
      <c r="HJ63" s="321"/>
      <c r="HK63" s="321"/>
      <c r="HL63" s="321"/>
      <c r="HM63" s="321"/>
      <c r="HN63" s="321"/>
      <c r="HO63" s="321"/>
      <c r="HP63" s="321"/>
      <c r="HQ63" s="321"/>
      <c r="HR63" s="321"/>
      <c r="HS63" s="321"/>
      <c r="HT63" s="321"/>
      <c r="HU63" s="321"/>
      <c r="HV63" s="321"/>
      <c r="HW63" s="321"/>
      <c r="HX63" s="321"/>
      <c r="HY63" s="321"/>
      <c r="HZ63" s="321"/>
      <c r="IA63" s="321"/>
      <c r="IB63" s="321"/>
      <c r="IC63" s="321"/>
      <c r="ID63" s="321"/>
      <c r="IE63" s="321"/>
      <c r="IF63" s="321"/>
      <c r="IG63" s="321"/>
      <c r="IH63" s="321"/>
      <c r="II63" s="321"/>
      <c r="IJ63" s="321"/>
      <c r="IK63" s="321"/>
      <c r="IL63" s="321"/>
      <c r="IM63" s="321"/>
      <c r="IN63" s="321"/>
      <c r="IO63" s="321"/>
      <c r="IP63" s="321"/>
      <c r="IQ63" s="321"/>
      <c r="IR63" s="321"/>
      <c r="IS63" s="321"/>
      <c r="IT63" s="321"/>
      <c r="IU63" s="321"/>
      <c r="IV63" s="321"/>
    </row>
    <row r="64" spans="1:256" s="546" customFormat="1" ht="18" customHeight="1">
      <c r="A64" s="561">
        <v>55</v>
      </c>
      <c r="B64" s="554"/>
      <c r="C64" s="322"/>
      <c r="D64" s="755" t="s">
        <v>303</v>
      </c>
      <c r="E64" s="330">
        <f>F64+G64+O65+P64</f>
        <v>1147594</v>
      </c>
      <c r="F64" s="550">
        <f>25062+32060+393153</f>
        <v>450275</v>
      </c>
      <c r="G64" s="331">
        <f>682686+5740+11</f>
        <v>688437</v>
      </c>
      <c r="H64" s="762"/>
      <c r="I64" s="777"/>
      <c r="J64" s="773"/>
      <c r="K64" s="773">
        <v>8968</v>
      </c>
      <c r="L64" s="773"/>
      <c r="M64" s="773"/>
      <c r="N64" s="773"/>
      <c r="O64" s="745">
        <f>SUM(I64:N64)</f>
        <v>8968</v>
      </c>
      <c r="P64" s="55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1"/>
      <c r="AY64" s="321"/>
      <c r="AZ64" s="321"/>
      <c r="BA64" s="321"/>
      <c r="BB64" s="321"/>
      <c r="BC64" s="321"/>
      <c r="BD64" s="321"/>
      <c r="BE64" s="321"/>
      <c r="BF64" s="321"/>
      <c r="BG64" s="321"/>
      <c r="BH64" s="321"/>
      <c r="BI64" s="321"/>
      <c r="BJ64" s="321"/>
      <c r="BK64" s="321"/>
      <c r="BL64" s="321"/>
      <c r="BM64" s="321"/>
      <c r="BN64" s="321"/>
      <c r="BO64" s="321"/>
      <c r="BP64" s="321"/>
      <c r="BQ64" s="321"/>
      <c r="BR64" s="321"/>
      <c r="BS64" s="321"/>
      <c r="BT64" s="321"/>
      <c r="BU64" s="321"/>
      <c r="BV64" s="321"/>
      <c r="BW64" s="321"/>
      <c r="BX64" s="321"/>
      <c r="BY64" s="321"/>
      <c r="BZ64" s="321"/>
      <c r="CA64" s="321"/>
      <c r="CB64" s="321"/>
      <c r="CC64" s="321"/>
      <c r="CD64" s="321"/>
      <c r="CE64" s="321"/>
      <c r="CF64" s="321"/>
      <c r="CG64" s="321"/>
      <c r="CH64" s="321"/>
      <c r="CI64" s="321"/>
      <c r="CJ64" s="321"/>
      <c r="CK64" s="321"/>
      <c r="CL64" s="321"/>
      <c r="CM64" s="321"/>
      <c r="CN64" s="321"/>
      <c r="CO64" s="321"/>
      <c r="CP64" s="321"/>
      <c r="CQ64" s="321"/>
      <c r="CR64" s="321"/>
      <c r="CS64" s="321"/>
      <c r="CT64" s="321"/>
      <c r="CU64" s="321"/>
      <c r="CV64" s="321"/>
      <c r="CW64" s="321"/>
      <c r="CX64" s="321"/>
      <c r="CY64" s="321"/>
      <c r="CZ64" s="321"/>
      <c r="DA64" s="321"/>
      <c r="DB64" s="321"/>
      <c r="DC64" s="321"/>
      <c r="DD64" s="321"/>
      <c r="DE64" s="321"/>
      <c r="DF64" s="321"/>
      <c r="DG64" s="321"/>
      <c r="DH64" s="321"/>
      <c r="DI64" s="321"/>
      <c r="DJ64" s="321"/>
      <c r="DK64" s="321"/>
      <c r="DL64" s="321"/>
      <c r="DM64" s="321"/>
      <c r="DN64" s="321"/>
      <c r="DO64" s="321"/>
      <c r="DP64" s="321"/>
      <c r="DQ64" s="321"/>
      <c r="DR64" s="321"/>
      <c r="DS64" s="321"/>
      <c r="DT64" s="321"/>
      <c r="DU64" s="321"/>
      <c r="DV64" s="321"/>
      <c r="DW64" s="321"/>
      <c r="DX64" s="321"/>
      <c r="DY64" s="321"/>
      <c r="DZ64" s="321"/>
      <c r="EA64" s="321"/>
      <c r="EB64" s="321"/>
      <c r="EC64" s="321"/>
      <c r="ED64" s="321"/>
      <c r="EE64" s="321"/>
      <c r="EF64" s="321"/>
      <c r="EG64" s="321"/>
      <c r="EH64" s="321"/>
      <c r="EI64" s="321"/>
      <c r="EJ64" s="321"/>
      <c r="EK64" s="321"/>
      <c r="EL64" s="321"/>
      <c r="EM64" s="321"/>
      <c r="EN64" s="321"/>
      <c r="EO64" s="321"/>
      <c r="EP64" s="321"/>
      <c r="EQ64" s="321"/>
      <c r="ER64" s="321"/>
      <c r="ES64" s="321"/>
      <c r="ET64" s="321"/>
      <c r="EU64" s="321"/>
      <c r="EV64" s="321"/>
      <c r="EW64" s="321"/>
      <c r="EX64" s="321"/>
      <c r="EY64" s="321"/>
      <c r="EZ64" s="321"/>
      <c r="FA64" s="321"/>
      <c r="FB64" s="321"/>
      <c r="FC64" s="321"/>
      <c r="FD64" s="321"/>
      <c r="FE64" s="321"/>
      <c r="FF64" s="321"/>
      <c r="FG64" s="321"/>
      <c r="FH64" s="321"/>
      <c r="FI64" s="321"/>
      <c r="FJ64" s="321"/>
      <c r="FK64" s="321"/>
      <c r="FL64" s="321"/>
      <c r="FM64" s="321"/>
      <c r="FN64" s="321"/>
      <c r="FO64" s="321"/>
      <c r="FP64" s="321"/>
      <c r="FQ64" s="321"/>
      <c r="FR64" s="321"/>
      <c r="FS64" s="321"/>
      <c r="FT64" s="321"/>
      <c r="FU64" s="321"/>
      <c r="FV64" s="321"/>
      <c r="FW64" s="321"/>
      <c r="FX64" s="321"/>
      <c r="FY64" s="321"/>
      <c r="FZ64" s="321"/>
      <c r="GA64" s="321"/>
      <c r="GB64" s="321"/>
      <c r="GC64" s="321"/>
      <c r="GD64" s="321"/>
      <c r="GE64" s="321"/>
      <c r="GF64" s="321"/>
      <c r="GG64" s="321"/>
      <c r="GH64" s="321"/>
      <c r="GI64" s="321"/>
      <c r="GJ64" s="321"/>
      <c r="GK64" s="321"/>
      <c r="GL64" s="321"/>
      <c r="GM64" s="321"/>
      <c r="GN64" s="321"/>
      <c r="GO64" s="321"/>
      <c r="GP64" s="321"/>
      <c r="GQ64" s="321"/>
      <c r="GR64" s="321"/>
      <c r="GS64" s="321"/>
      <c r="GT64" s="321"/>
      <c r="GU64" s="321"/>
      <c r="GV64" s="321"/>
      <c r="GW64" s="321"/>
      <c r="GX64" s="321"/>
      <c r="GY64" s="321"/>
      <c r="GZ64" s="321"/>
      <c r="HA64" s="321"/>
      <c r="HB64" s="321"/>
      <c r="HC64" s="321"/>
      <c r="HD64" s="321"/>
      <c r="HE64" s="321"/>
      <c r="HF64" s="321"/>
      <c r="HG64" s="321"/>
      <c r="HH64" s="321"/>
      <c r="HI64" s="321"/>
      <c r="HJ64" s="321"/>
      <c r="HK64" s="321"/>
      <c r="HL64" s="321"/>
      <c r="HM64" s="321"/>
      <c r="HN64" s="321"/>
      <c r="HO64" s="321"/>
      <c r="HP64" s="321"/>
      <c r="HQ64" s="321"/>
      <c r="HR64" s="321"/>
      <c r="HS64" s="321"/>
      <c r="HT64" s="321"/>
      <c r="HU64" s="321"/>
      <c r="HV64" s="321"/>
      <c r="HW64" s="321"/>
      <c r="HX64" s="321"/>
      <c r="HY64" s="321"/>
      <c r="HZ64" s="321"/>
      <c r="IA64" s="321"/>
      <c r="IB64" s="321"/>
      <c r="IC64" s="321"/>
      <c r="ID64" s="321"/>
      <c r="IE64" s="321"/>
      <c r="IF64" s="321"/>
      <c r="IG64" s="321"/>
      <c r="IH64" s="321"/>
      <c r="II64" s="321"/>
      <c r="IJ64" s="321"/>
      <c r="IK64" s="321"/>
      <c r="IL64" s="321"/>
      <c r="IM64" s="321"/>
      <c r="IN64" s="321"/>
      <c r="IO64" s="321"/>
      <c r="IP64" s="321"/>
      <c r="IQ64" s="321"/>
      <c r="IR64" s="321"/>
      <c r="IS64" s="321"/>
      <c r="IT64" s="321"/>
      <c r="IU64" s="321"/>
      <c r="IV64" s="321"/>
    </row>
    <row r="65" spans="1:256" s="546" customFormat="1" ht="18" customHeight="1">
      <c r="A65" s="561">
        <v>56</v>
      </c>
      <c r="B65" s="554"/>
      <c r="C65" s="322"/>
      <c r="D65" s="436" t="s">
        <v>994</v>
      </c>
      <c r="E65" s="330"/>
      <c r="F65" s="550"/>
      <c r="G65" s="331"/>
      <c r="H65" s="762"/>
      <c r="I65" s="777"/>
      <c r="J65" s="773"/>
      <c r="K65" s="547">
        <v>8882</v>
      </c>
      <c r="L65" s="773"/>
      <c r="M65" s="773"/>
      <c r="N65" s="773"/>
      <c r="O65" s="555">
        <f>SUM(I65:N65)</f>
        <v>8882</v>
      </c>
      <c r="P65" s="551"/>
      <c r="Q65" s="321"/>
      <c r="R65" s="321"/>
      <c r="S65" s="321"/>
      <c r="T65" s="321"/>
      <c r="U65" s="321"/>
      <c r="V65" s="321"/>
      <c r="W65" s="321"/>
      <c r="X65" s="321"/>
      <c r="Y65" s="321"/>
      <c r="Z65" s="321"/>
      <c r="AA65" s="321"/>
      <c r="AB65" s="321"/>
      <c r="AC65" s="321"/>
      <c r="AD65" s="321"/>
      <c r="AE65" s="321"/>
      <c r="AF65" s="321"/>
      <c r="AG65" s="321"/>
      <c r="AH65" s="321"/>
      <c r="AI65" s="321"/>
      <c r="AJ65" s="321"/>
      <c r="AK65" s="321"/>
      <c r="AL65" s="321"/>
      <c r="AM65" s="321"/>
      <c r="AN65" s="321"/>
      <c r="AO65" s="321"/>
      <c r="AP65" s="321"/>
      <c r="AQ65" s="321"/>
      <c r="AR65" s="321"/>
      <c r="AS65" s="321"/>
      <c r="AT65" s="321"/>
      <c r="AU65" s="321"/>
      <c r="AV65" s="321"/>
      <c r="AW65" s="321"/>
      <c r="AX65" s="321"/>
      <c r="AY65" s="321"/>
      <c r="AZ65" s="321"/>
      <c r="BA65" s="321"/>
      <c r="BB65" s="321"/>
      <c r="BC65" s="321"/>
      <c r="BD65" s="321"/>
      <c r="BE65" s="321"/>
      <c r="BF65" s="321"/>
      <c r="BG65" s="321"/>
      <c r="BH65" s="321"/>
      <c r="BI65" s="321"/>
      <c r="BJ65" s="321"/>
      <c r="BK65" s="321"/>
      <c r="BL65" s="321"/>
      <c r="BM65" s="321"/>
      <c r="BN65" s="321"/>
      <c r="BO65" s="321"/>
      <c r="BP65" s="321"/>
      <c r="BQ65" s="321"/>
      <c r="BR65" s="321"/>
      <c r="BS65" s="321"/>
      <c r="BT65" s="321"/>
      <c r="BU65" s="321"/>
      <c r="BV65" s="321"/>
      <c r="BW65" s="321"/>
      <c r="BX65" s="321"/>
      <c r="BY65" s="321"/>
      <c r="BZ65" s="321"/>
      <c r="CA65" s="321"/>
      <c r="CB65" s="321"/>
      <c r="CC65" s="321"/>
      <c r="CD65" s="321"/>
      <c r="CE65" s="321"/>
      <c r="CF65" s="321"/>
      <c r="CG65" s="321"/>
      <c r="CH65" s="321"/>
      <c r="CI65" s="321"/>
      <c r="CJ65" s="321"/>
      <c r="CK65" s="321"/>
      <c r="CL65" s="321"/>
      <c r="CM65" s="321"/>
      <c r="CN65" s="321"/>
      <c r="CO65" s="321"/>
      <c r="CP65" s="321"/>
      <c r="CQ65" s="321"/>
      <c r="CR65" s="321"/>
      <c r="CS65" s="321"/>
      <c r="CT65" s="321"/>
      <c r="CU65" s="321"/>
      <c r="CV65" s="321"/>
      <c r="CW65" s="321"/>
      <c r="CX65" s="321"/>
      <c r="CY65" s="321"/>
      <c r="CZ65" s="321"/>
      <c r="DA65" s="321"/>
      <c r="DB65" s="321"/>
      <c r="DC65" s="321"/>
      <c r="DD65" s="321"/>
      <c r="DE65" s="321"/>
      <c r="DF65" s="321"/>
      <c r="DG65" s="321"/>
      <c r="DH65" s="321"/>
      <c r="DI65" s="321"/>
      <c r="DJ65" s="321"/>
      <c r="DK65" s="321"/>
      <c r="DL65" s="321"/>
      <c r="DM65" s="321"/>
      <c r="DN65" s="321"/>
      <c r="DO65" s="321"/>
      <c r="DP65" s="321"/>
      <c r="DQ65" s="321"/>
      <c r="DR65" s="321"/>
      <c r="DS65" s="321"/>
      <c r="DT65" s="321"/>
      <c r="DU65" s="321"/>
      <c r="DV65" s="321"/>
      <c r="DW65" s="321"/>
      <c r="DX65" s="321"/>
      <c r="DY65" s="321"/>
      <c r="DZ65" s="321"/>
      <c r="EA65" s="321"/>
      <c r="EB65" s="321"/>
      <c r="EC65" s="321"/>
      <c r="ED65" s="321"/>
      <c r="EE65" s="321"/>
      <c r="EF65" s="321"/>
      <c r="EG65" s="321"/>
      <c r="EH65" s="321"/>
      <c r="EI65" s="321"/>
      <c r="EJ65" s="321"/>
      <c r="EK65" s="321"/>
      <c r="EL65" s="321"/>
      <c r="EM65" s="321"/>
      <c r="EN65" s="321"/>
      <c r="EO65" s="321"/>
      <c r="EP65" s="321"/>
      <c r="EQ65" s="321"/>
      <c r="ER65" s="321"/>
      <c r="ES65" s="321"/>
      <c r="ET65" s="321"/>
      <c r="EU65" s="321"/>
      <c r="EV65" s="321"/>
      <c r="EW65" s="321"/>
      <c r="EX65" s="321"/>
      <c r="EY65" s="321"/>
      <c r="EZ65" s="321"/>
      <c r="FA65" s="321"/>
      <c r="FB65" s="321"/>
      <c r="FC65" s="321"/>
      <c r="FD65" s="321"/>
      <c r="FE65" s="321"/>
      <c r="FF65" s="321"/>
      <c r="FG65" s="321"/>
      <c r="FH65" s="321"/>
      <c r="FI65" s="321"/>
      <c r="FJ65" s="321"/>
      <c r="FK65" s="321"/>
      <c r="FL65" s="321"/>
      <c r="FM65" s="321"/>
      <c r="FN65" s="321"/>
      <c r="FO65" s="321"/>
      <c r="FP65" s="321"/>
      <c r="FQ65" s="321"/>
      <c r="FR65" s="321"/>
      <c r="FS65" s="321"/>
      <c r="FT65" s="321"/>
      <c r="FU65" s="321"/>
      <c r="FV65" s="321"/>
      <c r="FW65" s="321"/>
      <c r="FX65" s="321"/>
      <c r="FY65" s="321"/>
      <c r="FZ65" s="321"/>
      <c r="GA65" s="321"/>
      <c r="GB65" s="321"/>
      <c r="GC65" s="321"/>
      <c r="GD65" s="321"/>
      <c r="GE65" s="321"/>
      <c r="GF65" s="321"/>
      <c r="GG65" s="321"/>
      <c r="GH65" s="321"/>
      <c r="GI65" s="321"/>
      <c r="GJ65" s="321"/>
      <c r="GK65" s="321"/>
      <c r="GL65" s="321"/>
      <c r="GM65" s="321"/>
      <c r="GN65" s="321"/>
      <c r="GO65" s="321"/>
      <c r="GP65" s="321"/>
      <c r="GQ65" s="321"/>
      <c r="GR65" s="321"/>
      <c r="GS65" s="321"/>
      <c r="GT65" s="321"/>
      <c r="GU65" s="321"/>
      <c r="GV65" s="321"/>
      <c r="GW65" s="321"/>
      <c r="GX65" s="321"/>
      <c r="GY65" s="321"/>
      <c r="GZ65" s="321"/>
      <c r="HA65" s="321"/>
      <c r="HB65" s="321"/>
      <c r="HC65" s="321"/>
      <c r="HD65" s="321"/>
      <c r="HE65" s="321"/>
      <c r="HF65" s="321"/>
      <c r="HG65" s="321"/>
      <c r="HH65" s="321"/>
      <c r="HI65" s="321"/>
      <c r="HJ65" s="321"/>
      <c r="HK65" s="321"/>
      <c r="HL65" s="321"/>
      <c r="HM65" s="321"/>
      <c r="HN65" s="321"/>
      <c r="HO65" s="321"/>
      <c r="HP65" s="321"/>
      <c r="HQ65" s="321"/>
      <c r="HR65" s="321"/>
      <c r="HS65" s="321"/>
      <c r="HT65" s="321"/>
      <c r="HU65" s="321"/>
      <c r="HV65" s="321"/>
      <c r="HW65" s="321"/>
      <c r="HX65" s="321"/>
      <c r="HY65" s="321"/>
      <c r="HZ65" s="321"/>
      <c r="IA65" s="321"/>
      <c r="IB65" s="321"/>
      <c r="IC65" s="321"/>
      <c r="ID65" s="321"/>
      <c r="IE65" s="321"/>
      <c r="IF65" s="321"/>
      <c r="IG65" s="321"/>
      <c r="IH65" s="321"/>
      <c r="II65" s="321"/>
      <c r="IJ65" s="321"/>
      <c r="IK65" s="321"/>
      <c r="IL65" s="321"/>
      <c r="IM65" s="321"/>
      <c r="IN65" s="321"/>
      <c r="IO65" s="321"/>
      <c r="IP65" s="321"/>
      <c r="IQ65" s="321"/>
      <c r="IR65" s="321"/>
      <c r="IS65" s="321"/>
      <c r="IT65" s="321"/>
      <c r="IU65" s="321"/>
      <c r="IV65" s="321"/>
    </row>
    <row r="66" spans="1:256" s="546" customFormat="1" ht="18" customHeight="1">
      <c r="A66" s="561">
        <v>57</v>
      </c>
      <c r="B66" s="554"/>
      <c r="C66" s="322"/>
      <c r="D66" s="987" t="s">
        <v>1040</v>
      </c>
      <c r="E66" s="330"/>
      <c r="F66" s="550"/>
      <c r="G66" s="331"/>
      <c r="H66" s="762"/>
      <c r="I66" s="758"/>
      <c r="J66" s="547"/>
      <c r="K66" s="1266">
        <v>260</v>
      </c>
      <c r="L66" s="547"/>
      <c r="M66" s="547"/>
      <c r="N66" s="547"/>
      <c r="O66" s="1175">
        <f>SUM(I66:N66)</f>
        <v>260</v>
      </c>
      <c r="P66" s="55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1"/>
      <c r="AP66" s="321"/>
      <c r="AQ66" s="321"/>
      <c r="AR66" s="321"/>
      <c r="AS66" s="321"/>
      <c r="AT66" s="321"/>
      <c r="AU66" s="321"/>
      <c r="AV66" s="321"/>
      <c r="AW66" s="321"/>
      <c r="AX66" s="321"/>
      <c r="AY66" s="321"/>
      <c r="AZ66" s="321"/>
      <c r="BA66" s="321"/>
      <c r="BB66" s="321"/>
      <c r="BC66" s="321"/>
      <c r="BD66" s="321"/>
      <c r="BE66" s="321"/>
      <c r="BF66" s="321"/>
      <c r="BG66" s="321"/>
      <c r="BH66" s="321"/>
      <c r="BI66" s="321"/>
      <c r="BJ66" s="321"/>
      <c r="BK66" s="321"/>
      <c r="BL66" s="321"/>
      <c r="BM66" s="321"/>
      <c r="BN66" s="321"/>
      <c r="BO66" s="321"/>
      <c r="BP66" s="321"/>
      <c r="BQ66" s="321"/>
      <c r="BR66" s="321"/>
      <c r="BS66" s="321"/>
      <c r="BT66" s="321"/>
      <c r="BU66" s="321"/>
      <c r="BV66" s="321"/>
      <c r="BW66" s="321"/>
      <c r="BX66" s="321"/>
      <c r="BY66" s="321"/>
      <c r="BZ66" s="321"/>
      <c r="CA66" s="321"/>
      <c r="CB66" s="321"/>
      <c r="CC66" s="321"/>
      <c r="CD66" s="321"/>
      <c r="CE66" s="321"/>
      <c r="CF66" s="321"/>
      <c r="CG66" s="321"/>
      <c r="CH66" s="321"/>
      <c r="CI66" s="321"/>
      <c r="CJ66" s="321"/>
      <c r="CK66" s="321"/>
      <c r="CL66" s="321"/>
      <c r="CM66" s="321"/>
      <c r="CN66" s="321"/>
      <c r="CO66" s="321"/>
      <c r="CP66" s="321"/>
      <c r="CQ66" s="321"/>
      <c r="CR66" s="321"/>
      <c r="CS66" s="321"/>
      <c r="CT66" s="321"/>
      <c r="CU66" s="321"/>
      <c r="CV66" s="321"/>
      <c r="CW66" s="321"/>
      <c r="CX66" s="321"/>
      <c r="CY66" s="321"/>
      <c r="CZ66" s="321"/>
      <c r="DA66" s="321"/>
      <c r="DB66" s="321"/>
      <c r="DC66" s="321"/>
      <c r="DD66" s="321"/>
      <c r="DE66" s="321"/>
      <c r="DF66" s="321"/>
      <c r="DG66" s="321"/>
      <c r="DH66" s="321"/>
      <c r="DI66" s="321"/>
      <c r="DJ66" s="321"/>
      <c r="DK66" s="321"/>
      <c r="DL66" s="321"/>
      <c r="DM66" s="321"/>
      <c r="DN66" s="321"/>
      <c r="DO66" s="321"/>
      <c r="DP66" s="321"/>
      <c r="DQ66" s="321"/>
      <c r="DR66" s="321"/>
      <c r="DS66" s="321"/>
      <c r="DT66" s="321"/>
      <c r="DU66" s="321"/>
      <c r="DV66" s="321"/>
      <c r="DW66" s="321"/>
      <c r="DX66" s="321"/>
      <c r="DY66" s="321"/>
      <c r="DZ66" s="321"/>
      <c r="EA66" s="321"/>
      <c r="EB66" s="321"/>
      <c r="EC66" s="321"/>
      <c r="ED66" s="321"/>
      <c r="EE66" s="321"/>
      <c r="EF66" s="321"/>
      <c r="EG66" s="321"/>
      <c r="EH66" s="321"/>
      <c r="EI66" s="321"/>
      <c r="EJ66" s="321"/>
      <c r="EK66" s="321"/>
      <c r="EL66" s="321"/>
      <c r="EM66" s="321"/>
      <c r="EN66" s="321"/>
      <c r="EO66" s="321"/>
      <c r="EP66" s="321"/>
      <c r="EQ66" s="321"/>
      <c r="ER66" s="321"/>
      <c r="ES66" s="321"/>
      <c r="ET66" s="321"/>
      <c r="EU66" s="321"/>
      <c r="EV66" s="321"/>
      <c r="EW66" s="321"/>
      <c r="EX66" s="321"/>
      <c r="EY66" s="321"/>
      <c r="EZ66" s="321"/>
      <c r="FA66" s="321"/>
      <c r="FB66" s="321"/>
      <c r="FC66" s="321"/>
      <c r="FD66" s="321"/>
      <c r="FE66" s="321"/>
      <c r="FF66" s="321"/>
      <c r="FG66" s="321"/>
      <c r="FH66" s="321"/>
      <c r="FI66" s="321"/>
      <c r="FJ66" s="321"/>
      <c r="FK66" s="321"/>
      <c r="FL66" s="321"/>
      <c r="FM66" s="321"/>
      <c r="FN66" s="321"/>
      <c r="FO66" s="321"/>
      <c r="FP66" s="321"/>
      <c r="FQ66" s="321"/>
      <c r="FR66" s="321"/>
      <c r="FS66" s="321"/>
      <c r="FT66" s="321"/>
      <c r="FU66" s="321"/>
      <c r="FV66" s="321"/>
      <c r="FW66" s="321"/>
      <c r="FX66" s="321"/>
      <c r="FY66" s="321"/>
      <c r="FZ66" s="321"/>
      <c r="GA66" s="321"/>
      <c r="GB66" s="321"/>
      <c r="GC66" s="321"/>
      <c r="GD66" s="321"/>
      <c r="GE66" s="321"/>
      <c r="GF66" s="321"/>
      <c r="GG66" s="321"/>
      <c r="GH66" s="321"/>
      <c r="GI66" s="321"/>
      <c r="GJ66" s="321"/>
      <c r="GK66" s="321"/>
      <c r="GL66" s="321"/>
      <c r="GM66" s="321"/>
      <c r="GN66" s="321"/>
      <c r="GO66" s="321"/>
      <c r="GP66" s="321"/>
      <c r="GQ66" s="321"/>
      <c r="GR66" s="321"/>
      <c r="GS66" s="321"/>
      <c r="GT66" s="321"/>
      <c r="GU66" s="321"/>
      <c r="GV66" s="321"/>
      <c r="GW66" s="321"/>
      <c r="GX66" s="321"/>
      <c r="GY66" s="321"/>
      <c r="GZ66" s="321"/>
      <c r="HA66" s="321"/>
      <c r="HB66" s="321"/>
      <c r="HC66" s="321"/>
      <c r="HD66" s="321"/>
      <c r="HE66" s="321"/>
      <c r="HF66" s="321"/>
      <c r="HG66" s="321"/>
      <c r="HH66" s="321"/>
      <c r="HI66" s="321"/>
      <c r="HJ66" s="321"/>
      <c r="HK66" s="321"/>
      <c r="HL66" s="321"/>
      <c r="HM66" s="321"/>
      <c r="HN66" s="321"/>
      <c r="HO66" s="321"/>
      <c r="HP66" s="321"/>
      <c r="HQ66" s="321"/>
      <c r="HR66" s="321"/>
      <c r="HS66" s="321"/>
      <c r="HT66" s="321"/>
      <c r="HU66" s="321"/>
      <c r="HV66" s="321"/>
      <c r="HW66" s="321"/>
      <c r="HX66" s="321"/>
      <c r="HY66" s="321"/>
      <c r="HZ66" s="321"/>
      <c r="IA66" s="321"/>
      <c r="IB66" s="321"/>
      <c r="IC66" s="321"/>
      <c r="ID66" s="321"/>
      <c r="IE66" s="321"/>
      <c r="IF66" s="321"/>
      <c r="IG66" s="321"/>
      <c r="IH66" s="321"/>
      <c r="II66" s="321"/>
      <c r="IJ66" s="321"/>
      <c r="IK66" s="321"/>
      <c r="IL66" s="321"/>
      <c r="IM66" s="321"/>
      <c r="IN66" s="321"/>
      <c r="IO66" s="321"/>
      <c r="IP66" s="321"/>
      <c r="IQ66" s="321"/>
      <c r="IR66" s="321"/>
      <c r="IS66" s="321"/>
      <c r="IT66" s="321"/>
      <c r="IU66" s="321"/>
      <c r="IV66" s="321"/>
    </row>
    <row r="67" spans="1:16" ht="38.25" customHeight="1">
      <c r="A67" s="561">
        <v>58</v>
      </c>
      <c r="B67" s="455"/>
      <c r="C67" s="322">
        <v>15</v>
      </c>
      <c r="D67" s="860" t="s">
        <v>1012</v>
      </c>
      <c r="E67" s="330"/>
      <c r="F67" s="550"/>
      <c r="G67" s="331"/>
      <c r="H67" s="762" t="s">
        <v>24</v>
      </c>
      <c r="I67" s="777"/>
      <c r="J67" s="773"/>
      <c r="K67" s="773"/>
      <c r="L67" s="773"/>
      <c r="M67" s="773"/>
      <c r="N67" s="773"/>
      <c r="O67" s="745"/>
      <c r="P67" s="551"/>
    </row>
    <row r="68" spans="1:256" s="546" customFormat="1" ht="18" customHeight="1">
      <c r="A68" s="561">
        <v>59</v>
      </c>
      <c r="B68" s="554"/>
      <c r="C68" s="322"/>
      <c r="D68" s="755" t="s">
        <v>303</v>
      </c>
      <c r="E68" s="330">
        <f>F68+G68+O69+P68</f>
        <v>906000</v>
      </c>
      <c r="F68" s="550"/>
      <c r="G68" s="331"/>
      <c r="H68" s="762"/>
      <c r="I68" s="777"/>
      <c r="J68" s="773"/>
      <c r="K68" s="773"/>
      <c r="L68" s="773"/>
      <c r="M68" s="773">
        <v>906000</v>
      </c>
      <c r="N68" s="773"/>
      <c r="O68" s="745">
        <f>SUM(I68:N68)</f>
        <v>906000</v>
      </c>
      <c r="P68" s="551"/>
      <c r="Q68" s="321"/>
      <c r="R68" s="321"/>
      <c r="S68" s="321"/>
      <c r="T68" s="321"/>
      <c r="U68" s="321"/>
      <c r="V68" s="321"/>
      <c r="W68" s="321"/>
      <c r="X68" s="321"/>
      <c r="Y68" s="321"/>
      <c r="Z68" s="321"/>
      <c r="AA68" s="321"/>
      <c r="AB68" s="321"/>
      <c r="AC68" s="321"/>
      <c r="AD68" s="321"/>
      <c r="AE68" s="321"/>
      <c r="AF68" s="321"/>
      <c r="AG68" s="321"/>
      <c r="AH68" s="321"/>
      <c r="AI68" s="321"/>
      <c r="AJ68" s="321"/>
      <c r="AK68" s="321"/>
      <c r="AL68" s="321"/>
      <c r="AM68" s="321"/>
      <c r="AN68" s="321"/>
      <c r="AO68" s="321"/>
      <c r="AP68" s="321"/>
      <c r="AQ68" s="321"/>
      <c r="AR68" s="321"/>
      <c r="AS68" s="321"/>
      <c r="AT68" s="321"/>
      <c r="AU68" s="321"/>
      <c r="AV68" s="321"/>
      <c r="AW68" s="321"/>
      <c r="AX68" s="321"/>
      <c r="AY68" s="321"/>
      <c r="AZ68" s="321"/>
      <c r="BA68" s="321"/>
      <c r="BB68" s="321"/>
      <c r="BC68" s="321"/>
      <c r="BD68" s="321"/>
      <c r="BE68" s="321"/>
      <c r="BF68" s="321"/>
      <c r="BG68" s="321"/>
      <c r="BH68" s="321"/>
      <c r="BI68" s="321"/>
      <c r="BJ68" s="321"/>
      <c r="BK68" s="321"/>
      <c r="BL68" s="321"/>
      <c r="BM68" s="321"/>
      <c r="BN68" s="321"/>
      <c r="BO68" s="321"/>
      <c r="BP68" s="321"/>
      <c r="BQ68" s="321"/>
      <c r="BR68" s="321"/>
      <c r="BS68" s="321"/>
      <c r="BT68" s="321"/>
      <c r="BU68" s="321"/>
      <c r="BV68" s="321"/>
      <c r="BW68" s="321"/>
      <c r="BX68" s="321"/>
      <c r="BY68" s="321"/>
      <c r="BZ68" s="321"/>
      <c r="CA68" s="321"/>
      <c r="CB68" s="321"/>
      <c r="CC68" s="321"/>
      <c r="CD68" s="321"/>
      <c r="CE68" s="321"/>
      <c r="CF68" s="321"/>
      <c r="CG68" s="321"/>
      <c r="CH68" s="321"/>
      <c r="CI68" s="321"/>
      <c r="CJ68" s="321"/>
      <c r="CK68" s="321"/>
      <c r="CL68" s="321"/>
      <c r="CM68" s="321"/>
      <c r="CN68" s="321"/>
      <c r="CO68" s="321"/>
      <c r="CP68" s="321"/>
      <c r="CQ68" s="321"/>
      <c r="CR68" s="321"/>
      <c r="CS68" s="321"/>
      <c r="CT68" s="321"/>
      <c r="CU68" s="321"/>
      <c r="CV68" s="321"/>
      <c r="CW68" s="321"/>
      <c r="CX68" s="321"/>
      <c r="CY68" s="321"/>
      <c r="CZ68" s="321"/>
      <c r="DA68" s="321"/>
      <c r="DB68" s="321"/>
      <c r="DC68" s="321"/>
      <c r="DD68" s="321"/>
      <c r="DE68" s="321"/>
      <c r="DF68" s="321"/>
      <c r="DG68" s="321"/>
      <c r="DH68" s="321"/>
      <c r="DI68" s="321"/>
      <c r="DJ68" s="321"/>
      <c r="DK68" s="321"/>
      <c r="DL68" s="321"/>
      <c r="DM68" s="321"/>
      <c r="DN68" s="321"/>
      <c r="DO68" s="321"/>
      <c r="DP68" s="321"/>
      <c r="DQ68" s="321"/>
      <c r="DR68" s="321"/>
      <c r="DS68" s="321"/>
      <c r="DT68" s="321"/>
      <c r="DU68" s="321"/>
      <c r="DV68" s="321"/>
      <c r="DW68" s="321"/>
      <c r="DX68" s="321"/>
      <c r="DY68" s="321"/>
      <c r="DZ68" s="321"/>
      <c r="EA68" s="321"/>
      <c r="EB68" s="321"/>
      <c r="EC68" s="321"/>
      <c r="ED68" s="321"/>
      <c r="EE68" s="321"/>
      <c r="EF68" s="321"/>
      <c r="EG68" s="321"/>
      <c r="EH68" s="321"/>
      <c r="EI68" s="321"/>
      <c r="EJ68" s="321"/>
      <c r="EK68" s="321"/>
      <c r="EL68" s="321"/>
      <c r="EM68" s="321"/>
      <c r="EN68" s="321"/>
      <c r="EO68" s="321"/>
      <c r="EP68" s="321"/>
      <c r="EQ68" s="321"/>
      <c r="ER68" s="321"/>
      <c r="ES68" s="321"/>
      <c r="ET68" s="321"/>
      <c r="EU68" s="321"/>
      <c r="EV68" s="321"/>
      <c r="EW68" s="321"/>
      <c r="EX68" s="321"/>
      <c r="EY68" s="321"/>
      <c r="EZ68" s="321"/>
      <c r="FA68" s="321"/>
      <c r="FB68" s="321"/>
      <c r="FC68" s="321"/>
      <c r="FD68" s="321"/>
      <c r="FE68" s="321"/>
      <c r="FF68" s="321"/>
      <c r="FG68" s="321"/>
      <c r="FH68" s="321"/>
      <c r="FI68" s="321"/>
      <c r="FJ68" s="321"/>
      <c r="FK68" s="321"/>
      <c r="FL68" s="321"/>
      <c r="FM68" s="321"/>
      <c r="FN68" s="321"/>
      <c r="FO68" s="321"/>
      <c r="FP68" s="321"/>
      <c r="FQ68" s="321"/>
      <c r="FR68" s="321"/>
      <c r="FS68" s="321"/>
      <c r="FT68" s="321"/>
      <c r="FU68" s="321"/>
      <c r="FV68" s="321"/>
      <c r="FW68" s="321"/>
      <c r="FX68" s="321"/>
      <c r="FY68" s="321"/>
      <c r="FZ68" s="321"/>
      <c r="GA68" s="321"/>
      <c r="GB68" s="321"/>
      <c r="GC68" s="321"/>
      <c r="GD68" s="321"/>
      <c r="GE68" s="321"/>
      <c r="GF68" s="321"/>
      <c r="GG68" s="321"/>
      <c r="GH68" s="321"/>
      <c r="GI68" s="321"/>
      <c r="GJ68" s="321"/>
      <c r="GK68" s="321"/>
      <c r="GL68" s="321"/>
      <c r="GM68" s="321"/>
      <c r="GN68" s="321"/>
      <c r="GO68" s="321"/>
      <c r="GP68" s="321"/>
      <c r="GQ68" s="321"/>
      <c r="GR68" s="321"/>
      <c r="GS68" s="321"/>
      <c r="GT68" s="321"/>
      <c r="GU68" s="321"/>
      <c r="GV68" s="321"/>
      <c r="GW68" s="321"/>
      <c r="GX68" s="321"/>
      <c r="GY68" s="321"/>
      <c r="GZ68" s="321"/>
      <c r="HA68" s="321"/>
      <c r="HB68" s="321"/>
      <c r="HC68" s="321"/>
      <c r="HD68" s="321"/>
      <c r="HE68" s="321"/>
      <c r="HF68" s="321"/>
      <c r="HG68" s="321"/>
      <c r="HH68" s="321"/>
      <c r="HI68" s="321"/>
      <c r="HJ68" s="321"/>
      <c r="HK68" s="321"/>
      <c r="HL68" s="321"/>
      <c r="HM68" s="321"/>
      <c r="HN68" s="321"/>
      <c r="HO68" s="321"/>
      <c r="HP68" s="321"/>
      <c r="HQ68" s="321"/>
      <c r="HR68" s="321"/>
      <c r="HS68" s="321"/>
      <c r="HT68" s="321"/>
      <c r="HU68" s="321"/>
      <c r="HV68" s="321"/>
      <c r="HW68" s="321"/>
      <c r="HX68" s="321"/>
      <c r="HY68" s="321"/>
      <c r="HZ68" s="321"/>
      <c r="IA68" s="321"/>
      <c r="IB68" s="321"/>
      <c r="IC68" s="321"/>
      <c r="ID68" s="321"/>
      <c r="IE68" s="321"/>
      <c r="IF68" s="321"/>
      <c r="IG68" s="321"/>
      <c r="IH68" s="321"/>
      <c r="II68" s="321"/>
      <c r="IJ68" s="321"/>
      <c r="IK68" s="321"/>
      <c r="IL68" s="321"/>
      <c r="IM68" s="321"/>
      <c r="IN68" s="321"/>
      <c r="IO68" s="321"/>
      <c r="IP68" s="321"/>
      <c r="IQ68" s="321"/>
      <c r="IR68" s="321"/>
      <c r="IS68" s="321"/>
      <c r="IT68" s="321"/>
      <c r="IU68" s="321"/>
      <c r="IV68" s="321"/>
    </row>
    <row r="69" spans="1:256" s="546" customFormat="1" ht="18" customHeight="1">
      <c r="A69" s="561">
        <v>60</v>
      </c>
      <c r="B69" s="554"/>
      <c r="C69" s="322"/>
      <c r="D69" s="436" t="s">
        <v>994</v>
      </c>
      <c r="E69" s="330"/>
      <c r="F69" s="550"/>
      <c r="G69" s="331"/>
      <c r="H69" s="762"/>
      <c r="I69" s="777"/>
      <c r="J69" s="773"/>
      <c r="K69" s="773"/>
      <c r="L69" s="773"/>
      <c r="M69" s="547">
        <v>906000</v>
      </c>
      <c r="N69" s="773"/>
      <c r="O69" s="555">
        <f>SUM(I69:N69)</f>
        <v>906000</v>
      </c>
      <c r="P69" s="55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1"/>
      <c r="AQ69" s="321"/>
      <c r="AR69" s="321"/>
      <c r="AS69" s="321"/>
      <c r="AT69" s="321"/>
      <c r="AU69" s="321"/>
      <c r="AV69" s="321"/>
      <c r="AW69" s="321"/>
      <c r="AX69" s="321"/>
      <c r="AY69" s="321"/>
      <c r="AZ69" s="321"/>
      <c r="BA69" s="321"/>
      <c r="BB69" s="321"/>
      <c r="BC69" s="321"/>
      <c r="BD69" s="321"/>
      <c r="BE69" s="321"/>
      <c r="BF69" s="321"/>
      <c r="BG69" s="321"/>
      <c r="BH69" s="321"/>
      <c r="BI69" s="321"/>
      <c r="BJ69" s="321"/>
      <c r="BK69" s="321"/>
      <c r="BL69" s="321"/>
      <c r="BM69" s="321"/>
      <c r="BN69" s="321"/>
      <c r="BO69" s="321"/>
      <c r="BP69" s="321"/>
      <c r="BQ69" s="321"/>
      <c r="BR69" s="321"/>
      <c r="BS69" s="321"/>
      <c r="BT69" s="321"/>
      <c r="BU69" s="321"/>
      <c r="BV69" s="321"/>
      <c r="BW69" s="321"/>
      <c r="BX69" s="321"/>
      <c r="BY69" s="321"/>
      <c r="BZ69" s="321"/>
      <c r="CA69" s="321"/>
      <c r="CB69" s="321"/>
      <c r="CC69" s="321"/>
      <c r="CD69" s="321"/>
      <c r="CE69" s="321"/>
      <c r="CF69" s="321"/>
      <c r="CG69" s="321"/>
      <c r="CH69" s="321"/>
      <c r="CI69" s="321"/>
      <c r="CJ69" s="321"/>
      <c r="CK69" s="321"/>
      <c r="CL69" s="321"/>
      <c r="CM69" s="321"/>
      <c r="CN69" s="321"/>
      <c r="CO69" s="321"/>
      <c r="CP69" s="321"/>
      <c r="CQ69" s="321"/>
      <c r="CR69" s="321"/>
      <c r="CS69" s="321"/>
      <c r="CT69" s="321"/>
      <c r="CU69" s="321"/>
      <c r="CV69" s="321"/>
      <c r="CW69" s="321"/>
      <c r="CX69" s="321"/>
      <c r="CY69" s="321"/>
      <c r="CZ69" s="321"/>
      <c r="DA69" s="321"/>
      <c r="DB69" s="321"/>
      <c r="DC69" s="321"/>
      <c r="DD69" s="321"/>
      <c r="DE69" s="321"/>
      <c r="DF69" s="321"/>
      <c r="DG69" s="321"/>
      <c r="DH69" s="321"/>
      <c r="DI69" s="321"/>
      <c r="DJ69" s="321"/>
      <c r="DK69" s="321"/>
      <c r="DL69" s="321"/>
      <c r="DM69" s="321"/>
      <c r="DN69" s="321"/>
      <c r="DO69" s="321"/>
      <c r="DP69" s="321"/>
      <c r="DQ69" s="321"/>
      <c r="DR69" s="321"/>
      <c r="DS69" s="321"/>
      <c r="DT69" s="321"/>
      <c r="DU69" s="321"/>
      <c r="DV69" s="321"/>
      <c r="DW69" s="321"/>
      <c r="DX69" s="321"/>
      <c r="DY69" s="321"/>
      <c r="DZ69" s="321"/>
      <c r="EA69" s="321"/>
      <c r="EB69" s="321"/>
      <c r="EC69" s="321"/>
      <c r="ED69" s="321"/>
      <c r="EE69" s="321"/>
      <c r="EF69" s="321"/>
      <c r="EG69" s="321"/>
      <c r="EH69" s="321"/>
      <c r="EI69" s="321"/>
      <c r="EJ69" s="321"/>
      <c r="EK69" s="321"/>
      <c r="EL69" s="321"/>
      <c r="EM69" s="321"/>
      <c r="EN69" s="321"/>
      <c r="EO69" s="321"/>
      <c r="EP69" s="321"/>
      <c r="EQ69" s="321"/>
      <c r="ER69" s="321"/>
      <c r="ES69" s="321"/>
      <c r="ET69" s="321"/>
      <c r="EU69" s="321"/>
      <c r="EV69" s="321"/>
      <c r="EW69" s="321"/>
      <c r="EX69" s="321"/>
      <c r="EY69" s="321"/>
      <c r="EZ69" s="321"/>
      <c r="FA69" s="321"/>
      <c r="FB69" s="321"/>
      <c r="FC69" s="321"/>
      <c r="FD69" s="321"/>
      <c r="FE69" s="321"/>
      <c r="FF69" s="321"/>
      <c r="FG69" s="321"/>
      <c r="FH69" s="321"/>
      <c r="FI69" s="321"/>
      <c r="FJ69" s="321"/>
      <c r="FK69" s="321"/>
      <c r="FL69" s="321"/>
      <c r="FM69" s="321"/>
      <c r="FN69" s="321"/>
      <c r="FO69" s="321"/>
      <c r="FP69" s="321"/>
      <c r="FQ69" s="321"/>
      <c r="FR69" s="321"/>
      <c r="FS69" s="321"/>
      <c r="FT69" s="321"/>
      <c r="FU69" s="321"/>
      <c r="FV69" s="321"/>
      <c r="FW69" s="321"/>
      <c r="FX69" s="321"/>
      <c r="FY69" s="321"/>
      <c r="FZ69" s="321"/>
      <c r="GA69" s="321"/>
      <c r="GB69" s="321"/>
      <c r="GC69" s="321"/>
      <c r="GD69" s="321"/>
      <c r="GE69" s="321"/>
      <c r="GF69" s="321"/>
      <c r="GG69" s="321"/>
      <c r="GH69" s="321"/>
      <c r="GI69" s="321"/>
      <c r="GJ69" s="321"/>
      <c r="GK69" s="321"/>
      <c r="GL69" s="321"/>
      <c r="GM69" s="321"/>
      <c r="GN69" s="321"/>
      <c r="GO69" s="321"/>
      <c r="GP69" s="321"/>
      <c r="GQ69" s="321"/>
      <c r="GR69" s="321"/>
      <c r="GS69" s="321"/>
      <c r="GT69" s="321"/>
      <c r="GU69" s="321"/>
      <c r="GV69" s="321"/>
      <c r="GW69" s="321"/>
      <c r="GX69" s="321"/>
      <c r="GY69" s="321"/>
      <c r="GZ69" s="321"/>
      <c r="HA69" s="321"/>
      <c r="HB69" s="321"/>
      <c r="HC69" s="321"/>
      <c r="HD69" s="321"/>
      <c r="HE69" s="321"/>
      <c r="HF69" s="321"/>
      <c r="HG69" s="321"/>
      <c r="HH69" s="321"/>
      <c r="HI69" s="321"/>
      <c r="HJ69" s="321"/>
      <c r="HK69" s="321"/>
      <c r="HL69" s="321"/>
      <c r="HM69" s="321"/>
      <c r="HN69" s="321"/>
      <c r="HO69" s="321"/>
      <c r="HP69" s="321"/>
      <c r="HQ69" s="321"/>
      <c r="HR69" s="321"/>
      <c r="HS69" s="321"/>
      <c r="HT69" s="321"/>
      <c r="HU69" s="321"/>
      <c r="HV69" s="321"/>
      <c r="HW69" s="321"/>
      <c r="HX69" s="321"/>
      <c r="HY69" s="321"/>
      <c r="HZ69" s="321"/>
      <c r="IA69" s="321"/>
      <c r="IB69" s="321"/>
      <c r="IC69" s="321"/>
      <c r="ID69" s="321"/>
      <c r="IE69" s="321"/>
      <c r="IF69" s="321"/>
      <c r="IG69" s="321"/>
      <c r="IH69" s="321"/>
      <c r="II69" s="321"/>
      <c r="IJ69" s="321"/>
      <c r="IK69" s="321"/>
      <c r="IL69" s="321"/>
      <c r="IM69" s="321"/>
      <c r="IN69" s="321"/>
      <c r="IO69" s="321"/>
      <c r="IP69" s="321"/>
      <c r="IQ69" s="321"/>
      <c r="IR69" s="321"/>
      <c r="IS69" s="321"/>
      <c r="IT69" s="321"/>
      <c r="IU69" s="321"/>
      <c r="IV69" s="321"/>
    </row>
    <row r="70" spans="1:256" s="546" customFormat="1" ht="18" customHeight="1">
      <c r="A70" s="561">
        <v>61</v>
      </c>
      <c r="B70" s="554"/>
      <c r="C70" s="322"/>
      <c r="D70" s="987" t="s">
        <v>1036</v>
      </c>
      <c r="E70" s="330"/>
      <c r="F70" s="550"/>
      <c r="G70" s="331"/>
      <c r="H70" s="762"/>
      <c r="I70" s="758"/>
      <c r="J70" s="547"/>
      <c r="K70" s="547"/>
      <c r="L70" s="547"/>
      <c r="M70" s="1266">
        <v>5906</v>
      </c>
      <c r="N70" s="547"/>
      <c r="O70" s="1175">
        <f>SUM(I70:N70)</f>
        <v>5906</v>
      </c>
      <c r="P70" s="55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321"/>
      <c r="AU70" s="321"/>
      <c r="AV70" s="321"/>
      <c r="AW70" s="321"/>
      <c r="AX70" s="321"/>
      <c r="AY70" s="321"/>
      <c r="AZ70" s="321"/>
      <c r="BA70" s="321"/>
      <c r="BB70" s="321"/>
      <c r="BC70" s="321"/>
      <c r="BD70" s="321"/>
      <c r="BE70" s="321"/>
      <c r="BF70" s="321"/>
      <c r="BG70" s="321"/>
      <c r="BH70" s="321"/>
      <c r="BI70" s="321"/>
      <c r="BJ70" s="321"/>
      <c r="BK70" s="321"/>
      <c r="BL70" s="321"/>
      <c r="BM70" s="321"/>
      <c r="BN70" s="321"/>
      <c r="BO70" s="321"/>
      <c r="BP70" s="321"/>
      <c r="BQ70" s="321"/>
      <c r="BR70" s="321"/>
      <c r="BS70" s="321"/>
      <c r="BT70" s="321"/>
      <c r="BU70" s="321"/>
      <c r="BV70" s="321"/>
      <c r="BW70" s="321"/>
      <c r="BX70" s="321"/>
      <c r="BY70" s="321"/>
      <c r="BZ70" s="321"/>
      <c r="CA70" s="321"/>
      <c r="CB70" s="321"/>
      <c r="CC70" s="321"/>
      <c r="CD70" s="321"/>
      <c r="CE70" s="321"/>
      <c r="CF70" s="321"/>
      <c r="CG70" s="321"/>
      <c r="CH70" s="321"/>
      <c r="CI70" s="321"/>
      <c r="CJ70" s="321"/>
      <c r="CK70" s="321"/>
      <c r="CL70" s="321"/>
      <c r="CM70" s="321"/>
      <c r="CN70" s="321"/>
      <c r="CO70" s="321"/>
      <c r="CP70" s="321"/>
      <c r="CQ70" s="321"/>
      <c r="CR70" s="321"/>
      <c r="CS70" s="321"/>
      <c r="CT70" s="321"/>
      <c r="CU70" s="321"/>
      <c r="CV70" s="321"/>
      <c r="CW70" s="321"/>
      <c r="CX70" s="321"/>
      <c r="CY70" s="321"/>
      <c r="CZ70" s="321"/>
      <c r="DA70" s="321"/>
      <c r="DB70" s="321"/>
      <c r="DC70" s="321"/>
      <c r="DD70" s="321"/>
      <c r="DE70" s="321"/>
      <c r="DF70" s="321"/>
      <c r="DG70" s="321"/>
      <c r="DH70" s="321"/>
      <c r="DI70" s="321"/>
      <c r="DJ70" s="321"/>
      <c r="DK70" s="321"/>
      <c r="DL70" s="321"/>
      <c r="DM70" s="321"/>
      <c r="DN70" s="321"/>
      <c r="DO70" s="321"/>
      <c r="DP70" s="321"/>
      <c r="DQ70" s="321"/>
      <c r="DR70" s="321"/>
      <c r="DS70" s="321"/>
      <c r="DT70" s="321"/>
      <c r="DU70" s="321"/>
      <c r="DV70" s="321"/>
      <c r="DW70" s="321"/>
      <c r="DX70" s="321"/>
      <c r="DY70" s="321"/>
      <c r="DZ70" s="321"/>
      <c r="EA70" s="321"/>
      <c r="EB70" s="321"/>
      <c r="EC70" s="321"/>
      <c r="ED70" s="321"/>
      <c r="EE70" s="321"/>
      <c r="EF70" s="321"/>
      <c r="EG70" s="321"/>
      <c r="EH70" s="321"/>
      <c r="EI70" s="321"/>
      <c r="EJ70" s="321"/>
      <c r="EK70" s="321"/>
      <c r="EL70" s="321"/>
      <c r="EM70" s="321"/>
      <c r="EN70" s="321"/>
      <c r="EO70" s="321"/>
      <c r="EP70" s="321"/>
      <c r="EQ70" s="321"/>
      <c r="ER70" s="321"/>
      <c r="ES70" s="321"/>
      <c r="ET70" s="321"/>
      <c r="EU70" s="321"/>
      <c r="EV70" s="321"/>
      <c r="EW70" s="321"/>
      <c r="EX70" s="321"/>
      <c r="EY70" s="321"/>
      <c r="EZ70" s="321"/>
      <c r="FA70" s="321"/>
      <c r="FB70" s="321"/>
      <c r="FC70" s="321"/>
      <c r="FD70" s="321"/>
      <c r="FE70" s="321"/>
      <c r="FF70" s="321"/>
      <c r="FG70" s="321"/>
      <c r="FH70" s="321"/>
      <c r="FI70" s="321"/>
      <c r="FJ70" s="321"/>
      <c r="FK70" s="321"/>
      <c r="FL70" s="321"/>
      <c r="FM70" s="321"/>
      <c r="FN70" s="321"/>
      <c r="FO70" s="321"/>
      <c r="FP70" s="321"/>
      <c r="FQ70" s="321"/>
      <c r="FR70" s="321"/>
      <c r="FS70" s="321"/>
      <c r="FT70" s="321"/>
      <c r="FU70" s="321"/>
      <c r="FV70" s="321"/>
      <c r="FW70" s="321"/>
      <c r="FX70" s="321"/>
      <c r="FY70" s="321"/>
      <c r="FZ70" s="321"/>
      <c r="GA70" s="321"/>
      <c r="GB70" s="321"/>
      <c r="GC70" s="321"/>
      <c r="GD70" s="321"/>
      <c r="GE70" s="321"/>
      <c r="GF70" s="321"/>
      <c r="GG70" s="321"/>
      <c r="GH70" s="321"/>
      <c r="GI70" s="321"/>
      <c r="GJ70" s="321"/>
      <c r="GK70" s="321"/>
      <c r="GL70" s="321"/>
      <c r="GM70" s="321"/>
      <c r="GN70" s="321"/>
      <c r="GO70" s="321"/>
      <c r="GP70" s="321"/>
      <c r="GQ70" s="321"/>
      <c r="GR70" s="321"/>
      <c r="GS70" s="321"/>
      <c r="GT70" s="321"/>
      <c r="GU70" s="321"/>
      <c r="GV70" s="321"/>
      <c r="GW70" s="321"/>
      <c r="GX70" s="321"/>
      <c r="GY70" s="321"/>
      <c r="GZ70" s="321"/>
      <c r="HA70" s="321"/>
      <c r="HB70" s="321"/>
      <c r="HC70" s="321"/>
      <c r="HD70" s="321"/>
      <c r="HE70" s="321"/>
      <c r="HF70" s="321"/>
      <c r="HG70" s="321"/>
      <c r="HH70" s="321"/>
      <c r="HI70" s="321"/>
      <c r="HJ70" s="321"/>
      <c r="HK70" s="321"/>
      <c r="HL70" s="321"/>
      <c r="HM70" s="321"/>
      <c r="HN70" s="321"/>
      <c r="HO70" s="321"/>
      <c r="HP70" s="321"/>
      <c r="HQ70" s="321"/>
      <c r="HR70" s="321"/>
      <c r="HS70" s="321"/>
      <c r="HT70" s="321"/>
      <c r="HU70" s="321"/>
      <c r="HV70" s="321"/>
      <c r="HW70" s="321"/>
      <c r="HX70" s="321"/>
      <c r="HY70" s="321"/>
      <c r="HZ70" s="321"/>
      <c r="IA70" s="321"/>
      <c r="IB70" s="321"/>
      <c r="IC70" s="321"/>
      <c r="ID70" s="321"/>
      <c r="IE70" s="321"/>
      <c r="IF70" s="321"/>
      <c r="IG70" s="321"/>
      <c r="IH70" s="321"/>
      <c r="II70" s="321"/>
      <c r="IJ70" s="321"/>
      <c r="IK70" s="321"/>
      <c r="IL70" s="321"/>
      <c r="IM70" s="321"/>
      <c r="IN70" s="321"/>
      <c r="IO70" s="321"/>
      <c r="IP70" s="321"/>
      <c r="IQ70" s="321"/>
      <c r="IR70" s="321"/>
      <c r="IS70" s="321"/>
      <c r="IT70" s="321"/>
      <c r="IU70" s="321"/>
      <c r="IV70" s="321"/>
    </row>
    <row r="71" spans="1:16" ht="33">
      <c r="A71" s="561">
        <v>62</v>
      </c>
      <c r="B71" s="455"/>
      <c r="C71" s="322">
        <v>16</v>
      </c>
      <c r="D71" s="324" t="s">
        <v>461</v>
      </c>
      <c r="E71" s="330"/>
      <c r="F71" s="550"/>
      <c r="G71" s="331"/>
      <c r="H71" s="762" t="s">
        <v>24</v>
      </c>
      <c r="I71" s="777"/>
      <c r="J71" s="773"/>
      <c r="K71" s="773"/>
      <c r="L71" s="773"/>
      <c r="M71" s="773"/>
      <c r="N71" s="773"/>
      <c r="O71" s="745"/>
      <c r="P71" s="551"/>
    </row>
    <row r="72" spans="1:256" s="546" customFormat="1" ht="18" customHeight="1">
      <c r="A72" s="561">
        <v>63</v>
      </c>
      <c r="B72" s="554"/>
      <c r="C72" s="322"/>
      <c r="D72" s="755" t="s">
        <v>303</v>
      </c>
      <c r="E72" s="330">
        <f>F72+G72+O73+P72+5962</f>
        <v>300876</v>
      </c>
      <c r="F72" s="550">
        <v>4460</v>
      </c>
      <c r="G72" s="331">
        <f>264851+2602</f>
        <v>267453</v>
      </c>
      <c r="H72" s="762"/>
      <c r="I72" s="777"/>
      <c r="J72" s="773"/>
      <c r="K72" s="773">
        <v>1087</v>
      </c>
      <c r="L72" s="773"/>
      <c r="M72" s="773">
        <v>21914</v>
      </c>
      <c r="N72" s="773"/>
      <c r="O72" s="745">
        <f>SUM(I72:N72)</f>
        <v>23001</v>
      </c>
      <c r="P72" s="55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1"/>
      <c r="BP72" s="321"/>
      <c r="BQ72" s="321"/>
      <c r="BR72" s="321"/>
      <c r="BS72" s="321"/>
      <c r="BT72" s="321"/>
      <c r="BU72" s="321"/>
      <c r="BV72" s="321"/>
      <c r="BW72" s="321"/>
      <c r="BX72" s="321"/>
      <c r="BY72" s="321"/>
      <c r="BZ72" s="321"/>
      <c r="CA72" s="321"/>
      <c r="CB72" s="321"/>
      <c r="CC72" s="321"/>
      <c r="CD72" s="321"/>
      <c r="CE72" s="321"/>
      <c r="CF72" s="321"/>
      <c r="CG72" s="321"/>
      <c r="CH72" s="321"/>
      <c r="CI72" s="321"/>
      <c r="CJ72" s="321"/>
      <c r="CK72" s="321"/>
      <c r="CL72" s="321"/>
      <c r="CM72" s="321"/>
      <c r="CN72" s="321"/>
      <c r="CO72" s="321"/>
      <c r="CP72" s="321"/>
      <c r="CQ72" s="321"/>
      <c r="CR72" s="321"/>
      <c r="CS72" s="321"/>
      <c r="CT72" s="321"/>
      <c r="CU72" s="321"/>
      <c r="CV72" s="321"/>
      <c r="CW72" s="321"/>
      <c r="CX72" s="321"/>
      <c r="CY72" s="321"/>
      <c r="CZ72" s="321"/>
      <c r="DA72" s="321"/>
      <c r="DB72" s="321"/>
      <c r="DC72" s="321"/>
      <c r="DD72" s="321"/>
      <c r="DE72" s="321"/>
      <c r="DF72" s="321"/>
      <c r="DG72" s="321"/>
      <c r="DH72" s="321"/>
      <c r="DI72" s="321"/>
      <c r="DJ72" s="321"/>
      <c r="DK72" s="321"/>
      <c r="DL72" s="321"/>
      <c r="DM72" s="321"/>
      <c r="DN72" s="321"/>
      <c r="DO72" s="321"/>
      <c r="DP72" s="321"/>
      <c r="DQ72" s="321"/>
      <c r="DR72" s="321"/>
      <c r="DS72" s="321"/>
      <c r="DT72" s="321"/>
      <c r="DU72" s="321"/>
      <c r="DV72" s="321"/>
      <c r="DW72" s="321"/>
      <c r="DX72" s="321"/>
      <c r="DY72" s="321"/>
      <c r="DZ72" s="321"/>
      <c r="EA72" s="321"/>
      <c r="EB72" s="321"/>
      <c r="EC72" s="321"/>
      <c r="ED72" s="321"/>
      <c r="EE72" s="321"/>
      <c r="EF72" s="321"/>
      <c r="EG72" s="321"/>
      <c r="EH72" s="321"/>
      <c r="EI72" s="321"/>
      <c r="EJ72" s="321"/>
      <c r="EK72" s="321"/>
      <c r="EL72" s="321"/>
      <c r="EM72" s="321"/>
      <c r="EN72" s="321"/>
      <c r="EO72" s="321"/>
      <c r="EP72" s="321"/>
      <c r="EQ72" s="321"/>
      <c r="ER72" s="321"/>
      <c r="ES72" s="321"/>
      <c r="ET72" s="321"/>
      <c r="EU72" s="321"/>
      <c r="EV72" s="321"/>
      <c r="EW72" s="321"/>
      <c r="EX72" s="321"/>
      <c r="EY72" s="321"/>
      <c r="EZ72" s="321"/>
      <c r="FA72" s="321"/>
      <c r="FB72" s="321"/>
      <c r="FC72" s="321"/>
      <c r="FD72" s="321"/>
      <c r="FE72" s="321"/>
      <c r="FF72" s="321"/>
      <c r="FG72" s="321"/>
      <c r="FH72" s="321"/>
      <c r="FI72" s="321"/>
      <c r="FJ72" s="321"/>
      <c r="FK72" s="321"/>
      <c r="FL72" s="321"/>
      <c r="FM72" s="321"/>
      <c r="FN72" s="321"/>
      <c r="FO72" s="321"/>
      <c r="FP72" s="321"/>
      <c r="FQ72" s="321"/>
      <c r="FR72" s="321"/>
      <c r="FS72" s="321"/>
      <c r="FT72" s="321"/>
      <c r="FU72" s="321"/>
      <c r="FV72" s="321"/>
      <c r="FW72" s="321"/>
      <c r="FX72" s="321"/>
      <c r="FY72" s="321"/>
      <c r="FZ72" s="321"/>
      <c r="GA72" s="321"/>
      <c r="GB72" s="321"/>
      <c r="GC72" s="321"/>
      <c r="GD72" s="321"/>
      <c r="GE72" s="321"/>
      <c r="GF72" s="321"/>
      <c r="GG72" s="321"/>
      <c r="GH72" s="321"/>
      <c r="GI72" s="321"/>
      <c r="GJ72" s="321"/>
      <c r="GK72" s="321"/>
      <c r="GL72" s="321"/>
      <c r="GM72" s="321"/>
      <c r="GN72" s="321"/>
      <c r="GO72" s="321"/>
      <c r="GP72" s="321"/>
      <c r="GQ72" s="321"/>
      <c r="GR72" s="321"/>
      <c r="GS72" s="321"/>
      <c r="GT72" s="321"/>
      <c r="GU72" s="321"/>
      <c r="GV72" s="321"/>
      <c r="GW72" s="321"/>
      <c r="GX72" s="321"/>
      <c r="GY72" s="321"/>
      <c r="GZ72" s="321"/>
      <c r="HA72" s="321"/>
      <c r="HB72" s="321"/>
      <c r="HC72" s="321"/>
      <c r="HD72" s="321"/>
      <c r="HE72" s="321"/>
      <c r="HF72" s="321"/>
      <c r="HG72" s="321"/>
      <c r="HH72" s="321"/>
      <c r="HI72" s="321"/>
      <c r="HJ72" s="321"/>
      <c r="HK72" s="321"/>
      <c r="HL72" s="321"/>
      <c r="HM72" s="321"/>
      <c r="HN72" s="321"/>
      <c r="HO72" s="321"/>
      <c r="HP72" s="321"/>
      <c r="HQ72" s="321"/>
      <c r="HR72" s="321"/>
      <c r="HS72" s="321"/>
      <c r="HT72" s="321"/>
      <c r="HU72" s="321"/>
      <c r="HV72" s="321"/>
      <c r="HW72" s="321"/>
      <c r="HX72" s="321"/>
      <c r="HY72" s="321"/>
      <c r="HZ72" s="321"/>
      <c r="IA72" s="321"/>
      <c r="IB72" s="321"/>
      <c r="IC72" s="321"/>
      <c r="ID72" s="321"/>
      <c r="IE72" s="321"/>
      <c r="IF72" s="321"/>
      <c r="IG72" s="321"/>
      <c r="IH72" s="321"/>
      <c r="II72" s="321"/>
      <c r="IJ72" s="321"/>
      <c r="IK72" s="321"/>
      <c r="IL72" s="321"/>
      <c r="IM72" s="321"/>
      <c r="IN72" s="321"/>
      <c r="IO72" s="321"/>
      <c r="IP72" s="321"/>
      <c r="IQ72" s="321"/>
      <c r="IR72" s="321"/>
      <c r="IS72" s="321"/>
      <c r="IT72" s="321"/>
      <c r="IU72" s="321"/>
      <c r="IV72" s="321"/>
    </row>
    <row r="73" spans="1:256" s="546" customFormat="1" ht="18" customHeight="1">
      <c r="A73" s="561">
        <v>64</v>
      </c>
      <c r="B73" s="554"/>
      <c r="C73" s="322"/>
      <c r="D73" s="436" t="s">
        <v>994</v>
      </c>
      <c r="E73" s="330"/>
      <c r="F73" s="550"/>
      <c r="G73" s="331"/>
      <c r="H73" s="762"/>
      <c r="I73" s="777"/>
      <c r="J73" s="773"/>
      <c r="K73" s="547">
        <v>1087</v>
      </c>
      <c r="L73" s="547"/>
      <c r="M73" s="547">
        <v>21914</v>
      </c>
      <c r="N73" s="773"/>
      <c r="O73" s="555">
        <f>SUM(I73:N73)</f>
        <v>23001</v>
      </c>
      <c r="P73" s="551"/>
      <c r="Q73" s="321"/>
      <c r="R73" s="321"/>
      <c r="S73" s="321"/>
      <c r="T73" s="321"/>
      <c r="U73" s="321"/>
      <c r="V73" s="321"/>
      <c r="W73" s="321"/>
      <c r="X73" s="321"/>
      <c r="Y73" s="321"/>
      <c r="Z73" s="321"/>
      <c r="AA73" s="321"/>
      <c r="AB73" s="321"/>
      <c r="AC73" s="321"/>
      <c r="AD73" s="321"/>
      <c r="AE73" s="321"/>
      <c r="AF73" s="321"/>
      <c r="AG73" s="321"/>
      <c r="AH73" s="321"/>
      <c r="AI73" s="321"/>
      <c r="AJ73" s="321"/>
      <c r="AK73" s="321"/>
      <c r="AL73" s="321"/>
      <c r="AM73" s="321"/>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c r="BR73" s="321"/>
      <c r="BS73" s="321"/>
      <c r="BT73" s="321"/>
      <c r="BU73" s="321"/>
      <c r="BV73" s="321"/>
      <c r="BW73" s="321"/>
      <c r="BX73" s="321"/>
      <c r="BY73" s="321"/>
      <c r="BZ73" s="321"/>
      <c r="CA73" s="321"/>
      <c r="CB73" s="321"/>
      <c r="CC73" s="321"/>
      <c r="CD73" s="321"/>
      <c r="CE73" s="321"/>
      <c r="CF73" s="321"/>
      <c r="CG73" s="321"/>
      <c r="CH73" s="321"/>
      <c r="CI73" s="321"/>
      <c r="CJ73" s="321"/>
      <c r="CK73" s="321"/>
      <c r="CL73" s="321"/>
      <c r="CM73" s="321"/>
      <c r="CN73" s="321"/>
      <c r="CO73" s="321"/>
      <c r="CP73" s="321"/>
      <c r="CQ73" s="321"/>
      <c r="CR73" s="321"/>
      <c r="CS73" s="321"/>
      <c r="CT73" s="321"/>
      <c r="CU73" s="321"/>
      <c r="CV73" s="321"/>
      <c r="CW73" s="321"/>
      <c r="CX73" s="321"/>
      <c r="CY73" s="321"/>
      <c r="CZ73" s="321"/>
      <c r="DA73" s="321"/>
      <c r="DB73" s="321"/>
      <c r="DC73" s="321"/>
      <c r="DD73" s="321"/>
      <c r="DE73" s="321"/>
      <c r="DF73" s="321"/>
      <c r="DG73" s="321"/>
      <c r="DH73" s="321"/>
      <c r="DI73" s="321"/>
      <c r="DJ73" s="321"/>
      <c r="DK73" s="321"/>
      <c r="DL73" s="321"/>
      <c r="DM73" s="321"/>
      <c r="DN73" s="321"/>
      <c r="DO73" s="321"/>
      <c r="DP73" s="321"/>
      <c r="DQ73" s="321"/>
      <c r="DR73" s="321"/>
      <c r="DS73" s="321"/>
      <c r="DT73" s="321"/>
      <c r="DU73" s="321"/>
      <c r="DV73" s="321"/>
      <c r="DW73" s="321"/>
      <c r="DX73" s="321"/>
      <c r="DY73" s="321"/>
      <c r="DZ73" s="321"/>
      <c r="EA73" s="321"/>
      <c r="EB73" s="321"/>
      <c r="EC73" s="321"/>
      <c r="ED73" s="321"/>
      <c r="EE73" s="321"/>
      <c r="EF73" s="321"/>
      <c r="EG73" s="321"/>
      <c r="EH73" s="321"/>
      <c r="EI73" s="321"/>
      <c r="EJ73" s="321"/>
      <c r="EK73" s="321"/>
      <c r="EL73" s="321"/>
      <c r="EM73" s="321"/>
      <c r="EN73" s="321"/>
      <c r="EO73" s="321"/>
      <c r="EP73" s="321"/>
      <c r="EQ73" s="321"/>
      <c r="ER73" s="321"/>
      <c r="ES73" s="321"/>
      <c r="ET73" s="321"/>
      <c r="EU73" s="321"/>
      <c r="EV73" s="321"/>
      <c r="EW73" s="321"/>
      <c r="EX73" s="321"/>
      <c r="EY73" s="321"/>
      <c r="EZ73" s="321"/>
      <c r="FA73" s="321"/>
      <c r="FB73" s="321"/>
      <c r="FC73" s="321"/>
      <c r="FD73" s="321"/>
      <c r="FE73" s="321"/>
      <c r="FF73" s="321"/>
      <c r="FG73" s="321"/>
      <c r="FH73" s="321"/>
      <c r="FI73" s="321"/>
      <c r="FJ73" s="321"/>
      <c r="FK73" s="321"/>
      <c r="FL73" s="321"/>
      <c r="FM73" s="321"/>
      <c r="FN73" s="321"/>
      <c r="FO73" s="321"/>
      <c r="FP73" s="321"/>
      <c r="FQ73" s="321"/>
      <c r="FR73" s="321"/>
      <c r="FS73" s="321"/>
      <c r="FT73" s="321"/>
      <c r="FU73" s="321"/>
      <c r="FV73" s="321"/>
      <c r="FW73" s="321"/>
      <c r="FX73" s="321"/>
      <c r="FY73" s="321"/>
      <c r="FZ73" s="321"/>
      <c r="GA73" s="321"/>
      <c r="GB73" s="321"/>
      <c r="GC73" s="321"/>
      <c r="GD73" s="321"/>
      <c r="GE73" s="321"/>
      <c r="GF73" s="321"/>
      <c r="GG73" s="321"/>
      <c r="GH73" s="321"/>
      <c r="GI73" s="321"/>
      <c r="GJ73" s="321"/>
      <c r="GK73" s="321"/>
      <c r="GL73" s="321"/>
      <c r="GM73" s="321"/>
      <c r="GN73" s="321"/>
      <c r="GO73" s="321"/>
      <c r="GP73" s="321"/>
      <c r="GQ73" s="321"/>
      <c r="GR73" s="321"/>
      <c r="GS73" s="321"/>
      <c r="GT73" s="321"/>
      <c r="GU73" s="321"/>
      <c r="GV73" s="321"/>
      <c r="GW73" s="321"/>
      <c r="GX73" s="321"/>
      <c r="GY73" s="321"/>
      <c r="GZ73" s="321"/>
      <c r="HA73" s="321"/>
      <c r="HB73" s="321"/>
      <c r="HC73" s="321"/>
      <c r="HD73" s="321"/>
      <c r="HE73" s="321"/>
      <c r="HF73" s="321"/>
      <c r="HG73" s="321"/>
      <c r="HH73" s="321"/>
      <c r="HI73" s="321"/>
      <c r="HJ73" s="321"/>
      <c r="HK73" s="321"/>
      <c r="HL73" s="321"/>
      <c r="HM73" s="321"/>
      <c r="HN73" s="321"/>
      <c r="HO73" s="321"/>
      <c r="HP73" s="321"/>
      <c r="HQ73" s="321"/>
      <c r="HR73" s="321"/>
      <c r="HS73" s="321"/>
      <c r="HT73" s="321"/>
      <c r="HU73" s="321"/>
      <c r="HV73" s="321"/>
      <c r="HW73" s="321"/>
      <c r="HX73" s="321"/>
      <c r="HY73" s="321"/>
      <c r="HZ73" s="321"/>
      <c r="IA73" s="321"/>
      <c r="IB73" s="321"/>
      <c r="IC73" s="321"/>
      <c r="ID73" s="321"/>
      <c r="IE73" s="321"/>
      <c r="IF73" s="321"/>
      <c r="IG73" s="321"/>
      <c r="IH73" s="321"/>
      <c r="II73" s="321"/>
      <c r="IJ73" s="321"/>
      <c r="IK73" s="321"/>
      <c r="IL73" s="321"/>
      <c r="IM73" s="321"/>
      <c r="IN73" s="321"/>
      <c r="IO73" s="321"/>
      <c r="IP73" s="321"/>
      <c r="IQ73" s="321"/>
      <c r="IR73" s="321"/>
      <c r="IS73" s="321"/>
      <c r="IT73" s="321"/>
      <c r="IU73" s="321"/>
      <c r="IV73" s="321"/>
    </row>
    <row r="74" spans="1:256" s="546" customFormat="1" ht="18" customHeight="1">
      <c r="A74" s="561">
        <v>65</v>
      </c>
      <c r="B74" s="554"/>
      <c r="C74" s="322"/>
      <c r="D74" s="987" t="s">
        <v>1036</v>
      </c>
      <c r="E74" s="330"/>
      <c r="F74" s="550"/>
      <c r="G74" s="331"/>
      <c r="H74" s="762"/>
      <c r="I74" s="758"/>
      <c r="J74" s="547"/>
      <c r="K74" s="1266">
        <v>0</v>
      </c>
      <c r="L74" s="1266"/>
      <c r="M74" s="1266">
        <v>0</v>
      </c>
      <c r="N74" s="547"/>
      <c r="O74" s="1175">
        <f>SUM(I74:N74)</f>
        <v>0</v>
      </c>
      <c r="P74" s="551"/>
      <c r="Q74" s="321"/>
      <c r="R74" s="321"/>
      <c r="S74" s="321"/>
      <c r="T74" s="321"/>
      <c r="U74" s="321"/>
      <c r="V74" s="321"/>
      <c r="W74" s="321"/>
      <c r="X74" s="321"/>
      <c r="Y74" s="321"/>
      <c r="Z74" s="321"/>
      <c r="AA74" s="321"/>
      <c r="AB74" s="321"/>
      <c r="AC74" s="321"/>
      <c r="AD74" s="321"/>
      <c r="AE74" s="321"/>
      <c r="AF74" s="321"/>
      <c r="AG74" s="321"/>
      <c r="AH74" s="321"/>
      <c r="AI74" s="321"/>
      <c r="AJ74" s="321"/>
      <c r="AK74" s="321"/>
      <c r="AL74" s="321"/>
      <c r="AM74" s="321"/>
      <c r="AN74" s="321"/>
      <c r="AO74" s="321"/>
      <c r="AP74" s="321"/>
      <c r="AQ74" s="321"/>
      <c r="AR74" s="321"/>
      <c r="AS74" s="321"/>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c r="BR74" s="321"/>
      <c r="BS74" s="321"/>
      <c r="BT74" s="321"/>
      <c r="BU74" s="321"/>
      <c r="BV74" s="321"/>
      <c r="BW74" s="321"/>
      <c r="BX74" s="321"/>
      <c r="BY74" s="321"/>
      <c r="BZ74" s="321"/>
      <c r="CA74" s="321"/>
      <c r="CB74" s="321"/>
      <c r="CC74" s="321"/>
      <c r="CD74" s="321"/>
      <c r="CE74" s="321"/>
      <c r="CF74" s="321"/>
      <c r="CG74" s="321"/>
      <c r="CH74" s="321"/>
      <c r="CI74" s="321"/>
      <c r="CJ74" s="321"/>
      <c r="CK74" s="321"/>
      <c r="CL74" s="321"/>
      <c r="CM74" s="321"/>
      <c r="CN74" s="321"/>
      <c r="CO74" s="321"/>
      <c r="CP74" s="321"/>
      <c r="CQ74" s="321"/>
      <c r="CR74" s="321"/>
      <c r="CS74" s="321"/>
      <c r="CT74" s="321"/>
      <c r="CU74" s="321"/>
      <c r="CV74" s="321"/>
      <c r="CW74" s="321"/>
      <c r="CX74" s="321"/>
      <c r="CY74" s="321"/>
      <c r="CZ74" s="321"/>
      <c r="DA74" s="321"/>
      <c r="DB74" s="321"/>
      <c r="DC74" s="321"/>
      <c r="DD74" s="321"/>
      <c r="DE74" s="321"/>
      <c r="DF74" s="321"/>
      <c r="DG74" s="321"/>
      <c r="DH74" s="321"/>
      <c r="DI74" s="321"/>
      <c r="DJ74" s="321"/>
      <c r="DK74" s="321"/>
      <c r="DL74" s="321"/>
      <c r="DM74" s="321"/>
      <c r="DN74" s="321"/>
      <c r="DO74" s="321"/>
      <c r="DP74" s="321"/>
      <c r="DQ74" s="321"/>
      <c r="DR74" s="321"/>
      <c r="DS74" s="321"/>
      <c r="DT74" s="321"/>
      <c r="DU74" s="321"/>
      <c r="DV74" s="321"/>
      <c r="DW74" s="321"/>
      <c r="DX74" s="321"/>
      <c r="DY74" s="321"/>
      <c r="DZ74" s="321"/>
      <c r="EA74" s="321"/>
      <c r="EB74" s="321"/>
      <c r="EC74" s="321"/>
      <c r="ED74" s="321"/>
      <c r="EE74" s="321"/>
      <c r="EF74" s="321"/>
      <c r="EG74" s="321"/>
      <c r="EH74" s="321"/>
      <c r="EI74" s="321"/>
      <c r="EJ74" s="321"/>
      <c r="EK74" s="321"/>
      <c r="EL74" s="321"/>
      <c r="EM74" s="321"/>
      <c r="EN74" s="321"/>
      <c r="EO74" s="321"/>
      <c r="EP74" s="321"/>
      <c r="EQ74" s="321"/>
      <c r="ER74" s="321"/>
      <c r="ES74" s="321"/>
      <c r="ET74" s="321"/>
      <c r="EU74" s="321"/>
      <c r="EV74" s="321"/>
      <c r="EW74" s="321"/>
      <c r="EX74" s="321"/>
      <c r="EY74" s="321"/>
      <c r="EZ74" s="321"/>
      <c r="FA74" s="321"/>
      <c r="FB74" s="321"/>
      <c r="FC74" s="321"/>
      <c r="FD74" s="321"/>
      <c r="FE74" s="321"/>
      <c r="FF74" s="321"/>
      <c r="FG74" s="321"/>
      <c r="FH74" s="321"/>
      <c r="FI74" s="321"/>
      <c r="FJ74" s="321"/>
      <c r="FK74" s="321"/>
      <c r="FL74" s="321"/>
      <c r="FM74" s="321"/>
      <c r="FN74" s="321"/>
      <c r="FO74" s="321"/>
      <c r="FP74" s="321"/>
      <c r="FQ74" s="321"/>
      <c r="FR74" s="321"/>
      <c r="FS74" s="321"/>
      <c r="FT74" s="321"/>
      <c r="FU74" s="321"/>
      <c r="FV74" s="321"/>
      <c r="FW74" s="321"/>
      <c r="FX74" s="321"/>
      <c r="FY74" s="321"/>
      <c r="FZ74" s="321"/>
      <c r="GA74" s="321"/>
      <c r="GB74" s="321"/>
      <c r="GC74" s="321"/>
      <c r="GD74" s="321"/>
      <c r="GE74" s="321"/>
      <c r="GF74" s="321"/>
      <c r="GG74" s="321"/>
      <c r="GH74" s="321"/>
      <c r="GI74" s="321"/>
      <c r="GJ74" s="321"/>
      <c r="GK74" s="321"/>
      <c r="GL74" s="321"/>
      <c r="GM74" s="321"/>
      <c r="GN74" s="321"/>
      <c r="GO74" s="321"/>
      <c r="GP74" s="321"/>
      <c r="GQ74" s="321"/>
      <c r="GR74" s="321"/>
      <c r="GS74" s="321"/>
      <c r="GT74" s="321"/>
      <c r="GU74" s="321"/>
      <c r="GV74" s="321"/>
      <c r="GW74" s="321"/>
      <c r="GX74" s="321"/>
      <c r="GY74" s="321"/>
      <c r="GZ74" s="321"/>
      <c r="HA74" s="321"/>
      <c r="HB74" s="321"/>
      <c r="HC74" s="321"/>
      <c r="HD74" s="321"/>
      <c r="HE74" s="321"/>
      <c r="HF74" s="321"/>
      <c r="HG74" s="321"/>
      <c r="HH74" s="321"/>
      <c r="HI74" s="321"/>
      <c r="HJ74" s="321"/>
      <c r="HK74" s="321"/>
      <c r="HL74" s="321"/>
      <c r="HM74" s="321"/>
      <c r="HN74" s="321"/>
      <c r="HO74" s="321"/>
      <c r="HP74" s="321"/>
      <c r="HQ74" s="321"/>
      <c r="HR74" s="321"/>
      <c r="HS74" s="321"/>
      <c r="HT74" s="321"/>
      <c r="HU74" s="321"/>
      <c r="HV74" s="321"/>
      <c r="HW74" s="321"/>
      <c r="HX74" s="321"/>
      <c r="HY74" s="321"/>
      <c r="HZ74" s="321"/>
      <c r="IA74" s="321"/>
      <c r="IB74" s="321"/>
      <c r="IC74" s="321"/>
      <c r="ID74" s="321"/>
      <c r="IE74" s="321"/>
      <c r="IF74" s="321"/>
      <c r="IG74" s="321"/>
      <c r="IH74" s="321"/>
      <c r="II74" s="321"/>
      <c r="IJ74" s="321"/>
      <c r="IK74" s="321"/>
      <c r="IL74" s="321"/>
      <c r="IM74" s="321"/>
      <c r="IN74" s="321"/>
      <c r="IO74" s="321"/>
      <c r="IP74" s="321"/>
      <c r="IQ74" s="321"/>
      <c r="IR74" s="321"/>
      <c r="IS74" s="321"/>
      <c r="IT74" s="321"/>
      <c r="IU74" s="321"/>
      <c r="IV74" s="321"/>
    </row>
    <row r="75" spans="1:16" ht="33">
      <c r="A75" s="561">
        <v>66</v>
      </c>
      <c r="B75" s="455"/>
      <c r="C75" s="322">
        <v>17</v>
      </c>
      <c r="D75" s="324" t="s">
        <v>559</v>
      </c>
      <c r="E75" s="330"/>
      <c r="F75" s="550"/>
      <c r="G75" s="331"/>
      <c r="H75" s="762" t="s">
        <v>24</v>
      </c>
      <c r="I75" s="777"/>
      <c r="J75" s="773"/>
      <c r="K75" s="773"/>
      <c r="L75" s="773"/>
      <c r="M75" s="773"/>
      <c r="N75" s="773"/>
      <c r="O75" s="745"/>
      <c r="P75" s="551"/>
    </row>
    <row r="76" spans="1:256" s="546" customFormat="1" ht="18" customHeight="1">
      <c r="A76" s="561">
        <v>67</v>
      </c>
      <c r="B76" s="554"/>
      <c r="C76" s="322"/>
      <c r="D76" s="755" t="s">
        <v>303</v>
      </c>
      <c r="E76" s="330">
        <f>F76+G76+O77+P76</f>
        <v>821175</v>
      </c>
      <c r="F76" s="550">
        <v>6414</v>
      </c>
      <c r="G76" s="331">
        <f>26646</f>
        <v>26646</v>
      </c>
      <c r="H76" s="762"/>
      <c r="I76" s="777"/>
      <c r="J76" s="773"/>
      <c r="K76" s="773">
        <v>10750</v>
      </c>
      <c r="L76" s="773"/>
      <c r="M76" s="773">
        <f>41400+730453</f>
        <v>771853</v>
      </c>
      <c r="N76" s="773"/>
      <c r="O76" s="745">
        <f>SUM(I76:N76)</f>
        <v>782603</v>
      </c>
      <c r="P76" s="551"/>
      <c r="Q76" s="321"/>
      <c r="R76" s="321"/>
      <c r="S76" s="321"/>
      <c r="T76" s="321"/>
      <c r="U76" s="321"/>
      <c r="V76" s="321"/>
      <c r="W76" s="321"/>
      <c r="X76" s="321"/>
      <c r="Y76" s="321"/>
      <c r="Z76" s="321"/>
      <c r="AA76" s="321"/>
      <c r="AB76" s="321"/>
      <c r="AC76" s="321"/>
      <c r="AD76" s="321"/>
      <c r="AE76" s="321"/>
      <c r="AF76" s="321"/>
      <c r="AG76" s="321"/>
      <c r="AH76" s="321"/>
      <c r="AI76" s="321"/>
      <c r="AJ76" s="321"/>
      <c r="AK76" s="321"/>
      <c r="AL76" s="321"/>
      <c r="AM76" s="321"/>
      <c r="AN76" s="321"/>
      <c r="AO76" s="321"/>
      <c r="AP76" s="321"/>
      <c r="AQ76" s="321"/>
      <c r="AR76" s="321"/>
      <c r="AS76" s="321"/>
      <c r="AT76" s="321"/>
      <c r="AU76" s="321"/>
      <c r="AV76" s="321"/>
      <c r="AW76" s="321"/>
      <c r="AX76" s="321"/>
      <c r="AY76" s="321"/>
      <c r="AZ76" s="321"/>
      <c r="BA76" s="321"/>
      <c r="BB76" s="321"/>
      <c r="BC76" s="321"/>
      <c r="BD76" s="321"/>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c r="CD76" s="321"/>
      <c r="CE76" s="321"/>
      <c r="CF76" s="321"/>
      <c r="CG76" s="321"/>
      <c r="CH76" s="321"/>
      <c r="CI76" s="321"/>
      <c r="CJ76" s="321"/>
      <c r="CK76" s="321"/>
      <c r="CL76" s="321"/>
      <c r="CM76" s="321"/>
      <c r="CN76" s="321"/>
      <c r="CO76" s="321"/>
      <c r="CP76" s="321"/>
      <c r="CQ76" s="321"/>
      <c r="CR76" s="321"/>
      <c r="CS76" s="321"/>
      <c r="CT76" s="321"/>
      <c r="CU76" s="321"/>
      <c r="CV76" s="321"/>
      <c r="CW76" s="321"/>
      <c r="CX76" s="321"/>
      <c r="CY76" s="321"/>
      <c r="CZ76" s="321"/>
      <c r="DA76" s="321"/>
      <c r="DB76" s="321"/>
      <c r="DC76" s="321"/>
      <c r="DD76" s="321"/>
      <c r="DE76" s="321"/>
      <c r="DF76" s="321"/>
      <c r="DG76" s="321"/>
      <c r="DH76" s="321"/>
      <c r="DI76" s="321"/>
      <c r="DJ76" s="321"/>
      <c r="DK76" s="321"/>
      <c r="DL76" s="321"/>
      <c r="DM76" s="321"/>
      <c r="DN76" s="321"/>
      <c r="DO76" s="321"/>
      <c r="DP76" s="321"/>
      <c r="DQ76" s="321"/>
      <c r="DR76" s="321"/>
      <c r="DS76" s="321"/>
      <c r="DT76" s="321"/>
      <c r="DU76" s="321"/>
      <c r="DV76" s="321"/>
      <c r="DW76" s="321"/>
      <c r="DX76" s="321"/>
      <c r="DY76" s="321"/>
      <c r="DZ76" s="321"/>
      <c r="EA76" s="321"/>
      <c r="EB76" s="321"/>
      <c r="EC76" s="321"/>
      <c r="ED76" s="321"/>
      <c r="EE76" s="321"/>
      <c r="EF76" s="321"/>
      <c r="EG76" s="321"/>
      <c r="EH76" s="321"/>
      <c r="EI76" s="321"/>
      <c r="EJ76" s="321"/>
      <c r="EK76" s="321"/>
      <c r="EL76" s="321"/>
      <c r="EM76" s="321"/>
      <c r="EN76" s="321"/>
      <c r="EO76" s="321"/>
      <c r="EP76" s="321"/>
      <c r="EQ76" s="321"/>
      <c r="ER76" s="321"/>
      <c r="ES76" s="321"/>
      <c r="ET76" s="321"/>
      <c r="EU76" s="321"/>
      <c r="EV76" s="321"/>
      <c r="EW76" s="321"/>
      <c r="EX76" s="321"/>
      <c r="EY76" s="321"/>
      <c r="EZ76" s="321"/>
      <c r="FA76" s="321"/>
      <c r="FB76" s="321"/>
      <c r="FC76" s="321"/>
      <c r="FD76" s="321"/>
      <c r="FE76" s="321"/>
      <c r="FF76" s="321"/>
      <c r="FG76" s="321"/>
      <c r="FH76" s="321"/>
      <c r="FI76" s="321"/>
      <c r="FJ76" s="321"/>
      <c r="FK76" s="321"/>
      <c r="FL76" s="321"/>
      <c r="FM76" s="321"/>
      <c r="FN76" s="321"/>
      <c r="FO76" s="321"/>
      <c r="FP76" s="321"/>
      <c r="FQ76" s="321"/>
      <c r="FR76" s="321"/>
      <c r="FS76" s="321"/>
      <c r="FT76" s="321"/>
      <c r="FU76" s="321"/>
      <c r="FV76" s="321"/>
      <c r="FW76" s="321"/>
      <c r="FX76" s="321"/>
      <c r="FY76" s="321"/>
      <c r="FZ76" s="321"/>
      <c r="GA76" s="321"/>
      <c r="GB76" s="321"/>
      <c r="GC76" s="321"/>
      <c r="GD76" s="321"/>
      <c r="GE76" s="321"/>
      <c r="GF76" s="321"/>
      <c r="GG76" s="321"/>
      <c r="GH76" s="321"/>
      <c r="GI76" s="321"/>
      <c r="GJ76" s="321"/>
      <c r="GK76" s="321"/>
      <c r="GL76" s="321"/>
      <c r="GM76" s="321"/>
      <c r="GN76" s="321"/>
      <c r="GO76" s="321"/>
      <c r="GP76" s="321"/>
      <c r="GQ76" s="321"/>
      <c r="GR76" s="321"/>
      <c r="GS76" s="321"/>
      <c r="GT76" s="321"/>
      <c r="GU76" s="321"/>
      <c r="GV76" s="321"/>
      <c r="GW76" s="321"/>
      <c r="GX76" s="321"/>
      <c r="GY76" s="321"/>
      <c r="GZ76" s="321"/>
      <c r="HA76" s="321"/>
      <c r="HB76" s="321"/>
      <c r="HC76" s="321"/>
      <c r="HD76" s="321"/>
      <c r="HE76" s="321"/>
      <c r="HF76" s="321"/>
      <c r="HG76" s="321"/>
      <c r="HH76" s="321"/>
      <c r="HI76" s="321"/>
      <c r="HJ76" s="321"/>
      <c r="HK76" s="321"/>
      <c r="HL76" s="321"/>
      <c r="HM76" s="321"/>
      <c r="HN76" s="321"/>
      <c r="HO76" s="321"/>
      <c r="HP76" s="321"/>
      <c r="HQ76" s="321"/>
      <c r="HR76" s="321"/>
      <c r="HS76" s="321"/>
      <c r="HT76" s="321"/>
      <c r="HU76" s="321"/>
      <c r="HV76" s="321"/>
      <c r="HW76" s="321"/>
      <c r="HX76" s="321"/>
      <c r="HY76" s="321"/>
      <c r="HZ76" s="321"/>
      <c r="IA76" s="321"/>
      <c r="IB76" s="321"/>
      <c r="IC76" s="321"/>
      <c r="ID76" s="321"/>
      <c r="IE76" s="321"/>
      <c r="IF76" s="321"/>
      <c r="IG76" s="321"/>
      <c r="IH76" s="321"/>
      <c r="II76" s="321"/>
      <c r="IJ76" s="321"/>
      <c r="IK76" s="321"/>
      <c r="IL76" s="321"/>
      <c r="IM76" s="321"/>
      <c r="IN76" s="321"/>
      <c r="IO76" s="321"/>
      <c r="IP76" s="321"/>
      <c r="IQ76" s="321"/>
      <c r="IR76" s="321"/>
      <c r="IS76" s="321"/>
      <c r="IT76" s="321"/>
      <c r="IU76" s="321"/>
      <c r="IV76" s="321"/>
    </row>
    <row r="77" spans="1:256" s="546" customFormat="1" ht="18" customHeight="1">
      <c r="A77" s="561">
        <v>68</v>
      </c>
      <c r="B77" s="554"/>
      <c r="C77" s="322"/>
      <c r="D77" s="436" t="s">
        <v>994</v>
      </c>
      <c r="E77" s="330"/>
      <c r="F77" s="550"/>
      <c r="G77" s="331"/>
      <c r="H77" s="762"/>
      <c r="I77" s="777"/>
      <c r="J77" s="773"/>
      <c r="K77" s="547">
        <v>0</v>
      </c>
      <c r="L77" s="547">
        <v>24602</v>
      </c>
      <c r="M77" s="547">
        <v>0</v>
      </c>
      <c r="N77" s="547">
        <v>763513</v>
      </c>
      <c r="O77" s="555">
        <f>SUM(I77:N77)</f>
        <v>788115</v>
      </c>
      <c r="P77" s="551"/>
      <c r="Q77" s="321"/>
      <c r="R77" s="321"/>
      <c r="S77" s="321"/>
      <c r="T77" s="321"/>
      <c r="U77" s="321"/>
      <c r="V77" s="321"/>
      <c r="W77" s="321"/>
      <c r="X77" s="321"/>
      <c r="Y77" s="321"/>
      <c r="Z77" s="321"/>
      <c r="AA77" s="321"/>
      <c r="AB77" s="321"/>
      <c r="AC77" s="321"/>
      <c r="AD77" s="321"/>
      <c r="AE77" s="321"/>
      <c r="AF77" s="321"/>
      <c r="AG77" s="321"/>
      <c r="AH77" s="321"/>
      <c r="AI77" s="321"/>
      <c r="AJ77" s="321"/>
      <c r="AK77" s="321"/>
      <c r="AL77" s="321"/>
      <c r="AM77" s="321"/>
      <c r="AN77" s="321"/>
      <c r="AO77" s="321"/>
      <c r="AP77" s="321"/>
      <c r="AQ77" s="321"/>
      <c r="AR77" s="321"/>
      <c r="AS77" s="321"/>
      <c r="AT77" s="321"/>
      <c r="AU77" s="321"/>
      <c r="AV77" s="321"/>
      <c r="AW77" s="321"/>
      <c r="AX77" s="321"/>
      <c r="AY77" s="321"/>
      <c r="AZ77" s="321"/>
      <c r="BA77" s="321"/>
      <c r="BB77" s="321"/>
      <c r="BC77" s="321"/>
      <c r="BD77" s="321"/>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c r="CD77" s="321"/>
      <c r="CE77" s="321"/>
      <c r="CF77" s="321"/>
      <c r="CG77" s="321"/>
      <c r="CH77" s="321"/>
      <c r="CI77" s="321"/>
      <c r="CJ77" s="321"/>
      <c r="CK77" s="321"/>
      <c r="CL77" s="321"/>
      <c r="CM77" s="321"/>
      <c r="CN77" s="321"/>
      <c r="CO77" s="321"/>
      <c r="CP77" s="321"/>
      <c r="CQ77" s="321"/>
      <c r="CR77" s="321"/>
      <c r="CS77" s="321"/>
      <c r="CT77" s="321"/>
      <c r="CU77" s="321"/>
      <c r="CV77" s="321"/>
      <c r="CW77" s="321"/>
      <c r="CX77" s="321"/>
      <c r="CY77" s="321"/>
      <c r="CZ77" s="321"/>
      <c r="DA77" s="321"/>
      <c r="DB77" s="321"/>
      <c r="DC77" s="321"/>
      <c r="DD77" s="321"/>
      <c r="DE77" s="321"/>
      <c r="DF77" s="321"/>
      <c r="DG77" s="321"/>
      <c r="DH77" s="321"/>
      <c r="DI77" s="321"/>
      <c r="DJ77" s="321"/>
      <c r="DK77" s="321"/>
      <c r="DL77" s="321"/>
      <c r="DM77" s="321"/>
      <c r="DN77" s="321"/>
      <c r="DO77" s="321"/>
      <c r="DP77" s="321"/>
      <c r="DQ77" s="321"/>
      <c r="DR77" s="321"/>
      <c r="DS77" s="321"/>
      <c r="DT77" s="321"/>
      <c r="DU77" s="321"/>
      <c r="DV77" s="321"/>
      <c r="DW77" s="321"/>
      <c r="DX77" s="321"/>
      <c r="DY77" s="321"/>
      <c r="DZ77" s="321"/>
      <c r="EA77" s="321"/>
      <c r="EB77" s="321"/>
      <c r="EC77" s="321"/>
      <c r="ED77" s="321"/>
      <c r="EE77" s="321"/>
      <c r="EF77" s="321"/>
      <c r="EG77" s="321"/>
      <c r="EH77" s="321"/>
      <c r="EI77" s="321"/>
      <c r="EJ77" s="321"/>
      <c r="EK77" s="321"/>
      <c r="EL77" s="321"/>
      <c r="EM77" s="321"/>
      <c r="EN77" s="321"/>
      <c r="EO77" s="321"/>
      <c r="EP77" s="321"/>
      <c r="EQ77" s="321"/>
      <c r="ER77" s="321"/>
      <c r="ES77" s="321"/>
      <c r="ET77" s="321"/>
      <c r="EU77" s="321"/>
      <c r="EV77" s="321"/>
      <c r="EW77" s="321"/>
      <c r="EX77" s="321"/>
      <c r="EY77" s="321"/>
      <c r="EZ77" s="321"/>
      <c r="FA77" s="321"/>
      <c r="FB77" s="321"/>
      <c r="FC77" s="321"/>
      <c r="FD77" s="321"/>
      <c r="FE77" s="321"/>
      <c r="FF77" s="321"/>
      <c r="FG77" s="321"/>
      <c r="FH77" s="321"/>
      <c r="FI77" s="321"/>
      <c r="FJ77" s="321"/>
      <c r="FK77" s="321"/>
      <c r="FL77" s="321"/>
      <c r="FM77" s="321"/>
      <c r="FN77" s="321"/>
      <c r="FO77" s="321"/>
      <c r="FP77" s="321"/>
      <c r="FQ77" s="321"/>
      <c r="FR77" s="321"/>
      <c r="FS77" s="321"/>
      <c r="FT77" s="321"/>
      <c r="FU77" s="321"/>
      <c r="FV77" s="321"/>
      <c r="FW77" s="321"/>
      <c r="FX77" s="321"/>
      <c r="FY77" s="321"/>
      <c r="FZ77" s="321"/>
      <c r="GA77" s="321"/>
      <c r="GB77" s="321"/>
      <c r="GC77" s="321"/>
      <c r="GD77" s="321"/>
      <c r="GE77" s="321"/>
      <c r="GF77" s="321"/>
      <c r="GG77" s="321"/>
      <c r="GH77" s="321"/>
      <c r="GI77" s="321"/>
      <c r="GJ77" s="321"/>
      <c r="GK77" s="321"/>
      <c r="GL77" s="321"/>
      <c r="GM77" s="321"/>
      <c r="GN77" s="321"/>
      <c r="GO77" s="321"/>
      <c r="GP77" s="321"/>
      <c r="GQ77" s="321"/>
      <c r="GR77" s="321"/>
      <c r="GS77" s="321"/>
      <c r="GT77" s="321"/>
      <c r="GU77" s="321"/>
      <c r="GV77" s="321"/>
      <c r="GW77" s="321"/>
      <c r="GX77" s="321"/>
      <c r="GY77" s="321"/>
      <c r="GZ77" s="321"/>
      <c r="HA77" s="321"/>
      <c r="HB77" s="321"/>
      <c r="HC77" s="321"/>
      <c r="HD77" s="321"/>
      <c r="HE77" s="321"/>
      <c r="HF77" s="321"/>
      <c r="HG77" s="321"/>
      <c r="HH77" s="321"/>
      <c r="HI77" s="321"/>
      <c r="HJ77" s="321"/>
      <c r="HK77" s="321"/>
      <c r="HL77" s="321"/>
      <c r="HM77" s="321"/>
      <c r="HN77" s="321"/>
      <c r="HO77" s="321"/>
      <c r="HP77" s="321"/>
      <c r="HQ77" s="321"/>
      <c r="HR77" s="321"/>
      <c r="HS77" s="321"/>
      <c r="HT77" s="321"/>
      <c r="HU77" s="321"/>
      <c r="HV77" s="321"/>
      <c r="HW77" s="321"/>
      <c r="HX77" s="321"/>
      <c r="HY77" s="321"/>
      <c r="HZ77" s="321"/>
      <c r="IA77" s="321"/>
      <c r="IB77" s="321"/>
      <c r="IC77" s="321"/>
      <c r="ID77" s="321"/>
      <c r="IE77" s="321"/>
      <c r="IF77" s="321"/>
      <c r="IG77" s="321"/>
      <c r="IH77" s="321"/>
      <c r="II77" s="321"/>
      <c r="IJ77" s="321"/>
      <c r="IK77" s="321"/>
      <c r="IL77" s="321"/>
      <c r="IM77" s="321"/>
      <c r="IN77" s="321"/>
      <c r="IO77" s="321"/>
      <c r="IP77" s="321"/>
      <c r="IQ77" s="321"/>
      <c r="IR77" s="321"/>
      <c r="IS77" s="321"/>
      <c r="IT77" s="321"/>
      <c r="IU77" s="321"/>
      <c r="IV77" s="321"/>
    </row>
    <row r="78" spans="1:256" s="546" customFormat="1" ht="18" customHeight="1">
      <c r="A78" s="561">
        <v>69</v>
      </c>
      <c r="B78" s="554"/>
      <c r="C78" s="322"/>
      <c r="D78" s="987" t="s">
        <v>1035</v>
      </c>
      <c r="E78" s="330"/>
      <c r="F78" s="550"/>
      <c r="G78" s="331"/>
      <c r="H78" s="762"/>
      <c r="I78" s="1269"/>
      <c r="J78" s="1266"/>
      <c r="K78" s="1266">
        <v>0</v>
      </c>
      <c r="L78" s="1266">
        <v>24602</v>
      </c>
      <c r="M78" s="1266">
        <v>0</v>
      </c>
      <c r="N78" s="1266">
        <v>763513</v>
      </c>
      <c r="O78" s="1175">
        <f>SUM(I78:N78)</f>
        <v>788115</v>
      </c>
      <c r="P78" s="551"/>
      <c r="Q78" s="321"/>
      <c r="R78" s="321"/>
      <c r="S78" s="321"/>
      <c r="T78" s="321"/>
      <c r="U78" s="321"/>
      <c r="V78" s="321"/>
      <c r="W78" s="321"/>
      <c r="X78" s="321"/>
      <c r="Y78" s="321"/>
      <c r="Z78" s="321"/>
      <c r="AA78" s="321"/>
      <c r="AB78" s="321"/>
      <c r="AC78" s="321"/>
      <c r="AD78" s="321"/>
      <c r="AE78" s="321"/>
      <c r="AF78" s="321"/>
      <c r="AG78" s="321"/>
      <c r="AH78" s="321"/>
      <c r="AI78" s="321"/>
      <c r="AJ78" s="321"/>
      <c r="AK78" s="321"/>
      <c r="AL78" s="321"/>
      <c r="AM78" s="321"/>
      <c r="AN78" s="321"/>
      <c r="AO78" s="321"/>
      <c r="AP78" s="321"/>
      <c r="AQ78" s="321"/>
      <c r="AR78" s="321"/>
      <c r="AS78" s="321"/>
      <c r="AT78" s="321"/>
      <c r="AU78" s="321"/>
      <c r="AV78" s="321"/>
      <c r="AW78" s="321"/>
      <c r="AX78" s="321"/>
      <c r="AY78" s="321"/>
      <c r="AZ78" s="321"/>
      <c r="BA78" s="321"/>
      <c r="BB78" s="321"/>
      <c r="BC78" s="321"/>
      <c r="BD78" s="321"/>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c r="CC78" s="321"/>
      <c r="CD78" s="321"/>
      <c r="CE78" s="321"/>
      <c r="CF78" s="321"/>
      <c r="CG78" s="321"/>
      <c r="CH78" s="321"/>
      <c r="CI78" s="321"/>
      <c r="CJ78" s="321"/>
      <c r="CK78" s="321"/>
      <c r="CL78" s="321"/>
      <c r="CM78" s="321"/>
      <c r="CN78" s="321"/>
      <c r="CO78" s="321"/>
      <c r="CP78" s="321"/>
      <c r="CQ78" s="321"/>
      <c r="CR78" s="321"/>
      <c r="CS78" s="321"/>
      <c r="CT78" s="321"/>
      <c r="CU78" s="321"/>
      <c r="CV78" s="321"/>
      <c r="CW78" s="321"/>
      <c r="CX78" s="321"/>
      <c r="CY78" s="321"/>
      <c r="CZ78" s="321"/>
      <c r="DA78" s="321"/>
      <c r="DB78" s="321"/>
      <c r="DC78" s="321"/>
      <c r="DD78" s="321"/>
      <c r="DE78" s="321"/>
      <c r="DF78" s="321"/>
      <c r="DG78" s="321"/>
      <c r="DH78" s="321"/>
      <c r="DI78" s="321"/>
      <c r="DJ78" s="321"/>
      <c r="DK78" s="321"/>
      <c r="DL78" s="321"/>
      <c r="DM78" s="321"/>
      <c r="DN78" s="321"/>
      <c r="DO78" s="321"/>
      <c r="DP78" s="321"/>
      <c r="DQ78" s="321"/>
      <c r="DR78" s="321"/>
      <c r="DS78" s="321"/>
      <c r="DT78" s="321"/>
      <c r="DU78" s="321"/>
      <c r="DV78" s="321"/>
      <c r="DW78" s="321"/>
      <c r="DX78" s="321"/>
      <c r="DY78" s="321"/>
      <c r="DZ78" s="321"/>
      <c r="EA78" s="321"/>
      <c r="EB78" s="321"/>
      <c r="EC78" s="321"/>
      <c r="ED78" s="321"/>
      <c r="EE78" s="321"/>
      <c r="EF78" s="321"/>
      <c r="EG78" s="321"/>
      <c r="EH78" s="321"/>
      <c r="EI78" s="321"/>
      <c r="EJ78" s="321"/>
      <c r="EK78" s="321"/>
      <c r="EL78" s="321"/>
      <c r="EM78" s="321"/>
      <c r="EN78" s="321"/>
      <c r="EO78" s="321"/>
      <c r="EP78" s="321"/>
      <c r="EQ78" s="321"/>
      <c r="ER78" s="321"/>
      <c r="ES78" s="321"/>
      <c r="ET78" s="321"/>
      <c r="EU78" s="321"/>
      <c r="EV78" s="321"/>
      <c r="EW78" s="321"/>
      <c r="EX78" s="321"/>
      <c r="EY78" s="321"/>
      <c r="EZ78" s="321"/>
      <c r="FA78" s="321"/>
      <c r="FB78" s="321"/>
      <c r="FC78" s="321"/>
      <c r="FD78" s="321"/>
      <c r="FE78" s="321"/>
      <c r="FF78" s="321"/>
      <c r="FG78" s="321"/>
      <c r="FH78" s="321"/>
      <c r="FI78" s="321"/>
      <c r="FJ78" s="321"/>
      <c r="FK78" s="321"/>
      <c r="FL78" s="321"/>
      <c r="FM78" s="321"/>
      <c r="FN78" s="321"/>
      <c r="FO78" s="321"/>
      <c r="FP78" s="321"/>
      <c r="FQ78" s="321"/>
      <c r="FR78" s="321"/>
      <c r="FS78" s="321"/>
      <c r="FT78" s="321"/>
      <c r="FU78" s="321"/>
      <c r="FV78" s="321"/>
      <c r="FW78" s="321"/>
      <c r="FX78" s="321"/>
      <c r="FY78" s="321"/>
      <c r="FZ78" s="321"/>
      <c r="GA78" s="321"/>
      <c r="GB78" s="321"/>
      <c r="GC78" s="321"/>
      <c r="GD78" s="321"/>
      <c r="GE78" s="321"/>
      <c r="GF78" s="321"/>
      <c r="GG78" s="321"/>
      <c r="GH78" s="321"/>
      <c r="GI78" s="321"/>
      <c r="GJ78" s="321"/>
      <c r="GK78" s="321"/>
      <c r="GL78" s="321"/>
      <c r="GM78" s="321"/>
      <c r="GN78" s="321"/>
      <c r="GO78" s="321"/>
      <c r="GP78" s="321"/>
      <c r="GQ78" s="321"/>
      <c r="GR78" s="321"/>
      <c r="GS78" s="321"/>
      <c r="GT78" s="321"/>
      <c r="GU78" s="321"/>
      <c r="GV78" s="321"/>
      <c r="GW78" s="321"/>
      <c r="GX78" s="321"/>
      <c r="GY78" s="321"/>
      <c r="GZ78" s="321"/>
      <c r="HA78" s="321"/>
      <c r="HB78" s="321"/>
      <c r="HC78" s="321"/>
      <c r="HD78" s="321"/>
      <c r="HE78" s="321"/>
      <c r="HF78" s="321"/>
      <c r="HG78" s="321"/>
      <c r="HH78" s="321"/>
      <c r="HI78" s="321"/>
      <c r="HJ78" s="321"/>
      <c r="HK78" s="321"/>
      <c r="HL78" s="321"/>
      <c r="HM78" s="321"/>
      <c r="HN78" s="321"/>
      <c r="HO78" s="321"/>
      <c r="HP78" s="321"/>
      <c r="HQ78" s="321"/>
      <c r="HR78" s="321"/>
      <c r="HS78" s="321"/>
      <c r="HT78" s="321"/>
      <c r="HU78" s="321"/>
      <c r="HV78" s="321"/>
      <c r="HW78" s="321"/>
      <c r="HX78" s="321"/>
      <c r="HY78" s="321"/>
      <c r="HZ78" s="321"/>
      <c r="IA78" s="321"/>
      <c r="IB78" s="321"/>
      <c r="IC78" s="321"/>
      <c r="ID78" s="321"/>
      <c r="IE78" s="321"/>
      <c r="IF78" s="321"/>
      <c r="IG78" s="321"/>
      <c r="IH78" s="321"/>
      <c r="II78" s="321"/>
      <c r="IJ78" s="321"/>
      <c r="IK78" s="321"/>
      <c r="IL78" s="321"/>
      <c r="IM78" s="321"/>
      <c r="IN78" s="321"/>
      <c r="IO78" s="321"/>
      <c r="IP78" s="321"/>
      <c r="IQ78" s="321"/>
      <c r="IR78" s="321"/>
      <c r="IS78" s="321"/>
      <c r="IT78" s="321"/>
      <c r="IU78" s="321"/>
      <c r="IV78" s="321"/>
    </row>
    <row r="79" spans="1:256" s="546" customFormat="1" ht="22.5" customHeight="1">
      <c r="A79" s="561">
        <v>70</v>
      </c>
      <c r="B79" s="554"/>
      <c r="C79" s="361">
        <v>18</v>
      </c>
      <c r="D79" s="323" t="s">
        <v>620</v>
      </c>
      <c r="E79" s="330"/>
      <c r="F79" s="550"/>
      <c r="G79" s="331"/>
      <c r="H79" s="762" t="s">
        <v>24</v>
      </c>
      <c r="I79" s="777"/>
      <c r="J79" s="773"/>
      <c r="K79" s="773"/>
      <c r="L79" s="773"/>
      <c r="M79" s="773"/>
      <c r="N79" s="773"/>
      <c r="O79" s="745"/>
      <c r="P79" s="551"/>
      <c r="Q79" s="321"/>
      <c r="R79" s="321"/>
      <c r="S79" s="321"/>
      <c r="T79" s="321"/>
      <c r="U79" s="321"/>
      <c r="V79" s="321"/>
      <c r="W79" s="321"/>
      <c r="X79" s="321"/>
      <c r="Y79" s="321"/>
      <c r="Z79" s="321"/>
      <c r="AA79" s="321"/>
      <c r="AB79" s="321"/>
      <c r="AC79" s="321"/>
      <c r="AD79" s="321"/>
      <c r="AE79" s="321"/>
      <c r="AF79" s="321"/>
      <c r="AG79" s="321"/>
      <c r="AH79" s="321"/>
      <c r="AI79" s="321"/>
      <c r="AJ79" s="321"/>
      <c r="AK79" s="321"/>
      <c r="AL79" s="321"/>
      <c r="AM79" s="321"/>
      <c r="AN79" s="321"/>
      <c r="AO79" s="321"/>
      <c r="AP79" s="321"/>
      <c r="AQ79" s="321"/>
      <c r="AR79" s="321"/>
      <c r="AS79" s="321"/>
      <c r="AT79" s="321"/>
      <c r="AU79" s="321"/>
      <c r="AV79" s="321"/>
      <c r="AW79" s="321"/>
      <c r="AX79" s="321"/>
      <c r="AY79" s="321"/>
      <c r="AZ79" s="321"/>
      <c r="BA79" s="321"/>
      <c r="BB79" s="321"/>
      <c r="BC79" s="321"/>
      <c r="BD79" s="321"/>
      <c r="BE79" s="321"/>
      <c r="BF79" s="321"/>
      <c r="BG79" s="321"/>
      <c r="BH79" s="321"/>
      <c r="BI79" s="321"/>
      <c r="BJ79" s="321"/>
      <c r="BK79" s="321"/>
      <c r="BL79" s="321"/>
      <c r="BM79" s="321"/>
      <c r="BN79" s="321"/>
      <c r="BO79" s="321"/>
      <c r="BP79" s="321"/>
      <c r="BQ79" s="321"/>
      <c r="BR79" s="321"/>
      <c r="BS79" s="321"/>
      <c r="BT79" s="321"/>
      <c r="BU79" s="321"/>
      <c r="BV79" s="321"/>
      <c r="BW79" s="321"/>
      <c r="BX79" s="321"/>
      <c r="BY79" s="321"/>
      <c r="BZ79" s="321"/>
      <c r="CA79" s="321"/>
      <c r="CB79" s="321"/>
      <c r="CC79" s="321"/>
      <c r="CD79" s="321"/>
      <c r="CE79" s="321"/>
      <c r="CF79" s="321"/>
      <c r="CG79" s="321"/>
      <c r="CH79" s="321"/>
      <c r="CI79" s="321"/>
      <c r="CJ79" s="321"/>
      <c r="CK79" s="321"/>
      <c r="CL79" s="321"/>
      <c r="CM79" s="321"/>
      <c r="CN79" s="321"/>
      <c r="CO79" s="321"/>
      <c r="CP79" s="321"/>
      <c r="CQ79" s="321"/>
      <c r="CR79" s="321"/>
      <c r="CS79" s="321"/>
      <c r="CT79" s="321"/>
      <c r="CU79" s="321"/>
      <c r="CV79" s="321"/>
      <c r="CW79" s="321"/>
      <c r="CX79" s="321"/>
      <c r="CY79" s="321"/>
      <c r="CZ79" s="321"/>
      <c r="DA79" s="321"/>
      <c r="DB79" s="321"/>
      <c r="DC79" s="321"/>
      <c r="DD79" s="321"/>
      <c r="DE79" s="321"/>
      <c r="DF79" s="321"/>
      <c r="DG79" s="321"/>
      <c r="DH79" s="321"/>
      <c r="DI79" s="321"/>
      <c r="DJ79" s="321"/>
      <c r="DK79" s="321"/>
      <c r="DL79" s="321"/>
      <c r="DM79" s="321"/>
      <c r="DN79" s="321"/>
      <c r="DO79" s="321"/>
      <c r="DP79" s="321"/>
      <c r="DQ79" s="321"/>
      <c r="DR79" s="321"/>
      <c r="DS79" s="321"/>
      <c r="DT79" s="321"/>
      <c r="DU79" s="321"/>
      <c r="DV79" s="321"/>
      <c r="DW79" s="321"/>
      <c r="DX79" s="321"/>
      <c r="DY79" s="321"/>
      <c r="DZ79" s="321"/>
      <c r="EA79" s="321"/>
      <c r="EB79" s="321"/>
      <c r="EC79" s="321"/>
      <c r="ED79" s="321"/>
      <c r="EE79" s="321"/>
      <c r="EF79" s="321"/>
      <c r="EG79" s="321"/>
      <c r="EH79" s="321"/>
      <c r="EI79" s="321"/>
      <c r="EJ79" s="321"/>
      <c r="EK79" s="321"/>
      <c r="EL79" s="321"/>
      <c r="EM79" s="321"/>
      <c r="EN79" s="321"/>
      <c r="EO79" s="321"/>
      <c r="EP79" s="321"/>
      <c r="EQ79" s="321"/>
      <c r="ER79" s="321"/>
      <c r="ES79" s="321"/>
      <c r="ET79" s="321"/>
      <c r="EU79" s="321"/>
      <c r="EV79" s="321"/>
      <c r="EW79" s="321"/>
      <c r="EX79" s="321"/>
      <c r="EY79" s="321"/>
      <c r="EZ79" s="321"/>
      <c r="FA79" s="321"/>
      <c r="FB79" s="321"/>
      <c r="FC79" s="321"/>
      <c r="FD79" s="321"/>
      <c r="FE79" s="321"/>
      <c r="FF79" s="321"/>
      <c r="FG79" s="321"/>
      <c r="FH79" s="321"/>
      <c r="FI79" s="321"/>
      <c r="FJ79" s="321"/>
      <c r="FK79" s="321"/>
      <c r="FL79" s="321"/>
      <c r="FM79" s="321"/>
      <c r="FN79" s="321"/>
      <c r="FO79" s="321"/>
      <c r="FP79" s="321"/>
      <c r="FQ79" s="321"/>
      <c r="FR79" s="321"/>
      <c r="FS79" s="321"/>
      <c r="FT79" s="321"/>
      <c r="FU79" s="321"/>
      <c r="FV79" s="321"/>
      <c r="FW79" s="321"/>
      <c r="FX79" s="321"/>
      <c r="FY79" s="321"/>
      <c r="FZ79" s="321"/>
      <c r="GA79" s="321"/>
      <c r="GB79" s="321"/>
      <c r="GC79" s="321"/>
      <c r="GD79" s="321"/>
      <c r="GE79" s="321"/>
      <c r="GF79" s="321"/>
      <c r="GG79" s="321"/>
      <c r="GH79" s="321"/>
      <c r="GI79" s="321"/>
      <c r="GJ79" s="321"/>
      <c r="GK79" s="321"/>
      <c r="GL79" s="321"/>
      <c r="GM79" s="321"/>
      <c r="GN79" s="321"/>
      <c r="GO79" s="321"/>
      <c r="GP79" s="321"/>
      <c r="GQ79" s="321"/>
      <c r="GR79" s="321"/>
      <c r="GS79" s="321"/>
      <c r="GT79" s="321"/>
      <c r="GU79" s="321"/>
      <c r="GV79" s="321"/>
      <c r="GW79" s="321"/>
      <c r="GX79" s="321"/>
      <c r="GY79" s="321"/>
      <c r="GZ79" s="321"/>
      <c r="HA79" s="321"/>
      <c r="HB79" s="321"/>
      <c r="HC79" s="321"/>
      <c r="HD79" s="321"/>
      <c r="HE79" s="321"/>
      <c r="HF79" s="321"/>
      <c r="HG79" s="321"/>
      <c r="HH79" s="321"/>
      <c r="HI79" s="321"/>
      <c r="HJ79" s="321"/>
      <c r="HK79" s="321"/>
      <c r="HL79" s="321"/>
      <c r="HM79" s="321"/>
      <c r="HN79" s="321"/>
      <c r="HO79" s="321"/>
      <c r="HP79" s="321"/>
      <c r="HQ79" s="321"/>
      <c r="HR79" s="321"/>
      <c r="HS79" s="321"/>
      <c r="HT79" s="321"/>
      <c r="HU79" s="321"/>
      <c r="HV79" s="321"/>
      <c r="HW79" s="321"/>
      <c r="HX79" s="321"/>
      <c r="HY79" s="321"/>
      <c r="HZ79" s="321"/>
      <c r="IA79" s="321"/>
      <c r="IB79" s="321"/>
      <c r="IC79" s="321"/>
      <c r="ID79" s="321"/>
      <c r="IE79" s="321"/>
      <c r="IF79" s="321"/>
      <c r="IG79" s="321"/>
      <c r="IH79" s="321"/>
      <c r="II79" s="321"/>
      <c r="IJ79" s="321"/>
      <c r="IK79" s="321"/>
      <c r="IL79" s="321"/>
      <c r="IM79" s="321"/>
      <c r="IN79" s="321"/>
      <c r="IO79" s="321"/>
      <c r="IP79" s="321"/>
      <c r="IQ79" s="321"/>
      <c r="IR79" s="321"/>
      <c r="IS79" s="321"/>
      <c r="IT79" s="321"/>
      <c r="IU79" s="321"/>
      <c r="IV79" s="321"/>
    </row>
    <row r="80" spans="1:256" s="546" customFormat="1" ht="18" customHeight="1">
      <c r="A80" s="561">
        <v>71</v>
      </c>
      <c r="B80" s="554"/>
      <c r="C80" s="322"/>
      <c r="D80" s="755" t="s">
        <v>303</v>
      </c>
      <c r="E80" s="330">
        <f>F80+G80+O81+P80</f>
        <v>390564</v>
      </c>
      <c r="F80" s="550"/>
      <c r="G80" s="331"/>
      <c r="H80" s="762"/>
      <c r="I80" s="777"/>
      <c r="J80" s="773"/>
      <c r="K80" s="773"/>
      <c r="L80" s="773"/>
      <c r="M80" s="773">
        <v>390564</v>
      </c>
      <c r="N80" s="773"/>
      <c r="O80" s="745">
        <f>SUM(I80:N80)</f>
        <v>390564</v>
      </c>
      <c r="P80" s="551"/>
      <c r="Q80" s="321"/>
      <c r="R80" s="321"/>
      <c r="S80" s="321"/>
      <c r="T80" s="321"/>
      <c r="U80" s="321"/>
      <c r="V80" s="321"/>
      <c r="W80" s="321"/>
      <c r="X80" s="321"/>
      <c r="Y80" s="321"/>
      <c r="Z80" s="321"/>
      <c r="AA80" s="321"/>
      <c r="AB80" s="321"/>
      <c r="AC80" s="321"/>
      <c r="AD80" s="321"/>
      <c r="AE80" s="321"/>
      <c r="AF80" s="321"/>
      <c r="AG80" s="321"/>
      <c r="AH80" s="321"/>
      <c r="AI80" s="321"/>
      <c r="AJ80" s="321"/>
      <c r="AK80" s="321"/>
      <c r="AL80" s="321"/>
      <c r="AM80" s="321"/>
      <c r="AN80" s="321"/>
      <c r="AO80" s="321"/>
      <c r="AP80" s="321"/>
      <c r="AQ80" s="321"/>
      <c r="AR80" s="321"/>
      <c r="AS80" s="321"/>
      <c r="AT80" s="321"/>
      <c r="AU80" s="321"/>
      <c r="AV80" s="321"/>
      <c r="AW80" s="321"/>
      <c r="AX80" s="321"/>
      <c r="AY80" s="321"/>
      <c r="AZ80" s="321"/>
      <c r="BA80" s="321"/>
      <c r="BB80" s="321"/>
      <c r="BC80" s="321"/>
      <c r="BD80" s="321"/>
      <c r="BE80" s="321"/>
      <c r="BF80" s="321"/>
      <c r="BG80" s="321"/>
      <c r="BH80" s="321"/>
      <c r="BI80" s="321"/>
      <c r="BJ80" s="321"/>
      <c r="BK80" s="321"/>
      <c r="BL80" s="321"/>
      <c r="BM80" s="321"/>
      <c r="BN80" s="321"/>
      <c r="BO80" s="321"/>
      <c r="BP80" s="321"/>
      <c r="BQ80" s="321"/>
      <c r="BR80" s="321"/>
      <c r="BS80" s="321"/>
      <c r="BT80" s="321"/>
      <c r="BU80" s="321"/>
      <c r="BV80" s="321"/>
      <c r="BW80" s="321"/>
      <c r="BX80" s="321"/>
      <c r="BY80" s="321"/>
      <c r="BZ80" s="321"/>
      <c r="CA80" s="321"/>
      <c r="CB80" s="321"/>
      <c r="CC80" s="321"/>
      <c r="CD80" s="321"/>
      <c r="CE80" s="321"/>
      <c r="CF80" s="321"/>
      <c r="CG80" s="321"/>
      <c r="CH80" s="321"/>
      <c r="CI80" s="321"/>
      <c r="CJ80" s="321"/>
      <c r="CK80" s="321"/>
      <c r="CL80" s="321"/>
      <c r="CM80" s="321"/>
      <c r="CN80" s="321"/>
      <c r="CO80" s="321"/>
      <c r="CP80" s="321"/>
      <c r="CQ80" s="321"/>
      <c r="CR80" s="321"/>
      <c r="CS80" s="321"/>
      <c r="CT80" s="321"/>
      <c r="CU80" s="321"/>
      <c r="CV80" s="321"/>
      <c r="CW80" s="321"/>
      <c r="CX80" s="321"/>
      <c r="CY80" s="321"/>
      <c r="CZ80" s="321"/>
      <c r="DA80" s="321"/>
      <c r="DB80" s="321"/>
      <c r="DC80" s="321"/>
      <c r="DD80" s="321"/>
      <c r="DE80" s="321"/>
      <c r="DF80" s="321"/>
      <c r="DG80" s="321"/>
      <c r="DH80" s="321"/>
      <c r="DI80" s="321"/>
      <c r="DJ80" s="321"/>
      <c r="DK80" s="321"/>
      <c r="DL80" s="321"/>
      <c r="DM80" s="321"/>
      <c r="DN80" s="321"/>
      <c r="DO80" s="321"/>
      <c r="DP80" s="321"/>
      <c r="DQ80" s="321"/>
      <c r="DR80" s="321"/>
      <c r="DS80" s="321"/>
      <c r="DT80" s="321"/>
      <c r="DU80" s="321"/>
      <c r="DV80" s="321"/>
      <c r="DW80" s="321"/>
      <c r="DX80" s="321"/>
      <c r="DY80" s="321"/>
      <c r="DZ80" s="321"/>
      <c r="EA80" s="321"/>
      <c r="EB80" s="321"/>
      <c r="EC80" s="321"/>
      <c r="ED80" s="321"/>
      <c r="EE80" s="321"/>
      <c r="EF80" s="321"/>
      <c r="EG80" s="321"/>
      <c r="EH80" s="321"/>
      <c r="EI80" s="321"/>
      <c r="EJ80" s="321"/>
      <c r="EK80" s="321"/>
      <c r="EL80" s="321"/>
      <c r="EM80" s="321"/>
      <c r="EN80" s="321"/>
      <c r="EO80" s="321"/>
      <c r="EP80" s="321"/>
      <c r="EQ80" s="321"/>
      <c r="ER80" s="321"/>
      <c r="ES80" s="321"/>
      <c r="ET80" s="321"/>
      <c r="EU80" s="321"/>
      <c r="EV80" s="321"/>
      <c r="EW80" s="321"/>
      <c r="EX80" s="321"/>
      <c r="EY80" s="321"/>
      <c r="EZ80" s="321"/>
      <c r="FA80" s="321"/>
      <c r="FB80" s="321"/>
      <c r="FC80" s="321"/>
      <c r="FD80" s="321"/>
      <c r="FE80" s="321"/>
      <c r="FF80" s="321"/>
      <c r="FG80" s="321"/>
      <c r="FH80" s="321"/>
      <c r="FI80" s="321"/>
      <c r="FJ80" s="321"/>
      <c r="FK80" s="321"/>
      <c r="FL80" s="321"/>
      <c r="FM80" s="321"/>
      <c r="FN80" s="321"/>
      <c r="FO80" s="321"/>
      <c r="FP80" s="321"/>
      <c r="FQ80" s="321"/>
      <c r="FR80" s="321"/>
      <c r="FS80" s="321"/>
      <c r="FT80" s="321"/>
      <c r="FU80" s="321"/>
      <c r="FV80" s="321"/>
      <c r="FW80" s="321"/>
      <c r="FX80" s="321"/>
      <c r="FY80" s="321"/>
      <c r="FZ80" s="321"/>
      <c r="GA80" s="321"/>
      <c r="GB80" s="321"/>
      <c r="GC80" s="321"/>
      <c r="GD80" s="321"/>
      <c r="GE80" s="321"/>
      <c r="GF80" s="321"/>
      <c r="GG80" s="321"/>
      <c r="GH80" s="321"/>
      <c r="GI80" s="321"/>
      <c r="GJ80" s="321"/>
      <c r="GK80" s="321"/>
      <c r="GL80" s="321"/>
      <c r="GM80" s="321"/>
      <c r="GN80" s="321"/>
      <c r="GO80" s="321"/>
      <c r="GP80" s="321"/>
      <c r="GQ80" s="321"/>
      <c r="GR80" s="321"/>
      <c r="GS80" s="321"/>
      <c r="GT80" s="321"/>
      <c r="GU80" s="321"/>
      <c r="GV80" s="321"/>
      <c r="GW80" s="321"/>
      <c r="GX80" s="321"/>
      <c r="GY80" s="321"/>
      <c r="GZ80" s="321"/>
      <c r="HA80" s="321"/>
      <c r="HB80" s="321"/>
      <c r="HC80" s="321"/>
      <c r="HD80" s="321"/>
      <c r="HE80" s="321"/>
      <c r="HF80" s="321"/>
      <c r="HG80" s="321"/>
      <c r="HH80" s="321"/>
      <c r="HI80" s="321"/>
      <c r="HJ80" s="321"/>
      <c r="HK80" s="321"/>
      <c r="HL80" s="321"/>
      <c r="HM80" s="321"/>
      <c r="HN80" s="321"/>
      <c r="HO80" s="321"/>
      <c r="HP80" s="321"/>
      <c r="HQ80" s="321"/>
      <c r="HR80" s="321"/>
      <c r="HS80" s="321"/>
      <c r="HT80" s="321"/>
      <c r="HU80" s="321"/>
      <c r="HV80" s="321"/>
      <c r="HW80" s="321"/>
      <c r="HX80" s="321"/>
      <c r="HY80" s="321"/>
      <c r="HZ80" s="321"/>
      <c r="IA80" s="321"/>
      <c r="IB80" s="321"/>
      <c r="IC80" s="321"/>
      <c r="ID80" s="321"/>
      <c r="IE80" s="321"/>
      <c r="IF80" s="321"/>
      <c r="IG80" s="321"/>
      <c r="IH80" s="321"/>
      <c r="II80" s="321"/>
      <c r="IJ80" s="321"/>
      <c r="IK80" s="321"/>
      <c r="IL80" s="321"/>
      <c r="IM80" s="321"/>
      <c r="IN80" s="321"/>
      <c r="IO80" s="321"/>
      <c r="IP80" s="321"/>
      <c r="IQ80" s="321"/>
      <c r="IR80" s="321"/>
      <c r="IS80" s="321"/>
      <c r="IT80" s="321"/>
      <c r="IU80" s="321"/>
      <c r="IV80" s="321"/>
    </row>
    <row r="81" spans="1:256" s="546" customFormat="1" ht="18" customHeight="1">
      <c r="A81" s="561">
        <v>72</v>
      </c>
      <c r="B81" s="554"/>
      <c r="C81" s="322"/>
      <c r="D81" s="436" t="s">
        <v>994</v>
      </c>
      <c r="E81" s="330"/>
      <c r="F81" s="550"/>
      <c r="G81" s="331"/>
      <c r="H81" s="762"/>
      <c r="I81" s="777"/>
      <c r="J81" s="773"/>
      <c r="K81" s="773"/>
      <c r="L81" s="773"/>
      <c r="M81" s="547">
        <v>390564</v>
      </c>
      <c r="N81" s="773"/>
      <c r="O81" s="555">
        <f>SUM(I81:N81)</f>
        <v>390564</v>
      </c>
      <c r="P81" s="551"/>
      <c r="Q81" s="321"/>
      <c r="R81" s="321"/>
      <c r="S81" s="321"/>
      <c r="T81" s="321"/>
      <c r="U81" s="321"/>
      <c r="V81" s="321"/>
      <c r="W81" s="321"/>
      <c r="X81" s="321"/>
      <c r="Y81" s="321"/>
      <c r="Z81" s="321"/>
      <c r="AA81" s="321"/>
      <c r="AB81" s="321"/>
      <c r="AC81" s="321"/>
      <c r="AD81" s="321"/>
      <c r="AE81" s="321"/>
      <c r="AF81" s="321"/>
      <c r="AG81" s="321"/>
      <c r="AH81" s="321"/>
      <c r="AI81" s="321"/>
      <c r="AJ81" s="321"/>
      <c r="AK81" s="321"/>
      <c r="AL81" s="321"/>
      <c r="AM81" s="321"/>
      <c r="AN81" s="321"/>
      <c r="AO81" s="321"/>
      <c r="AP81" s="321"/>
      <c r="AQ81" s="321"/>
      <c r="AR81" s="321"/>
      <c r="AS81" s="321"/>
      <c r="AT81" s="321"/>
      <c r="AU81" s="321"/>
      <c r="AV81" s="321"/>
      <c r="AW81" s="321"/>
      <c r="AX81" s="321"/>
      <c r="AY81" s="321"/>
      <c r="AZ81" s="321"/>
      <c r="BA81" s="321"/>
      <c r="BB81" s="321"/>
      <c r="BC81" s="321"/>
      <c r="BD81" s="321"/>
      <c r="BE81" s="321"/>
      <c r="BF81" s="321"/>
      <c r="BG81" s="321"/>
      <c r="BH81" s="321"/>
      <c r="BI81" s="321"/>
      <c r="BJ81" s="321"/>
      <c r="BK81" s="321"/>
      <c r="BL81" s="321"/>
      <c r="BM81" s="321"/>
      <c r="BN81" s="321"/>
      <c r="BO81" s="321"/>
      <c r="BP81" s="321"/>
      <c r="BQ81" s="321"/>
      <c r="BR81" s="321"/>
      <c r="BS81" s="321"/>
      <c r="BT81" s="321"/>
      <c r="BU81" s="321"/>
      <c r="BV81" s="321"/>
      <c r="BW81" s="321"/>
      <c r="BX81" s="321"/>
      <c r="BY81" s="321"/>
      <c r="BZ81" s="321"/>
      <c r="CA81" s="321"/>
      <c r="CB81" s="321"/>
      <c r="CC81" s="321"/>
      <c r="CD81" s="321"/>
      <c r="CE81" s="321"/>
      <c r="CF81" s="321"/>
      <c r="CG81" s="321"/>
      <c r="CH81" s="321"/>
      <c r="CI81" s="321"/>
      <c r="CJ81" s="321"/>
      <c r="CK81" s="321"/>
      <c r="CL81" s="321"/>
      <c r="CM81" s="321"/>
      <c r="CN81" s="321"/>
      <c r="CO81" s="321"/>
      <c r="CP81" s="321"/>
      <c r="CQ81" s="321"/>
      <c r="CR81" s="321"/>
      <c r="CS81" s="321"/>
      <c r="CT81" s="321"/>
      <c r="CU81" s="321"/>
      <c r="CV81" s="321"/>
      <c r="CW81" s="321"/>
      <c r="CX81" s="321"/>
      <c r="CY81" s="321"/>
      <c r="CZ81" s="321"/>
      <c r="DA81" s="321"/>
      <c r="DB81" s="321"/>
      <c r="DC81" s="321"/>
      <c r="DD81" s="321"/>
      <c r="DE81" s="321"/>
      <c r="DF81" s="321"/>
      <c r="DG81" s="321"/>
      <c r="DH81" s="321"/>
      <c r="DI81" s="321"/>
      <c r="DJ81" s="321"/>
      <c r="DK81" s="321"/>
      <c r="DL81" s="321"/>
      <c r="DM81" s="321"/>
      <c r="DN81" s="321"/>
      <c r="DO81" s="321"/>
      <c r="DP81" s="321"/>
      <c r="DQ81" s="321"/>
      <c r="DR81" s="321"/>
      <c r="DS81" s="321"/>
      <c r="DT81" s="321"/>
      <c r="DU81" s="321"/>
      <c r="DV81" s="321"/>
      <c r="DW81" s="321"/>
      <c r="DX81" s="321"/>
      <c r="DY81" s="321"/>
      <c r="DZ81" s="321"/>
      <c r="EA81" s="321"/>
      <c r="EB81" s="321"/>
      <c r="EC81" s="321"/>
      <c r="ED81" s="321"/>
      <c r="EE81" s="321"/>
      <c r="EF81" s="321"/>
      <c r="EG81" s="321"/>
      <c r="EH81" s="321"/>
      <c r="EI81" s="321"/>
      <c r="EJ81" s="321"/>
      <c r="EK81" s="321"/>
      <c r="EL81" s="321"/>
      <c r="EM81" s="321"/>
      <c r="EN81" s="321"/>
      <c r="EO81" s="321"/>
      <c r="EP81" s="321"/>
      <c r="EQ81" s="321"/>
      <c r="ER81" s="321"/>
      <c r="ES81" s="321"/>
      <c r="ET81" s="321"/>
      <c r="EU81" s="321"/>
      <c r="EV81" s="321"/>
      <c r="EW81" s="321"/>
      <c r="EX81" s="321"/>
      <c r="EY81" s="321"/>
      <c r="EZ81" s="321"/>
      <c r="FA81" s="321"/>
      <c r="FB81" s="321"/>
      <c r="FC81" s="321"/>
      <c r="FD81" s="321"/>
      <c r="FE81" s="321"/>
      <c r="FF81" s="321"/>
      <c r="FG81" s="321"/>
      <c r="FH81" s="321"/>
      <c r="FI81" s="321"/>
      <c r="FJ81" s="321"/>
      <c r="FK81" s="321"/>
      <c r="FL81" s="321"/>
      <c r="FM81" s="321"/>
      <c r="FN81" s="321"/>
      <c r="FO81" s="321"/>
      <c r="FP81" s="321"/>
      <c r="FQ81" s="321"/>
      <c r="FR81" s="321"/>
      <c r="FS81" s="321"/>
      <c r="FT81" s="321"/>
      <c r="FU81" s="321"/>
      <c r="FV81" s="321"/>
      <c r="FW81" s="321"/>
      <c r="FX81" s="321"/>
      <c r="FY81" s="321"/>
      <c r="FZ81" s="321"/>
      <c r="GA81" s="321"/>
      <c r="GB81" s="321"/>
      <c r="GC81" s="321"/>
      <c r="GD81" s="321"/>
      <c r="GE81" s="321"/>
      <c r="GF81" s="321"/>
      <c r="GG81" s="321"/>
      <c r="GH81" s="321"/>
      <c r="GI81" s="321"/>
      <c r="GJ81" s="321"/>
      <c r="GK81" s="321"/>
      <c r="GL81" s="321"/>
      <c r="GM81" s="321"/>
      <c r="GN81" s="321"/>
      <c r="GO81" s="321"/>
      <c r="GP81" s="321"/>
      <c r="GQ81" s="321"/>
      <c r="GR81" s="321"/>
      <c r="GS81" s="321"/>
      <c r="GT81" s="321"/>
      <c r="GU81" s="321"/>
      <c r="GV81" s="321"/>
      <c r="GW81" s="321"/>
      <c r="GX81" s="321"/>
      <c r="GY81" s="321"/>
      <c r="GZ81" s="321"/>
      <c r="HA81" s="321"/>
      <c r="HB81" s="321"/>
      <c r="HC81" s="321"/>
      <c r="HD81" s="321"/>
      <c r="HE81" s="321"/>
      <c r="HF81" s="321"/>
      <c r="HG81" s="321"/>
      <c r="HH81" s="321"/>
      <c r="HI81" s="321"/>
      <c r="HJ81" s="321"/>
      <c r="HK81" s="321"/>
      <c r="HL81" s="321"/>
      <c r="HM81" s="321"/>
      <c r="HN81" s="321"/>
      <c r="HO81" s="321"/>
      <c r="HP81" s="321"/>
      <c r="HQ81" s="321"/>
      <c r="HR81" s="321"/>
      <c r="HS81" s="321"/>
      <c r="HT81" s="321"/>
      <c r="HU81" s="321"/>
      <c r="HV81" s="321"/>
      <c r="HW81" s="321"/>
      <c r="HX81" s="321"/>
      <c r="HY81" s="321"/>
      <c r="HZ81" s="321"/>
      <c r="IA81" s="321"/>
      <c r="IB81" s="321"/>
      <c r="IC81" s="321"/>
      <c r="ID81" s="321"/>
      <c r="IE81" s="321"/>
      <c r="IF81" s="321"/>
      <c r="IG81" s="321"/>
      <c r="IH81" s="321"/>
      <c r="II81" s="321"/>
      <c r="IJ81" s="321"/>
      <c r="IK81" s="321"/>
      <c r="IL81" s="321"/>
      <c r="IM81" s="321"/>
      <c r="IN81" s="321"/>
      <c r="IO81" s="321"/>
      <c r="IP81" s="321"/>
      <c r="IQ81" s="321"/>
      <c r="IR81" s="321"/>
      <c r="IS81" s="321"/>
      <c r="IT81" s="321"/>
      <c r="IU81" s="321"/>
      <c r="IV81" s="321"/>
    </row>
    <row r="82" spans="1:256" s="546" customFormat="1" ht="18" customHeight="1">
      <c r="A82" s="561">
        <v>73</v>
      </c>
      <c r="B82" s="554"/>
      <c r="C82" s="322"/>
      <c r="D82" s="987" t="s">
        <v>1036</v>
      </c>
      <c r="E82" s="330"/>
      <c r="F82" s="550"/>
      <c r="G82" s="331"/>
      <c r="H82" s="762"/>
      <c r="I82" s="758"/>
      <c r="J82" s="547"/>
      <c r="K82" s="547"/>
      <c r="L82" s="547"/>
      <c r="M82" s="1266">
        <v>0</v>
      </c>
      <c r="N82" s="547"/>
      <c r="O82" s="1175">
        <f>SUM(I82:N82)</f>
        <v>0</v>
      </c>
      <c r="P82" s="551"/>
      <c r="Q82" s="321"/>
      <c r="R82" s="321"/>
      <c r="S82" s="321"/>
      <c r="T82" s="321"/>
      <c r="U82" s="321"/>
      <c r="V82" s="321"/>
      <c r="W82" s="321"/>
      <c r="X82" s="321"/>
      <c r="Y82" s="321"/>
      <c r="Z82" s="321"/>
      <c r="AA82" s="321"/>
      <c r="AB82" s="321"/>
      <c r="AC82" s="321"/>
      <c r="AD82" s="321"/>
      <c r="AE82" s="321"/>
      <c r="AF82" s="321"/>
      <c r="AG82" s="321"/>
      <c r="AH82" s="321"/>
      <c r="AI82" s="321"/>
      <c r="AJ82" s="321"/>
      <c r="AK82" s="321"/>
      <c r="AL82" s="321"/>
      <c r="AM82" s="321"/>
      <c r="AN82" s="321"/>
      <c r="AO82" s="321"/>
      <c r="AP82" s="321"/>
      <c r="AQ82" s="321"/>
      <c r="AR82" s="321"/>
      <c r="AS82" s="321"/>
      <c r="AT82" s="321"/>
      <c r="AU82" s="321"/>
      <c r="AV82" s="321"/>
      <c r="AW82" s="321"/>
      <c r="AX82" s="321"/>
      <c r="AY82" s="321"/>
      <c r="AZ82" s="321"/>
      <c r="BA82" s="321"/>
      <c r="BB82" s="321"/>
      <c r="BC82" s="321"/>
      <c r="BD82" s="321"/>
      <c r="BE82" s="321"/>
      <c r="BF82" s="321"/>
      <c r="BG82" s="321"/>
      <c r="BH82" s="321"/>
      <c r="BI82" s="321"/>
      <c r="BJ82" s="321"/>
      <c r="BK82" s="321"/>
      <c r="BL82" s="321"/>
      <c r="BM82" s="321"/>
      <c r="BN82" s="321"/>
      <c r="BO82" s="321"/>
      <c r="BP82" s="321"/>
      <c r="BQ82" s="321"/>
      <c r="BR82" s="321"/>
      <c r="BS82" s="321"/>
      <c r="BT82" s="321"/>
      <c r="BU82" s="321"/>
      <c r="BV82" s="321"/>
      <c r="BW82" s="321"/>
      <c r="BX82" s="321"/>
      <c r="BY82" s="321"/>
      <c r="BZ82" s="321"/>
      <c r="CA82" s="321"/>
      <c r="CB82" s="321"/>
      <c r="CC82" s="321"/>
      <c r="CD82" s="321"/>
      <c r="CE82" s="321"/>
      <c r="CF82" s="321"/>
      <c r="CG82" s="321"/>
      <c r="CH82" s="321"/>
      <c r="CI82" s="321"/>
      <c r="CJ82" s="321"/>
      <c r="CK82" s="321"/>
      <c r="CL82" s="321"/>
      <c r="CM82" s="321"/>
      <c r="CN82" s="321"/>
      <c r="CO82" s="321"/>
      <c r="CP82" s="321"/>
      <c r="CQ82" s="321"/>
      <c r="CR82" s="321"/>
      <c r="CS82" s="321"/>
      <c r="CT82" s="321"/>
      <c r="CU82" s="321"/>
      <c r="CV82" s="321"/>
      <c r="CW82" s="321"/>
      <c r="CX82" s="321"/>
      <c r="CY82" s="321"/>
      <c r="CZ82" s="321"/>
      <c r="DA82" s="321"/>
      <c r="DB82" s="321"/>
      <c r="DC82" s="321"/>
      <c r="DD82" s="321"/>
      <c r="DE82" s="321"/>
      <c r="DF82" s="321"/>
      <c r="DG82" s="321"/>
      <c r="DH82" s="321"/>
      <c r="DI82" s="321"/>
      <c r="DJ82" s="321"/>
      <c r="DK82" s="321"/>
      <c r="DL82" s="321"/>
      <c r="DM82" s="321"/>
      <c r="DN82" s="321"/>
      <c r="DO82" s="321"/>
      <c r="DP82" s="321"/>
      <c r="DQ82" s="321"/>
      <c r="DR82" s="321"/>
      <c r="DS82" s="321"/>
      <c r="DT82" s="321"/>
      <c r="DU82" s="321"/>
      <c r="DV82" s="321"/>
      <c r="DW82" s="321"/>
      <c r="DX82" s="321"/>
      <c r="DY82" s="321"/>
      <c r="DZ82" s="321"/>
      <c r="EA82" s="321"/>
      <c r="EB82" s="321"/>
      <c r="EC82" s="321"/>
      <c r="ED82" s="321"/>
      <c r="EE82" s="321"/>
      <c r="EF82" s="321"/>
      <c r="EG82" s="321"/>
      <c r="EH82" s="321"/>
      <c r="EI82" s="321"/>
      <c r="EJ82" s="321"/>
      <c r="EK82" s="321"/>
      <c r="EL82" s="321"/>
      <c r="EM82" s="321"/>
      <c r="EN82" s="321"/>
      <c r="EO82" s="321"/>
      <c r="EP82" s="321"/>
      <c r="EQ82" s="321"/>
      <c r="ER82" s="321"/>
      <c r="ES82" s="321"/>
      <c r="ET82" s="321"/>
      <c r="EU82" s="321"/>
      <c r="EV82" s="321"/>
      <c r="EW82" s="321"/>
      <c r="EX82" s="321"/>
      <c r="EY82" s="321"/>
      <c r="EZ82" s="321"/>
      <c r="FA82" s="321"/>
      <c r="FB82" s="321"/>
      <c r="FC82" s="321"/>
      <c r="FD82" s="321"/>
      <c r="FE82" s="321"/>
      <c r="FF82" s="321"/>
      <c r="FG82" s="321"/>
      <c r="FH82" s="321"/>
      <c r="FI82" s="321"/>
      <c r="FJ82" s="321"/>
      <c r="FK82" s="321"/>
      <c r="FL82" s="321"/>
      <c r="FM82" s="321"/>
      <c r="FN82" s="321"/>
      <c r="FO82" s="321"/>
      <c r="FP82" s="321"/>
      <c r="FQ82" s="321"/>
      <c r="FR82" s="321"/>
      <c r="FS82" s="321"/>
      <c r="FT82" s="321"/>
      <c r="FU82" s="321"/>
      <c r="FV82" s="321"/>
      <c r="FW82" s="321"/>
      <c r="FX82" s="321"/>
      <c r="FY82" s="321"/>
      <c r="FZ82" s="321"/>
      <c r="GA82" s="321"/>
      <c r="GB82" s="321"/>
      <c r="GC82" s="321"/>
      <c r="GD82" s="321"/>
      <c r="GE82" s="321"/>
      <c r="GF82" s="321"/>
      <c r="GG82" s="321"/>
      <c r="GH82" s="321"/>
      <c r="GI82" s="321"/>
      <c r="GJ82" s="321"/>
      <c r="GK82" s="321"/>
      <c r="GL82" s="321"/>
      <c r="GM82" s="321"/>
      <c r="GN82" s="321"/>
      <c r="GO82" s="321"/>
      <c r="GP82" s="321"/>
      <c r="GQ82" s="321"/>
      <c r="GR82" s="321"/>
      <c r="GS82" s="321"/>
      <c r="GT82" s="321"/>
      <c r="GU82" s="321"/>
      <c r="GV82" s="321"/>
      <c r="GW82" s="321"/>
      <c r="GX82" s="321"/>
      <c r="GY82" s="321"/>
      <c r="GZ82" s="321"/>
      <c r="HA82" s="321"/>
      <c r="HB82" s="321"/>
      <c r="HC82" s="321"/>
      <c r="HD82" s="321"/>
      <c r="HE82" s="321"/>
      <c r="HF82" s="321"/>
      <c r="HG82" s="321"/>
      <c r="HH82" s="321"/>
      <c r="HI82" s="321"/>
      <c r="HJ82" s="321"/>
      <c r="HK82" s="321"/>
      <c r="HL82" s="321"/>
      <c r="HM82" s="321"/>
      <c r="HN82" s="321"/>
      <c r="HO82" s="321"/>
      <c r="HP82" s="321"/>
      <c r="HQ82" s="321"/>
      <c r="HR82" s="321"/>
      <c r="HS82" s="321"/>
      <c r="HT82" s="321"/>
      <c r="HU82" s="321"/>
      <c r="HV82" s="321"/>
      <c r="HW82" s="321"/>
      <c r="HX82" s="321"/>
      <c r="HY82" s="321"/>
      <c r="HZ82" s="321"/>
      <c r="IA82" s="321"/>
      <c r="IB82" s="321"/>
      <c r="IC82" s="321"/>
      <c r="ID82" s="321"/>
      <c r="IE82" s="321"/>
      <c r="IF82" s="321"/>
      <c r="IG82" s="321"/>
      <c r="IH82" s="321"/>
      <c r="II82" s="321"/>
      <c r="IJ82" s="321"/>
      <c r="IK82" s="321"/>
      <c r="IL82" s="321"/>
      <c r="IM82" s="321"/>
      <c r="IN82" s="321"/>
      <c r="IO82" s="321"/>
      <c r="IP82" s="321"/>
      <c r="IQ82" s="321"/>
      <c r="IR82" s="321"/>
      <c r="IS82" s="321"/>
      <c r="IT82" s="321"/>
      <c r="IU82" s="321"/>
      <c r="IV82" s="321"/>
    </row>
    <row r="83" spans="1:256" s="546" customFormat="1" ht="22.5" customHeight="1">
      <c r="A83" s="561">
        <v>74</v>
      </c>
      <c r="B83" s="554"/>
      <c r="C83" s="361">
        <v>19</v>
      </c>
      <c r="D83" s="323" t="s">
        <v>621</v>
      </c>
      <c r="E83" s="330"/>
      <c r="F83" s="550"/>
      <c r="G83" s="331"/>
      <c r="H83" s="762" t="s">
        <v>24</v>
      </c>
      <c r="I83" s="777"/>
      <c r="J83" s="773"/>
      <c r="K83" s="773"/>
      <c r="L83" s="773"/>
      <c r="M83" s="773"/>
      <c r="N83" s="773"/>
      <c r="O83" s="745"/>
      <c r="P83" s="551"/>
      <c r="Q83" s="321"/>
      <c r="R83" s="321"/>
      <c r="S83" s="321"/>
      <c r="T83" s="321"/>
      <c r="U83" s="321"/>
      <c r="V83" s="321"/>
      <c r="W83" s="321"/>
      <c r="X83" s="321"/>
      <c r="Y83" s="321"/>
      <c r="Z83" s="321"/>
      <c r="AA83" s="321"/>
      <c r="AB83" s="321"/>
      <c r="AC83" s="321"/>
      <c r="AD83" s="321"/>
      <c r="AE83" s="321"/>
      <c r="AF83" s="321"/>
      <c r="AG83" s="321"/>
      <c r="AH83" s="321"/>
      <c r="AI83" s="321"/>
      <c r="AJ83" s="321"/>
      <c r="AK83" s="321"/>
      <c r="AL83" s="321"/>
      <c r="AM83" s="321"/>
      <c r="AN83" s="321"/>
      <c r="AO83" s="321"/>
      <c r="AP83" s="321"/>
      <c r="AQ83" s="321"/>
      <c r="AR83" s="321"/>
      <c r="AS83" s="321"/>
      <c r="AT83" s="321"/>
      <c r="AU83" s="321"/>
      <c r="AV83" s="321"/>
      <c r="AW83" s="321"/>
      <c r="AX83" s="321"/>
      <c r="AY83" s="321"/>
      <c r="AZ83" s="321"/>
      <c r="BA83" s="321"/>
      <c r="BB83" s="321"/>
      <c r="BC83" s="321"/>
      <c r="BD83" s="321"/>
      <c r="BE83" s="321"/>
      <c r="BF83" s="321"/>
      <c r="BG83" s="321"/>
      <c r="BH83" s="321"/>
      <c r="BI83" s="321"/>
      <c r="BJ83" s="321"/>
      <c r="BK83" s="321"/>
      <c r="BL83" s="321"/>
      <c r="BM83" s="321"/>
      <c r="BN83" s="321"/>
      <c r="BO83" s="321"/>
      <c r="BP83" s="321"/>
      <c r="BQ83" s="321"/>
      <c r="BR83" s="321"/>
      <c r="BS83" s="321"/>
      <c r="BT83" s="321"/>
      <c r="BU83" s="321"/>
      <c r="BV83" s="321"/>
      <c r="BW83" s="321"/>
      <c r="BX83" s="321"/>
      <c r="BY83" s="321"/>
      <c r="BZ83" s="321"/>
      <c r="CA83" s="321"/>
      <c r="CB83" s="321"/>
      <c r="CC83" s="321"/>
      <c r="CD83" s="321"/>
      <c r="CE83" s="321"/>
      <c r="CF83" s="321"/>
      <c r="CG83" s="321"/>
      <c r="CH83" s="321"/>
      <c r="CI83" s="321"/>
      <c r="CJ83" s="321"/>
      <c r="CK83" s="321"/>
      <c r="CL83" s="321"/>
      <c r="CM83" s="321"/>
      <c r="CN83" s="321"/>
      <c r="CO83" s="321"/>
      <c r="CP83" s="321"/>
      <c r="CQ83" s="321"/>
      <c r="CR83" s="321"/>
      <c r="CS83" s="321"/>
      <c r="CT83" s="321"/>
      <c r="CU83" s="321"/>
      <c r="CV83" s="321"/>
      <c r="CW83" s="321"/>
      <c r="CX83" s="321"/>
      <c r="CY83" s="321"/>
      <c r="CZ83" s="321"/>
      <c r="DA83" s="321"/>
      <c r="DB83" s="321"/>
      <c r="DC83" s="321"/>
      <c r="DD83" s="321"/>
      <c r="DE83" s="321"/>
      <c r="DF83" s="321"/>
      <c r="DG83" s="321"/>
      <c r="DH83" s="321"/>
      <c r="DI83" s="321"/>
      <c r="DJ83" s="321"/>
      <c r="DK83" s="321"/>
      <c r="DL83" s="321"/>
      <c r="DM83" s="321"/>
      <c r="DN83" s="321"/>
      <c r="DO83" s="321"/>
      <c r="DP83" s="321"/>
      <c r="DQ83" s="321"/>
      <c r="DR83" s="321"/>
      <c r="DS83" s="321"/>
      <c r="DT83" s="321"/>
      <c r="DU83" s="321"/>
      <c r="DV83" s="321"/>
      <c r="DW83" s="321"/>
      <c r="DX83" s="321"/>
      <c r="DY83" s="321"/>
      <c r="DZ83" s="321"/>
      <c r="EA83" s="321"/>
      <c r="EB83" s="321"/>
      <c r="EC83" s="321"/>
      <c r="ED83" s="321"/>
      <c r="EE83" s="321"/>
      <c r="EF83" s="321"/>
      <c r="EG83" s="321"/>
      <c r="EH83" s="321"/>
      <c r="EI83" s="321"/>
      <c r="EJ83" s="321"/>
      <c r="EK83" s="321"/>
      <c r="EL83" s="321"/>
      <c r="EM83" s="321"/>
      <c r="EN83" s="321"/>
      <c r="EO83" s="321"/>
      <c r="EP83" s="321"/>
      <c r="EQ83" s="321"/>
      <c r="ER83" s="321"/>
      <c r="ES83" s="321"/>
      <c r="ET83" s="321"/>
      <c r="EU83" s="321"/>
      <c r="EV83" s="321"/>
      <c r="EW83" s="321"/>
      <c r="EX83" s="321"/>
      <c r="EY83" s="321"/>
      <c r="EZ83" s="321"/>
      <c r="FA83" s="321"/>
      <c r="FB83" s="321"/>
      <c r="FC83" s="321"/>
      <c r="FD83" s="321"/>
      <c r="FE83" s="321"/>
      <c r="FF83" s="321"/>
      <c r="FG83" s="321"/>
      <c r="FH83" s="321"/>
      <c r="FI83" s="321"/>
      <c r="FJ83" s="321"/>
      <c r="FK83" s="321"/>
      <c r="FL83" s="321"/>
      <c r="FM83" s="321"/>
      <c r="FN83" s="321"/>
      <c r="FO83" s="321"/>
      <c r="FP83" s="321"/>
      <c r="FQ83" s="321"/>
      <c r="FR83" s="321"/>
      <c r="FS83" s="321"/>
      <c r="FT83" s="321"/>
      <c r="FU83" s="321"/>
      <c r="FV83" s="321"/>
      <c r="FW83" s="321"/>
      <c r="FX83" s="321"/>
      <c r="FY83" s="321"/>
      <c r="FZ83" s="321"/>
      <c r="GA83" s="321"/>
      <c r="GB83" s="321"/>
      <c r="GC83" s="321"/>
      <c r="GD83" s="321"/>
      <c r="GE83" s="321"/>
      <c r="GF83" s="321"/>
      <c r="GG83" s="321"/>
      <c r="GH83" s="321"/>
      <c r="GI83" s="321"/>
      <c r="GJ83" s="321"/>
      <c r="GK83" s="321"/>
      <c r="GL83" s="321"/>
      <c r="GM83" s="321"/>
      <c r="GN83" s="321"/>
      <c r="GO83" s="321"/>
      <c r="GP83" s="321"/>
      <c r="GQ83" s="321"/>
      <c r="GR83" s="321"/>
      <c r="GS83" s="321"/>
      <c r="GT83" s="321"/>
      <c r="GU83" s="321"/>
      <c r="GV83" s="321"/>
      <c r="GW83" s="321"/>
      <c r="GX83" s="321"/>
      <c r="GY83" s="321"/>
      <c r="GZ83" s="321"/>
      <c r="HA83" s="321"/>
      <c r="HB83" s="321"/>
      <c r="HC83" s="321"/>
      <c r="HD83" s="321"/>
      <c r="HE83" s="321"/>
      <c r="HF83" s="321"/>
      <c r="HG83" s="321"/>
      <c r="HH83" s="321"/>
      <c r="HI83" s="321"/>
      <c r="HJ83" s="321"/>
      <c r="HK83" s="321"/>
      <c r="HL83" s="321"/>
      <c r="HM83" s="321"/>
      <c r="HN83" s="321"/>
      <c r="HO83" s="321"/>
      <c r="HP83" s="321"/>
      <c r="HQ83" s="321"/>
      <c r="HR83" s="321"/>
      <c r="HS83" s="321"/>
      <c r="HT83" s="321"/>
      <c r="HU83" s="321"/>
      <c r="HV83" s="321"/>
      <c r="HW83" s="321"/>
      <c r="HX83" s="321"/>
      <c r="HY83" s="321"/>
      <c r="HZ83" s="321"/>
      <c r="IA83" s="321"/>
      <c r="IB83" s="321"/>
      <c r="IC83" s="321"/>
      <c r="ID83" s="321"/>
      <c r="IE83" s="321"/>
      <c r="IF83" s="321"/>
      <c r="IG83" s="321"/>
      <c r="IH83" s="321"/>
      <c r="II83" s="321"/>
      <c r="IJ83" s="321"/>
      <c r="IK83" s="321"/>
      <c r="IL83" s="321"/>
      <c r="IM83" s="321"/>
      <c r="IN83" s="321"/>
      <c r="IO83" s="321"/>
      <c r="IP83" s="321"/>
      <c r="IQ83" s="321"/>
      <c r="IR83" s="321"/>
      <c r="IS83" s="321"/>
      <c r="IT83" s="321"/>
      <c r="IU83" s="321"/>
      <c r="IV83" s="321"/>
    </row>
    <row r="84" spans="1:256" s="546" customFormat="1" ht="18" customHeight="1">
      <c r="A84" s="561">
        <v>75</v>
      </c>
      <c r="B84" s="554"/>
      <c r="C84" s="322"/>
      <c r="D84" s="755" t="s">
        <v>303</v>
      </c>
      <c r="E84" s="330">
        <f>F84+G84+O85+P84</f>
        <v>0</v>
      </c>
      <c r="F84" s="550"/>
      <c r="G84" s="331"/>
      <c r="H84" s="762"/>
      <c r="I84" s="777"/>
      <c r="J84" s="773"/>
      <c r="K84" s="773"/>
      <c r="L84" s="773"/>
      <c r="M84" s="773"/>
      <c r="N84" s="773">
        <v>5000</v>
      </c>
      <c r="O84" s="745">
        <f>SUM(I84:N84)</f>
        <v>5000</v>
      </c>
      <c r="P84" s="551"/>
      <c r="Q84" s="321"/>
      <c r="R84" s="321"/>
      <c r="S84" s="321"/>
      <c r="T84" s="321"/>
      <c r="U84" s="321"/>
      <c r="V84" s="321"/>
      <c r="W84" s="321"/>
      <c r="X84" s="321"/>
      <c r="Y84" s="321"/>
      <c r="Z84" s="321"/>
      <c r="AA84" s="321"/>
      <c r="AB84" s="321"/>
      <c r="AC84" s="321"/>
      <c r="AD84" s="321"/>
      <c r="AE84" s="321"/>
      <c r="AF84" s="321"/>
      <c r="AG84" s="321"/>
      <c r="AH84" s="321"/>
      <c r="AI84" s="321"/>
      <c r="AJ84" s="321"/>
      <c r="AK84" s="321"/>
      <c r="AL84" s="321"/>
      <c r="AM84" s="321"/>
      <c r="AN84" s="321"/>
      <c r="AO84" s="321"/>
      <c r="AP84" s="321"/>
      <c r="AQ84" s="321"/>
      <c r="AR84" s="321"/>
      <c r="AS84" s="321"/>
      <c r="AT84" s="321"/>
      <c r="AU84" s="321"/>
      <c r="AV84" s="321"/>
      <c r="AW84" s="321"/>
      <c r="AX84" s="321"/>
      <c r="AY84" s="321"/>
      <c r="AZ84" s="321"/>
      <c r="BA84" s="321"/>
      <c r="BB84" s="321"/>
      <c r="BC84" s="321"/>
      <c r="BD84" s="321"/>
      <c r="BE84" s="321"/>
      <c r="BF84" s="321"/>
      <c r="BG84" s="321"/>
      <c r="BH84" s="321"/>
      <c r="BI84" s="321"/>
      <c r="BJ84" s="321"/>
      <c r="BK84" s="321"/>
      <c r="BL84" s="321"/>
      <c r="BM84" s="321"/>
      <c r="BN84" s="321"/>
      <c r="BO84" s="321"/>
      <c r="BP84" s="321"/>
      <c r="BQ84" s="321"/>
      <c r="BR84" s="321"/>
      <c r="BS84" s="321"/>
      <c r="BT84" s="321"/>
      <c r="BU84" s="321"/>
      <c r="BV84" s="321"/>
      <c r="BW84" s="321"/>
      <c r="BX84" s="321"/>
      <c r="BY84" s="321"/>
      <c r="BZ84" s="321"/>
      <c r="CA84" s="321"/>
      <c r="CB84" s="321"/>
      <c r="CC84" s="321"/>
      <c r="CD84" s="321"/>
      <c r="CE84" s="321"/>
      <c r="CF84" s="321"/>
      <c r="CG84" s="321"/>
      <c r="CH84" s="321"/>
      <c r="CI84" s="321"/>
      <c r="CJ84" s="321"/>
      <c r="CK84" s="321"/>
      <c r="CL84" s="321"/>
      <c r="CM84" s="321"/>
      <c r="CN84" s="321"/>
      <c r="CO84" s="321"/>
      <c r="CP84" s="321"/>
      <c r="CQ84" s="321"/>
      <c r="CR84" s="321"/>
      <c r="CS84" s="321"/>
      <c r="CT84" s="321"/>
      <c r="CU84" s="321"/>
      <c r="CV84" s="321"/>
      <c r="CW84" s="321"/>
      <c r="CX84" s="321"/>
      <c r="CY84" s="321"/>
      <c r="CZ84" s="321"/>
      <c r="DA84" s="321"/>
      <c r="DB84" s="321"/>
      <c r="DC84" s="321"/>
      <c r="DD84" s="321"/>
      <c r="DE84" s="321"/>
      <c r="DF84" s="321"/>
      <c r="DG84" s="321"/>
      <c r="DH84" s="321"/>
      <c r="DI84" s="321"/>
      <c r="DJ84" s="321"/>
      <c r="DK84" s="321"/>
      <c r="DL84" s="321"/>
      <c r="DM84" s="321"/>
      <c r="DN84" s="321"/>
      <c r="DO84" s="321"/>
      <c r="DP84" s="321"/>
      <c r="DQ84" s="321"/>
      <c r="DR84" s="321"/>
      <c r="DS84" s="321"/>
      <c r="DT84" s="321"/>
      <c r="DU84" s="321"/>
      <c r="DV84" s="321"/>
      <c r="DW84" s="321"/>
      <c r="DX84" s="321"/>
      <c r="DY84" s="321"/>
      <c r="DZ84" s="321"/>
      <c r="EA84" s="321"/>
      <c r="EB84" s="321"/>
      <c r="EC84" s="321"/>
      <c r="ED84" s="321"/>
      <c r="EE84" s="321"/>
      <c r="EF84" s="321"/>
      <c r="EG84" s="321"/>
      <c r="EH84" s="321"/>
      <c r="EI84" s="321"/>
      <c r="EJ84" s="321"/>
      <c r="EK84" s="321"/>
      <c r="EL84" s="321"/>
      <c r="EM84" s="321"/>
      <c r="EN84" s="321"/>
      <c r="EO84" s="321"/>
      <c r="EP84" s="321"/>
      <c r="EQ84" s="321"/>
      <c r="ER84" s="321"/>
      <c r="ES84" s="321"/>
      <c r="ET84" s="321"/>
      <c r="EU84" s="321"/>
      <c r="EV84" s="321"/>
      <c r="EW84" s="321"/>
      <c r="EX84" s="321"/>
      <c r="EY84" s="321"/>
      <c r="EZ84" s="321"/>
      <c r="FA84" s="321"/>
      <c r="FB84" s="321"/>
      <c r="FC84" s="321"/>
      <c r="FD84" s="321"/>
      <c r="FE84" s="321"/>
      <c r="FF84" s="321"/>
      <c r="FG84" s="321"/>
      <c r="FH84" s="321"/>
      <c r="FI84" s="321"/>
      <c r="FJ84" s="321"/>
      <c r="FK84" s="321"/>
      <c r="FL84" s="321"/>
      <c r="FM84" s="321"/>
      <c r="FN84" s="321"/>
      <c r="FO84" s="321"/>
      <c r="FP84" s="321"/>
      <c r="FQ84" s="321"/>
      <c r="FR84" s="321"/>
      <c r="FS84" s="321"/>
      <c r="FT84" s="321"/>
      <c r="FU84" s="321"/>
      <c r="FV84" s="321"/>
      <c r="FW84" s="321"/>
      <c r="FX84" s="321"/>
      <c r="FY84" s="321"/>
      <c r="FZ84" s="321"/>
      <c r="GA84" s="321"/>
      <c r="GB84" s="321"/>
      <c r="GC84" s="321"/>
      <c r="GD84" s="321"/>
      <c r="GE84" s="321"/>
      <c r="GF84" s="321"/>
      <c r="GG84" s="321"/>
      <c r="GH84" s="321"/>
      <c r="GI84" s="321"/>
      <c r="GJ84" s="321"/>
      <c r="GK84" s="321"/>
      <c r="GL84" s="321"/>
      <c r="GM84" s="321"/>
      <c r="GN84" s="321"/>
      <c r="GO84" s="321"/>
      <c r="GP84" s="321"/>
      <c r="GQ84" s="321"/>
      <c r="GR84" s="321"/>
      <c r="GS84" s="321"/>
      <c r="GT84" s="321"/>
      <c r="GU84" s="321"/>
      <c r="GV84" s="321"/>
      <c r="GW84" s="321"/>
      <c r="GX84" s="321"/>
      <c r="GY84" s="321"/>
      <c r="GZ84" s="321"/>
      <c r="HA84" s="321"/>
      <c r="HB84" s="321"/>
      <c r="HC84" s="321"/>
      <c r="HD84" s="321"/>
      <c r="HE84" s="321"/>
      <c r="HF84" s="321"/>
      <c r="HG84" s="321"/>
      <c r="HH84" s="321"/>
      <c r="HI84" s="321"/>
      <c r="HJ84" s="321"/>
      <c r="HK84" s="321"/>
      <c r="HL84" s="321"/>
      <c r="HM84" s="321"/>
      <c r="HN84" s="321"/>
      <c r="HO84" s="321"/>
      <c r="HP84" s="321"/>
      <c r="HQ84" s="321"/>
      <c r="HR84" s="321"/>
      <c r="HS84" s="321"/>
      <c r="HT84" s="321"/>
      <c r="HU84" s="321"/>
      <c r="HV84" s="321"/>
      <c r="HW84" s="321"/>
      <c r="HX84" s="321"/>
      <c r="HY84" s="321"/>
      <c r="HZ84" s="321"/>
      <c r="IA84" s="321"/>
      <c r="IB84" s="321"/>
      <c r="IC84" s="321"/>
      <c r="ID84" s="321"/>
      <c r="IE84" s="321"/>
      <c r="IF84" s="321"/>
      <c r="IG84" s="321"/>
      <c r="IH84" s="321"/>
      <c r="II84" s="321"/>
      <c r="IJ84" s="321"/>
      <c r="IK84" s="321"/>
      <c r="IL84" s="321"/>
      <c r="IM84" s="321"/>
      <c r="IN84" s="321"/>
      <c r="IO84" s="321"/>
      <c r="IP84" s="321"/>
      <c r="IQ84" s="321"/>
      <c r="IR84" s="321"/>
      <c r="IS84" s="321"/>
      <c r="IT84" s="321"/>
      <c r="IU84" s="321"/>
      <c r="IV84" s="321"/>
    </row>
    <row r="85" spans="1:256" s="546" customFormat="1" ht="18" customHeight="1">
      <c r="A85" s="561">
        <v>76</v>
      </c>
      <c r="B85" s="554"/>
      <c r="C85" s="322"/>
      <c r="D85" s="436" t="s">
        <v>994</v>
      </c>
      <c r="E85" s="330"/>
      <c r="F85" s="550"/>
      <c r="G85" s="331"/>
      <c r="H85" s="762"/>
      <c r="I85" s="777"/>
      <c r="J85" s="773"/>
      <c r="K85" s="773"/>
      <c r="L85" s="773"/>
      <c r="M85" s="773"/>
      <c r="N85" s="547">
        <v>0</v>
      </c>
      <c r="O85" s="555">
        <f>SUM(I85:N85)</f>
        <v>0</v>
      </c>
      <c r="P85" s="551"/>
      <c r="Q85" s="321"/>
      <c r="R85" s="321"/>
      <c r="S85" s="321"/>
      <c r="T85" s="321"/>
      <c r="U85" s="321"/>
      <c r="V85" s="321"/>
      <c r="W85" s="321"/>
      <c r="X85" s="321"/>
      <c r="Y85" s="321"/>
      <c r="Z85" s="321"/>
      <c r="AA85" s="321"/>
      <c r="AB85" s="321"/>
      <c r="AC85" s="321"/>
      <c r="AD85" s="321"/>
      <c r="AE85" s="321"/>
      <c r="AF85" s="321"/>
      <c r="AG85" s="321"/>
      <c r="AH85" s="321"/>
      <c r="AI85" s="321"/>
      <c r="AJ85" s="321"/>
      <c r="AK85" s="321"/>
      <c r="AL85" s="321"/>
      <c r="AM85" s="321"/>
      <c r="AN85" s="321"/>
      <c r="AO85" s="321"/>
      <c r="AP85" s="321"/>
      <c r="AQ85" s="321"/>
      <c r="AR85" s="321"/>
      <c r="AS85" s="321"/>
      <c r="AT85" s="321"/>
      <c r="AU85" s="321"/>
      <c r="AV85" s="321"/>
      <c r="AW85" s="321"/>
      <c r="AX85" s="321"/>
      <c r="AY85" s="321"/>
      <c r="AZ85" s="321"/>
      <c r="BA85" s="321"/>
      <c r="BB85" s="321"/>
      <c r="BC85" s="321"/>
      <c r="BD85" s="321"/>
      <c r="BE85" s="321"/>
      <c r="BF85" s="321"/>
      <c r="BG85" s="321"/>
      <c r="BH85" s="321"/>
      <c r="BI85" s="321"/>
      <c r="BJ85" s="321"/>
      <c r="BK85" s="321"/>
      <c r="BL85" s="321"/>
      <c r="BM85" s="321"/>
      <c r="BN85" s="321"/>
      <c r="BO85" s="321"/>
      <c r="BP85" s="321"/>
      <c r="BQ85" s="321"/>
      <c r="BR85" s="321"/>
      <c r="BS85" s="321"/>
      <c r="BT85" s="321"/>
      <c r="BU85" s="321"/>
      <c r="BV85" s="321"/>
      <c r="BW85" s="321"/>
      <c r="BX85" s="321"/>
      <c r="BY85" s="321"/>
      <c r="BZ85" s="321"/>
      <c r="CA85" s="321"/>
      <c r="CB85" s="321"/>
      <c r="CC85" s="321"/>
      <c r="CD85" s="321"/>
      <c r="CE85" s="321"/>
      <c r="CF85" s="321"/>
      <c r="CG85" s="321"/>
      <c r="CH85" s="321"/>
      <c r="CI85" s="321"/>
      <c r="CJ85" s="321"/>
      <c r="CK85" s="321"/>
      <c r="CL85" s="321"/>
      <c r="CM85" s="321"/>
      <c r="CN85" s="321"/>
      <c r="CO85" s="321"/>
      <c r="CP85" s="321"/>
      <c r="CQ85" s="321"/>
      <c r="CR85" s="321"/>
      <c r="CS85" s="321"/>
      <c r="CT85" s="321"/>
      <c r="CU85" s="321"/>
      <c r="CV85" s="321"/>
      <c r="CW85" s="321"/>
      <c r="CX85" s="321"/>
      <c r="CY85" s="321"/>
      <c r="CZ85" s="321"/>
      <c r="DA85" s="321"/>
      <c r="DB85" s="321"/>
      <c r="DC85" s="321"/>
      <c r="DD85" s="321"/>
      <c r="DE85" s="321"/>
      <c r="DF85" s="321"/>
      <c r="DG85" s="321"/>
      <c r="DH85" s="321"/>
      <c r="DI85" s="321"/>
      <c r="DJ85" s="321"/>
      <c r="DK85" s="321"/>
      <c r="DL85" s="321"/>
      <c r="DM85" s="321"/>
      <c r="DN85" s="321"/>
      <c r="DO85" s="321"/>
      <c r="DP85" s="321"/>
      <c r="DQ85" s="321"/>
      <c r="DR85" s="321"/>
      <c r="DS85" s="321"/>
      <c r="DT85" s="321"/>
      <c r="DU85" s="321"/>
      <c r="DV85" s="321"/>
      <c r="DW85" s="321"/>
      <c r="DX85" s="321"/>
      <c r="DY85" s="321"/>
      <c r="DZ85" s="321"/>
      <c r="EA85" s="321"/>
      <c r="EB85" s="321"/>
      <c r="EC85" s="321"/>
      <c r="ED85" s="321"/>
      <c r="EE85" s="321"/>
      <c r="EF85" s="321"/>
      <c r="EG85" s="321"/>
      <c r="EH85" s="321"/>
      <c r="EI85" s="321"/>
      <c r="EJ85" s="321"/>
      <c r="EK85" s="321"/>
      <c r="EL85" s="321"/>
      <c r="EM85" s="321"/>
      <c r="EN85" s="321"/>
      <c r="EO85" s="321"/>
      <c r="EP85" s="321"/>
      <c r="EQ85" s="321"/>
      <c r="ER85" s="321"/>
      <c r="ES85" s="321"/>
      <c r="ET85" s="321"/>
      <c r="EU85" s="321"/>
      <c r="EV85" s="321"/>
      <c r="EW85" s="321"/>
      <c r="EX85" s="321"/>
      <c r="EY85" s="321"/>
      <c r="EZ85" s="321"/>
      <c r="FA85" s="321"/>
      <c r="FB85" s="321"/>
      <c r="FC85" s="321"/>
      <c r="FD85" s="321"/>
      <c r="FE85" s="321"/>
      <c r="FF85" s="321"/>
      <c r="FG85" s="321"/>
      <c r="FH85" s="321"/>
      <c r="FI85" s="321"/>
      <c r="FJ85" s="321"/>
      <c r="FK85" s="321"/>
      <c r="FL85" s="321"/>
      <c r="FM85" s="321"/>
      <c r="FN85" s="321"/>
      <c r="FO85" s="321"/>
      <c r="FP85" s="321"/>
      <c r="FQ85" s="321"/>
      <c r="FR85" s="321"/>
      <c r="FS85" s="321"/>
      <c r="FT85" s="321"/>
      <c r="FU85" s="321"/>
      <c r="FV85" s="321"/>
      <c r="FW85" s="321"/>
      <c r="FX85" s="321"/>
      <c r="FY85" s="321"/>
      <c r="FZ85" s="321"/>
      <c r="GA85" s="321"/>
      <c r="GB85" s="321"/>
      <c r="GC85" s="321"/>
      <c r="GD85" s="321"/>
      <c r="GE85" s="321"/>
      <c r="GF85" s="321"/>
      <c r="GG85" s="321"/>
      <c r="GH85" s="321"/>
      <c r="GI85" s="321"/>
      <c r="GJ85" s="321"/>
      <c r="GK85" s="321"/>
      <c r="GL85" s="321"/>
      <c r="GM85" s="321"/>
      <c r="GN85" s="321"/>
      <c r="GO85" s="321"/>
      <c r="GP85" s="321"/>
      <c r="GQ85" s="321"/>
      <c r="GR85" s="321"/>
      <c r="GS85" s="321"/>
      <c r="GT85" s="321"/>
      <c r="GU85" s="321"/>
      <c r="GV85" s="321"/>
      <c r="GW85" s="321"/>
      <c r="GX85" s="321"/>
      <c r="GY85" s="321"/>
      <c r="GZ85" s="321"/>
      <c r="HA85" s="321"/>
      <c r="HB85" s="321"/>
      <c r="HC85" s="321"/>
      <c r="HD85" s="321"/>
      <c r="HE85" s="321"/>
      <c r="HF85" s="321"/>
      <c r="HG85" s="321"/>
      <c r="HH85" s="321"/>
      <c r="HI85" s="321"/>
      <c r="HJ85" s="321"/>
      <c r="HK85" s="321"/>
      <c r="HL85" s="321"/>
      <c r="HM85" s="321"/>
      <c r="HN85" s="321"/>
      <c r="HO85" s="321"/>
      <c r="HP85" s="321"/>
      <c r="HQ85" s="321"/>
      <c r="HR85" s="321"/>
      <c r="HS85" s="321"/>
      <c r="HT85" s="321"/>
      <c r="HU85" s="321"/>
      <c r="HV85" s="321"/>
      <c r="HW85" s="321"/>
      <c r="HX85" s="321"/>
      <c r="HY85" s="321"/>
      <c r="HZ85" s="321"/>
      <c r="IA85" s="321"/>
      <c r="IB85" s="321"/>
      <c r="IC85" s="321"/>
      <c r="ID85" s="321"/>
      <c r="IE85" s="321"/>
      <c r="IF85" s="321"/>
      <c r="IG85" s="321"/>
      <c r="IH85" s="321"/>
      <c r="II85" s="321"/>
      <c r="IJ85" s="321"/>
      <c r="IK85" s="321"/>
      <c r="IL85" s="321"/>
      <c r="IM85" s="321"/>
      <c r="IN85" s="321"/>
      <c r="IO85" s="321"/>
      <c r="IP85" s="321"/>
      <c r="IQ85" s="321"/>
      <c r="IR85" s="321"/>
      <c r="IS85" s="321"/>
      <c r="IT85" s="321"/>
      <c r="IU85" s="321"/>
      <c r="IV85" s="321"/>
    </row>
    <row r="86" spans="1:256" s="546" customFormat="1" ht="18" customHeight="1">
      <c r="A86" s="561">
        <v>77</v>
      </c>
      <c r="B86" s="554"/>
      <c r="C86" s="322"/>
      <c r="D86" s="987" t="s">
        <v>1035</v>
      </c>
      <c r="E86" s="330"/>
      <c r="F86" s="550"/>
      <c r="G86" s="331"/>
      <c r="H86" s="762"/>
      <c r="I86" s="758"/>
      <c r="J86" s="547"/>
      <c r="K86" s="547"/>
      <c r="L86" s="547"/>
      <c r="M86" s="547"/>
      <c r="N86" s="1266">
        <v>0</v>
      </c>
      <c r="O86" s="1175">
        <f>SUM(I86:N86)</f>
        <v>0</v>
      </c>
      <c r="P86" s="551"/>
      <c r="Q86" s="321"/>
      <c r="R86" s="321"/>
      <c r="S86" s="321"/>
      <c r="T86" s="321"/>
      <c r="U86" s="321"/>
      <c r="V86" s="321"/>
      <c r="W86" s="321"/>
      <c r="X86" s="321"/>
      <c r="Y86" s="321"/>
      <c r="Z86" s="321"/>
      <c r="AA86" s="321"/>
      <c r="AB86" s="321"/>
      <c r="AC86" s="321"/>
      <c r="AD86" s="321"/>
      <c r="AE86" s="321"/>
      <c r="AF86" s="321"/>
      <c r="AG86" s="321"/>
      <c r="AH86" s="321"/>
      <c r="AI86" s="321"/>
      <c r="AJ86" s="321"/>
      <c r="AK86" s="321"/>
      <c r="AL86" s="321"/>
      <c r="AM86" s="321"/>
      <c r="AN86" s="321"/>
      <c r="AO86" s="321"/>
      <c r="AP86" s="321"/>
      <c r="AQ86" s="321"/>
      <c r="AR86" s="321"/>
      <c r="AS86" s="321"/>
      <c r="AT86" s="321"/>
      <c r="AU86" s="321"/>
      <c r="AV86" s="321"/>
      <c r="AW86" s="321"/>
      <c r="AX86" s="321"/>
      <c r="AY86" s="321"/>
      <c r="AZ86" s="321"/>
      <c r="BA86" s="321"/>
      <c r="BB86" s="321"/>
      <c r="BC86" s="321"/>
      <c r="BD86" s="321"/>
      <c r="BE86" s="321"/>
      <c r="BF86" s="321"/>
      <c r="BG86" s="321"/>
      <c r="BH86" s="321"/>
      <c r="BI86" s="321"/>
      <c r="BJ86" s="321"/>
      <c r="BK86" s="321"/>
      <c r="BL86" s="321"/>
      <c r="BM86" s="321"/>
      <c r="BN86" s="321"/>
      <c r="BO86" s="321"/>
      <c r="BP86" s="321"/>
      <c r="BQ86" s="321"/>
      <c r="BR86" s="321"/>
      <c r="BS86" s="321"/>
      <c r="BT86" s="321"/>
      <c r="BU86" s="321"/>
      <c r="BV86" s="321"/>
      <c r="BW86" s="321"/>
      <c r="BX86" s="321"/>
      <c r="BY86" s="321"/>
      <c r="BZ86" s="321"/>
      <c r="CA86" s="321"/>
      <c r="CB86" s="321"/>
      <c r="CC86" s="321"/>
      <c r="CD86" s="321"/>
      <c r="CE86" s="321"/>
      <c r="CF86" s="321"/>
      <c r="CG86" s="321"/>
      <c r="CH86" s="321"/>
      <c r="CI86" s="321"/>
      <c r="CJ86" s="321"/>
      <c r="CK86" s="321"/>
      <c r="CL86" s="321"/>
      <c r="CM86" s="321"/>
      <c r="CN86" s="321"/>
      <c r="CO86" s="321"/>
      <c r="CP86" s="321"/>
      <c r="CQ86" s="321"/>
      <c r="CR86" s="321"/>
      <c r="CS86" s="321"/>
      <c r="CT86" s="321"/>
      <c r="CU86" s="321"/>
      <c r="CV86" s="321"/>
      <c r="CW86" s="321"/>
      <c r="CX86" s="321"/>
      <c r="CY86" s="321"/>
      <c r="CZ86" s="321"/>
      <c r="DA86" s="321"/>
      <c r="DB86" s="321"/>
      <c r="DC86" s="321"/>
      <c r="DD86" s="321"/>
      <c r="DE86" s="321"/>
      <c r="DF86" s="321"/>
      <c r="DG86" s="321"/>
      <c r="DH86" s="321"/>
      <c r="DI86" s="321"/>
      <c r="DJ86" s="321"/>
      <c r="DK86" s="321"/>
      <c r="DL86" s="321"/>
      <c r="DM86" s="321"/>
      <c r="DN86" s="321"/>
      <c r="DO86" s="321"/>
      <c r="DP86" s="321"/>
      <c r="DQ86" s="321"/>
      <c r="DR86" s="321"/>
      <c r="DS86" s="321"/>
      <c r="DT86" s="321"/>
      <c r="DU86" s="321"/>
      <c r="DV86" s="321"/>
      <c r="DW86" s="321"/>
      <c r="DX86" s="321"/>
      <c r="DY86" s="321"/>
      <c r="DZ86" s="321"/>
      <c r="EA86" s="321"/>
      <c r="EB86" s="321"/>
      <c r="EC86" s="321"/>
      <c r="ED86" s="321"/>
      <c r="EE86" s="321"/>
      <c r="EF86" s="321"/>
      <c r="EG86" s="321"/>
      <c r="EH86" s="321"/>
      <c r="EI86" s="321"/>
      <c r="EJ86" s="321"/>
      <c r="EK86" s="321"/>
      <c r="EL86" s="321"/>
      <c r="EM86" s="321"/>
      <c r="EN86" s="321"/>
      <c r="EO86" s="321"/>
      <c r="EP86" s="321"/>
      <c r="EQ86" s="321"/>
      <c r="ER86" s="321"/>
      <c r="ES86" s="321"/>
      <c r="ET86" s="321"/>
      <c r="EU86" s="321"/>
      <c r="EV86" s="321"/>
      <c r="EW86" s="321"/>
      <c r="EX86" s="321"/>
      <c r="EY86" s="321"/>
      <c r="EZ86" s="321"/>
      <c r="FA86" s="321"/>
      <c r="FB86" s="321"/>
      <c r="FC86" s="321"/>
      <c r="FD86" s="321"/>
      <c r="FE86" s="321"/>
      <c r="FF86" s="321"/>
      <c r="FG86" s="321"/>
      <c r="FH86" s="321"/>
      <c r="FI86" s="321"/>
      <c r="FJ86" s="321"/>
      <c r="FK86" s="321"/>
      <c r="FL86" s="321"/>
      <c r="FM86" s="321"/>
      <c r="FN86" s="321"/>
      <c r="FO86" s="321"/>
      <c r="FP86" s="321"/>
      <c r="FQ86" s="321"/>
      <c r="FR86" s="321"/>
      <c r="FS86" s="321"/>
      <c r="FT86" s="321"/>
      <c r="FU86" s="321"/>
      <c r="FV86" s="321"/>
      <c r="FW86" s="321"/>
      <c r="FX86" s="321"/>
      <c r="FY86" s="321"/>
      <c r="FZ86" s="321"/>
      <c r="GA86" s="321"/>
      <c r="GB86" s="321"/>
      <c r="GC86" s="321"/>
      <c r="GD86" s="321"/>
      <c r="GE86" s="321"/>
      <c r="GF86" s="321"/>
      <c r="GG86" s="321"/>
      <c r="GH86" s="321"/>
      <c r="GI86" s="321"/>
      <c r="GJ86" s="321"/>
      <c r="GK86" s="321"/>
      <c r="GL86" s="321"/>
      <c r="GM86" s="321"/>
      <c r="GN86" s="321"/>
      <c r="GO86" s="321"/>
      <c r="GP86" s="321"/>
      <c r="GQ86" s="321"/>
      <c r="GR86" s="321"/>
      <c r="GS86" s="321"/>
      <c r="GT86" s="321"/>
      <c r="GU86" s="321"/>
      <c r="GV86" s="321"/>
      <c r="GW86" s="321"/>
      <c r="GX86" s="321"/>
      <c r="GY86" s="321"/>
      <c r="GZ86" s="321"/>
      <c r="HA86" s="321"/>
      <c r="HB86" s="321"/>
      <c r="HC86" s="321"/>
      <c r="HD86" s="321"/>
      <c r="HE86" s="321"/>
      <c r="HF86" s="321"/>
      <c r="HG86" s="321"/>
      <c r="HH86" s="321"/>
      <c r="HI86" s="321"/>
      <c r="HJ86" s="321"/>
      <c r="HK86" s="321"/>
      <c r="HL86" s="321"/>
      <c r="HM86" s="321"/>
      <c r="HN86" s="321"/>
      <c r="HO86" s="321"/>
      <c r="HP86" s="321"/>
      <c r="HQ86" s="321"/>
      <c r="HR86" s="321"/>
      <c r="HS86" s="321"/>
      <c r="HT86" s="321"/>
      <c r="HU86" s="321"/>
      <c r="HV86" s="321"/>
      <c r="HW86" s="321"/>
      <c r="HX86" s="321"/>
      <c r="HY86" s="321"/>
      <c r="HZ86" s="321"/>
      <c r="IA86" s="321"/>
      <c r="IB86" s="321"/>
      <c r="IC86" s="321"/>
      <c r="ID86" s="321"/>
      <c r="IE86" s="321"/>
      <c r="IF86" s="321"/>
      <c r="IG86" s="321"/>
      <c r="IH86" s="321"/>
      <c r="II86" s="321"/>
      <c r="IJ86" s="321"/>
      <c r="IK86" s="321"/>
      <c r="IL86" s="321"/>
      <c r="IM86" s="321"/>
      <c r="IN86" s="321"/>
      <c r="IO86" s="321"/>
      <c r="IP86" s="321"/>
      <c r="IQ86" s="321"/>
      <c r="IR86" s="321"/>
      <c r="IS86" s="321"/>
      <c r="IT86" s="321"/>
      <c r="IU86" s="321"/>
      <c r="IV86" s="321"/>
    </row>
    <row r="87" spans="1:16" ht="22.5" customHeight="1">
      <c r="A87" s="561">
        <v>78</v>
      </c>
      <c r="B87" s="455"/>
      <c r="C87" s="361">
        <v>20</v>
      </c>
      <c r="D87" s="557" t="s">
        <v>576</v>
      </c>
      <c r="E87" s="330"/>
      <c r="F87" s="550"/>
      <c r="G87" s="331"/>
      <c r="H87" s="762" t="s">
        <v>24</v>
      </c>
      <c r="I87" s="777"/>
      <c r="J87" s="773"/>
      <c r="K87" s="773"/>
      <c r="L87" s="773"/>
      <c r="M87" s="773"/>
      <c r="N87" s="773"/>
      <c r="O87" s="745"/>
      <c r="P87" s="551"/>
    </row>
    <row r="88" spans="1:256" s="546" customFormat="1" ht="18" customHeight="1">
      <c r="A88" s="561">
        <v>79</v>
      </c>
      <c r="B88" s="554"/>
      <c r="C88" s="361"/>
      <c r="D88" s="755" t="s">
        <v>303</v>
      </c>
      <c r="E88" s="330">
        <f>F88+G88+O89+P88+22278</f>
        <v>1662746</v>
      </c>
      <c r="F88" s="550">
        <v>16599</v>
      </c>
      <c r="G88" s="331">
        <f>63156+89+16537</f>
        <v>79782</v>
      </c>
      <c r="H88" s="762"/>
      <c r="I88" s="777"/>
      <c r="J88" s="773"/>
      <c r="K88" s="773">
        <v>55170</v>
      </c>
      <c r="L88" s="773"/>
      <c r="M88" s="773">
        <f>76000+1430561</f>
        <v>1506561</v>
      </c>
      <c r="N88" s="773"/>
      <c r="O88" s="745">
        <f>SUM(I88:N88)</f>
        <v>1561731</v>
      </c>
      <c r="P88" s="551"/>
      <c r="Q88" s="321"/>
      <c r="R88" s="321"/>
      <c r="S88" s="321"/>
      <c r="T88" s="321"/>
      <c r="U88" s="321"/>
      <c r="V88" s="321"/>
      <c r="W88" s="321"/>
      <c r="X88" s="321"/>
      <c r="Y88" s="321"/>
      <c r="Z88" s="321"/>
      <c r="AA88" s="321"/>
      <c r="AB88" s="321"/>
      <c r="AC88" s="321"/>
      <c r="AD88" s="321"/>
      <c r="AE88" s="321"/>
      <c r="AF88" s="321"/>
      <c r="AG88" s="321"/>
      <c r="AH88" s="321"/>
      <c r="AI88" s="321"/>
      <c r="AJ88" s="321"/>
      <c r="AK88" s="321"/>
      <c r="AL88" s="321"/>
      <c r="AM88" s="321"/>
      <c r="AN88" s="321"/>
      <c r="AO88" s="321"/>
      <c r="AP88" s="321"/>
      <c r="AQ88" s="321"/>
      <c r="AR88" s="321"/>
      <c r="AS88" s="321"/>
      <c r="AT88" s="321"/>
      <c r="AU88" s="321"/>
      <c r="AV88" s="321"/>
      <c r="AW88" s="321"/>
      <c r="AX88" s="321"/>
      <c r="AY88" s="321"/>
      <c r="AZ88" s="321"/>
      <c r="BA88" s="321"/>
      <c r="BB88" s="321"/>
      <c r="BC88" s="321"/>
      <c r="BD88" s="321"/>
      <c r="BE88" s="321"/>
      <c r="BF88" s="321"/>
      <c r="BG88" s="321"/>
      <c r="BH88" s="321"/>
      <c r="BI88" s="321"/>
      <c r="BJ88" s="321"/>
      <c r="BK88" s="321"/>
      <c r="BL88" s="321"/>
      <c r="BM88" s="321"/>
      <c r="BN88" s="321"/>
      <c r="BO88" s="321"/>
      <c r="BP88" s="321"/>
      <c r="BQ88" s="321"/>
      <c r="BR88" s="321"/>
      <c r="BS88" s="321"/>
      <c r="BT88" s="321"/>
      <c r="BU88" s="321"/>
      <c r="BV88" s="321"/>
      <c r="BW88" s="321"/>
      <c r="BX88" s="321"/>
      <c r="BY88" s="321"/>
      <c r="BZ88" s="321"/>
      <c r="CA88" s="321"/>
      <c r="CB88" s="321"/>
      <c r="CC88" s="321"/>
      <c r="CD88" s="321"/>
      <c r="CE88" s="321"/>
      <c r="CF88" s="321"/>
      <c r="CG88" s="321"/>
      <c r="CH88" s="321"/>
      <c r="CI88" s="321"/>
      <c r="CJ88" s="321"/>
      <c r="CK88" s="321"/>
      <c r="CL88" s="321"/>
      <c r="CM88" s="321"/>
      <c r="CN88" s="321"/>
      <c r="CO88" s="321"/>
      <c r="CP88" s="321"/>
      <c r="CQ88" s="321"/>
      <c r="CR88" s="321"/>
      <c r="CS88" s="321"/>
      <c r="CT88" s="321"/>
      <c r="CU88" s="321"/>
      <c r="CV88" s="321"/>
      <c r="CW88" s="321"/>
      <c r="CX88" s="321"/>
      <c r="CY88" s="321"/>
      <c r="CZ88" s="321"/>
      <c r="DA88" s="321"/>
      <c r="DB88" s="321"/>
      <c r="DC88" s="321"/>
      <c r="DD88" s="321"/>
      <c r="DE88" s="321"/>
      <c r="DF88" s="321"/>
      <c r="DG88" s="321"/>
      <c r="DH88" s="321"/>
      <c r="DI88" s="321"/>
      <c r="DJ88" s="321"/>
      <c r="DK88" s="321"/>
      <c r="DL88" s="321"/>
      <c r="DM88" s="321"/>
      <c r="DN88" s="321"/>
      <c r="DO88" s="321"/>
      <c r="DP88" s="321"/>
      <c r="DQ88" s="321"/>
      <c r="DR88" s="321"/>
      <c r="DS88" s="321"/>
      <c r="DT88" s="321"/>
      <c r="DU88" s="321"/>
      <c r="DV88" s="321"/>
      <c r="DW88" s="321"/>
      <c r="DX88" s="321"/>
      <c r="DY88" s="321"/>
      <c r="DZ88" s="321"/>
      <c r="EA88" s="321"/>
      <c r="EB88" s="321"/>
      <c r="EC88" s="321"/>
      <c r="ED88" s="321"/>
      <c r="EE88" s="321"/>
      <c r="EF88" s="321"/>
      <c r="EG88" s="321"/>
      <c r="EH88" s="321"/>
      <c r="EI88" s="321"/>
      <c r="EJ88" s="321"/>
      <c r="EK88" s="321"/>
      <c r="EL88" s="321"/>
      <c r="EM88" s="321"/>
      <c r="EN88" s="321"/>
      <c r="EO88" s="321"/>
      <c r="EP88" s="321"/>
      <c r="EQ88" s="321"/>
      <c r="ER88" s="321"/>
      <c r="ES88" s="321"/>
      <c r="ET88" s="321"/>
      <c r="EU88" s="321"/>
      <c r="EV88" s="321"/>
      <c r="EW88" s="321"/>
      <c r="EX88" s="321"/>
      <c r="EY88" s="321"/>
      <c r="EZ88" s="321"/>
      <c r="FA88" s="321"/>
      <c r="FB88" s="321"/>
      <c r="FC88" s="321"/>
      <c r="FD88" s="321"/>
      <c r="FE88" s="321"/>
      <c r="FF88" s="321"/>
      <c r="FG88" s="321"/>
      <c r="FH88" s="321"/>
      <c r="FI88" s="321"/>
      <c r="FJ88" s="321"/>
      <c r="FK88" s="321"/>
      <c r="FL88" s="321"/>
      <c r="FM88" s="321"/>
      <c r="FN88" s="321"/>
      <c r="FO88" s="321"/>
      <c r="FP88" s="321"/>
      <c r="FQ88" s="321"/>
      <c r="FR88" s="321"/>
      <c r="FS88" s="321"/>
      <c r="FT88" s="321"/>
      <c r="FU88" s="321"/>
      <c r="FV88" s="321"/>
      <c r="FW88" s="321"/>
      <c r="FX88" s="321"/>
      <c r="FY88" s="321"/>
      <c r="FZ88" s="321"/>
      <c r="GA88" s="321"/>
      <c r="GB88" s="321"/>
      <c r="GC88" s="321"/>
      <c r="GD88" s="321"/>
      <c r="GE88" s="321"/>
      <c r="GF88" s="321"/>
      <c r="GG88" s="321"/>
      <c r="GH88" s="321"/>
      <c r="GI88" s="321"/>
      <c r="GJ88" s="321"/>
      <c r="GK88" s="321"/>
      <c r="GL88" s="321"/>
      <c r="GM88" s="321"/>
      <c r="GN88" s="321"/>
      <c r="GO88" s="321"/>
      <c r="GP88" s="321"/>
      <c r="GQ88" s="321"/>
      <c r="GR88" s="321"/>
      <c r="GS88" s="321"/>
      <c r="GT88" s="321"/>
      <c r="GU88" s="321"/>
      <c r="GV88" s="321"/>
      <c r="GW88" s="321"/>
      <c r="GX88" s="321"/>
      <c r="GY88" s="321"/>
      <c r="GZ88" s="321"/>
      <c r="HA88" s="321"/>
      <c r="HB88" s="321"/>
      <c r="HC88" s="321"/>
      <c r="HD88" s="321"/>
      <c r="HE88" s="321"/>
      <c r="HF88" s="321"/>
      <c r="HG88" s="321"/>
      <c r="HH88" s="321"/>
      <c r="HI88" s="321"/>
      <c r="HJ88" s="321"/>
      <c r="HK88" s="321"/>
      <c r="HL88" s="321"/>
      <c r="HM88" s="321"/>
      <c r="HN88" s="321"/>
      <c r="HO88" s="321"/>
      <c r="HP88" s="321"/>
      <c r="HQ88" s="321"/>
      <c r="HR88" s="321"/>
      <c r="HS88" s="321"/>
      <c r="HT88" s="321"/>
      <c r="HU88" s="321"/>
      <c r="HV88" s="321"/>
      <c r="HW88" s="321"/>
      <c r="HX88" s="321"/>
      <c r="HY88" s="321"/>
      <c r="HZ88" s="321"/>
      <c r="IA88" s="321"/>
      <c r="IB88" s="321"/>
      <c r="IC88" s="321"/>
      <c r="ID88" s="321"/>
      <c r="IE88" s="321"/>
      <c r="IF88" s="321"/>
      <c r="IG88" s="321"/>
      <c r="IH88" s="321"/>
      <c r="II88" s="321"/>
      <c r="IJ88" s="321"/>
      <c r="IK88" s="321"/>
      <c r="IL88" s="321"/>
      <c r="IM88" s="321"/>
      <c r="IN88" s="321"/>
      <c r="IO88" s="321"/>
      <c r="IP88" s="321"/>
      <c r="IQ88" s="321"/>
      <c r="IR88" s="321"/>
      <c r="IS88" s="321"/>
      <c r="IT88" s="321"/>
      <c r="IU88" s="321"/>
      <c r="IV88" s="321"/>
    </row>
    <row r="89" spans="1:256" s="546" customFormat="1" ht="18" customHeight="1">
      <c r="A89" s="561">
        <v>80</v>
      </c>
      <c r="B89" s="554"/>
      <c r="C89" s="361"/>
      <c r="D89" s="436" t="s">
        <v>994</v>
      </c>
      <c r="E89" s="330"/>
      <c r="F89" s="550"/>
      <c r="G89" s="331"/>
      <c r="H89" s="762"/>
      <c r="I89" s="777"/>
      <c r="J89" s="773"/>
      <c r="K89" s="547">
        <v>87</v>
      </c>
      <c r="L89" s="547">
        <v>94075</v>
      </c>
      <c r="M89" s="547">
        <v>0</v>
      </c>
      <c r="N89" s="773">
        <v>1449925</v>
      </c>
      <c r="O89" s="555">
        <f>SUM(I89:N89)</f>
        <v>1544087</v>
      </c>
      <c r="P89" s="551"/>
      <c r="Q89" s="321"/>
      <c r="R89" s="321"/>
      <c r="S89" s="321"/>
      <c r="T89" s="321"/>
      <c r="U89" s="321"/>
      <c r="V89" s="321"/>
      <c r="W89" s="321"/>
      <c r="X89" s="321"/>
      <c r="Y89" s="321"/>
      <c r="Z89" s="321"/>
      <c r="AA89" s="321"/>
      <c r="AB89" s="321"/>
      <c r="AC89" s="321"/>
      <c r="AD89" s="321"/>
      <c r="AE89" s="321"/>
      <c r="AF89" s="321"/>
      <c r="AG89" s="321"/>
      <c r="AH89" s="321"/>
      <c r="AI89" s="321"/>
      <c r="AJ89" s="321"/>
      <c r="AK89" s="321"/>
      <c r="AL89" s="321"/>
      <c r="AM89" s="321"/>
      <c r="AN89" s="321"/>
      <c r="AO89" s="321"/>
      <c r="AP89" s="321"/>
      <c r="AQ89" s="321"/>
      <c r="AR89" s="321"/>
      <c r="AS89" s="321"/>
      <c r="AT89" s="321"/>
      <c r="AU89" s="321"/>
      <c r="AV89" s="321"/>
      <c r="AW89" s="321"/>
      <c r="AX89" s="321"/>
      <c r="AY89" s="321"/>
      <c r="AZ89" s="321"/>
      <c r="BA89" s="321"/>
      <c r="BB89" s="321"/>
      <c r="BC89" s="321"/>
      <c r="BD89" s="321"/>
      <c r="BE89" s="321"/>
      <c r="BF89" s="321"/>
      <c r="BG89" s="321"/>
      <c r="BH89" s="321"/>
      <c r="BI89" s="321"/>
      <c r="BJ89" s="321"/>
      <c r="BK89" s="321"/>
      <c r="BL89" s="321"/>
      <c r="BM89" s="321"/>
      <c r="BN89" s="321"/>
      <c r="BO89" s="321"/>
      <c r="BP89" s="321"/>
      <c r="BQ89" s="321"/>
      <c r="BR89" s="321"/>
      <c r="BS89" s="321"/>
      <c r="BT89" s="321"/>
      <c r="BU89" s="321"/>
      <c r="BV89" s="321"/>
      <c r="BW89" s="321"/>
      <c r="BX89" s="321"/>
      <c r="BY89" s="321"/>
      <c r="BZ89" s="321"/>
      <c r="CA89" s="321"/>
      <c r="CB89" s="321"/>
      <c r="CC89" s="321"/>
      <c r="CD89" s="321"/>
      <c r="CE89" s="321"/>
      <c r="CF89" s="321"/>
      <c r="CG89" s="321"/>
      <c r="CH89" s="321"/>
      <c r="CI89" s="321"/>
      <c r="CJ89" s="321"/>
      <c r="CK89" s="321"/>
      <c r="CL89" s="321"/>
      <c r="CM89" s="321"/>
      <c r="CN89" s="321"/>
      <c r="CO89" s="321"/>
      <c r="CP89" s="321"/>
      <c r="CQ89" s="321"/>
      <c r="CR89" s="321"/>
      <c r="CS89" s="321"/>
      <c r="CT89" s="321"/>
      <c r="CU89" s="321"/>
      <c r="CV89" s="321"/>
      <c r="CW89" s="321"/>
      <c r="CX89" s="321"/>
      <c r="CY89" s="321"/>
      <c r="CZ89" s="321"/>
      <c r="DA89" s="321"/>
      <c r="DB89" s="321"/>
      <c r="DC89" s="321"/>
      <c r="DD89" s="321"/>
      <c r="DE89" s="321"/>
      <c r="DF89" s="321"/>
      <c r="DG89" s="321"/>
      <c r="DH89" s="321"/>
      <c r="DI89" s="321"/>
      <c r="DJ89" s="321"/>
      <c r="DK89" s="321"/>
      <c r="DL89" s="321"/>
      <c r="DM89" s="321"/>
      <c r="DN89" s="321"/>
      <c r="DO89" s="321"/>
      <c r="DP89" s="321"/>
      <c r="DQ89" s="321"/>
      <c r="DR89" s="321"/>
      <c r="DS89" s="321"/>
      <c r="DT89" s="321"/>
      <c r="DU89" s="321"/>
      <c r="DV89" s="321"/>
      <c r="DW89" s="321"/>
      <c r="DX89" s="321"/>
      <c r="DY89" s="321"/>
      <c r="DZ89" s="321"/>
      <c r="EA89" s="321"/>
      <c r="EB89" s="321"/>
      <c r="EC89" s="321"/>
      <c r="ED89" s="321"/>
      <c r="EE89" s="321"/>
      <c r="EF89" s="321"/>
      <c r="EG89" s="321"/>
      <c r="EH89" s="321"/>
      <c r="EI89" s="321"/>
      <c r="EJ89" s="321"/>
      <c r="EK89" s="321"/>
      <c r="EL89" s="321"/>
      <c r="EM89" s="321"/>
      <c r="EN89" s="321"/>
      <c r="EO89" s="321"/>
      <c r="EP89" s="321"/>
      <c r="EQ89" s="321"/>
      <c r="ER89" s="321"/>
      <c r="ES89" s="321"/>
      <c r="ET89" s="321"/>
      <c r="EU89" s="321"/>
      <c r="EV89" s="321"/>
      <c r="EW89" s="321"/>
      <c r="EX89" s="321"/>
      <c r="EY89" s="321"/>
      <c r="EZ89" s="321"/>
      <c r="FA89" s="321"/>
      <c r="FB89" s="321"/>
      <c r="FC89" s="321"/>
      <c r="FD89" s="321"/>
      <c r="FE89" s="321"/>
      <c r="FF89" s="321"/>
      <c r="FG89" s="321"/>
      <c r="FH89" s="321"/>
      <c r="FI89" s="321"/>
      <c r="FJ89" s="321"/>
      <c r="FK89" s="321"/>
      <c r="FL89" s="321"/>
      <c r="FM89" s="321"/>
      <c r="FN89" s="321"/>
      <c r="FO89" s="321"/>
      <c r="FP89" s="321"/>
      <c r="FQ89" s="321"/>
      <c r="FR89" s="321"/>
      <c r="FS89" s="321"/>
      <c r="FT89" s="321"/>
      <c r="FU89" s="321"/>
      <c r="FV89" s="321"/>
      <c r="FW89" s="321"/>
      <c r="FX89" s="321"/>
      <c r="FY89" s="321"/>
      <c r="FZ89" s="321"/>
      <c r="GA89" s="321"/>
      <c r="GB89" s="321"/>
      <c r="GC89" s="321"/>
      <c r="GD89" s="321"/>
      <c r="GE89" s="321"/>
      <c r="GF89" s="321"/>
      <c r="GG89" s="321"/>
      <c r="GH89" s="321"/>
      <c r="GI89" s="321"/>
      <c r="GJ89" s="321"/>
      <c r="GK89" s="321"/>
      <c r="GL89" s="321"/>
      <c r="GM89" s="321"/>
      <c r="GN89" s="321"/>
      <c r="GO89" s="321"/>
      <c r="GP89" s="321"/>
      <c r="GQ89" s="321"/>
      <c r="GR89" s="321"/>
      <c r="GS89" s="321"/>
      <c r="GT89" s="321"/>
      <c r="GU89" s="321"/>
      <c r="GV89" s="321"/>
      <c r="GW89" s="321"/>
      <c r="GX89" s="321"/>
      <c r="GY89" s="321"/>
      <c r="GZ89" s="321"/>
      <c r="HA89" s="321"/>
      <c r="HB89" s="321"/>
      <c r="HC89" s="321"/>
      <c r="HD89" s="321"/>
      <c r="HE89" s="321"/>
      <c r="HF89" s="321"/>
      <c r="HG89" s="321"/>
      <c r="HH89" s="321"/>
      <c r="HI89" s="321"/>
      <c r="HJ89" s="321"/>
      <c r="HK89" s="321"/>
      <c r="HL89" s="321"/>
      <c r="HM89" s="321"/>
      <c r="HN89" s="321"/>
      <c r="HO89" s="321"/>
      <c r="HP89" s="321"/>
      <c r="HQ89" s="321"/>
      <c r="HR89" s="321"/>
      <c r="HS89" s="321"/>
      <c r="HT89" s="321"/>
      <c r="HU89" s="321"/>
      <c r="HV89" s="321"/>
      <c r="HW89" s="321"/>
      <c r="HX89" s="321"/>
      <c r="HY89" s="321"/>
      <c r="HZ89" s="321"/>
      <c r="IA89" s="321"/>
      <c r="IB89" s="321"/>
      <c r="IC89" s="321"/>
      <c r="ID89" s="321"/>
      <c r="IE89" s="321"/>
      <c r="IF89" s="321"/>
      <c r="IG89" s="321"/>
      <c r="IH89" s="321"/>
      <c r="II89" s="321"/>
      <c r="IJ89" s="321"/>
      <c r="IK89" s="321"/>
      <c r="IL89" s="321"/>
      <c r="IM89" s="321"/>
      <c r="IN89" s="321"/>
      <c r="IO89" s="321"/>
      <c r="IP89" s="321"/>
      <c r="IQ89" s="321"/>
      <c r="IR89" s="321"/>
      <c r="IS89" s="321"/>
      <c r="IT89" s="321"/>
      <c r="IU89" s="321"/>
      <c r="IV89" s="321"/>
    </row>
    <row r="90" spans="1:256" s="546" customFormat="1" ht="18" customHeight="1">
      <c r="A90" s="561">
        <v>81</v>
      </c>
      <c r="B90" s="554"/>
      <c r="C90" s="361"/>
      <c r="D90" s="987" t="s">
        <v>1036</v>
      </c>
      <c r="E90" s="330"/>
      <c r="F90" s="550"/>
      <c r="G90" s="331"/>
      <c r="H90" s="762"/>
      <c r="I90" s="758"/>
      <c r="J90" s="547"/>
      <c r="K90" s="1266">
        <v>87</v>
      </c>
      <c r="L90" s="1266">
        <v>94075</v>
      </c>
      <c r="M90" s="1266">
        <v>0</v>
      </c>
      <c r="N90" s="1266">
        <v>1449925</v>
      </c>
      <c r="O90" s="1175">
        <f>SUM(I90:N90)</f>
        <v>1544087</v>
      </c>
      <c r="P90" s="551"/>
      <c r="Q90" s="321"/>
      <c r="R90" s="321"/>
      <c r="S90" s="321"/>
      <c r="T90" s="321"/>
      <c r="U90" s="321"/>
      <c r="V90" s="321"/>
      <c r="W90" s="321"/>
      <c r="X90" s="321"/>
      <c r="Y90" s="321"/>
      <c r="Z90" s="321"/>
      <c r="AA90" s="321"/>
      <c r="AB90" s="321"/>
      <c r="AC90" s="321"/>
      <c r="AD90" s="321"/>
      <c r="AE90" s="321"/>
      <c r="AF90" s="321"/>
      <c r="AG90" s="321"/>
      <c r="AH90" s="321"/>
      <c r="AI90" s="321"/>
      <c r="AJ90" s="321"/>
      <c r="AK90" s="321"/>
      <c r="AL90" s="321"/>
      <c r="AM90" s="321"/>
      <c r="AN90" s="321"/>
      <c r="AO90" s="321"/>
      <c r="AP90" s="321"/>
      <c r="AQ90" s="321"/>
      <c r="AR90" s="321"/>
      <c r="AS90" s="321"/>
      <c r="AT90" s="321"/>
      <c r="AU90" s="321"/>
      <c r="AV90" s="321"/>
      <c r="AW90" s="321"/>
      <c r="AX90" s="321"/>
      <c r="AY90" s="321"/>
      <c r="AZ90" s="321"/>
      <c r="BA90" s="321"/>
      <c r="BB90" s="321"/>
      <c r="BC90" s="321"/>
      <c r="BD90" s="321"/>
      <c r="BE90" s="321"/>
      <c r="BF90" s="321"/>
      <c r="BG90" s="321"/>
      <c r="BH90" s="321"/>
      <c r="BI90" s="321"/>
      <c r="BJ90" s="321"/>
      <c r="BK90" s="321"/>
      <c r="BL90" s="321"/>
      <c r="BM90" s="321"/>
      <c r="BN90" s="321"/>
      <c r="BO90" s="321"/>
      <c r="BP90" s="321"/>
      <c r="BQ90" s="321"/>
      <c r="BR90" s="321"/>
      <c r="BS90" s="321"/>
      <c r="BT90" s="321"/>
      <c r="BU90" s="321"/>
      <c r="BV90" s="321"/>
      <c r="BW90" s="321"/>
      <c r="BX90" s="321"/>
      <c r="BY90" s="321"/>
      <c r="BZ90" s="321"/>
      <c r="CA90" s="321"/>
      <c r="CB90" s="321"/>
      <c r="CC90" s="321"/>
      <c r="CD90" s="321"/>
      <c r="CE90" s="321"/>
      <c r="CF90" s="321"/>
      <c r="CG90" s="321"/>
      <c r="CH90" s="321"/>
      <c r="CI90" s="321"/>
      <c r="CJ90" s="321"/>
      <c r="CK90" s="321"/>
      <c r="CL90" s="321"/>
      <c r="CM90" s="321"/>
      <c r="CN90" s="321"/>
      <c r="CO90" s="321"/>
      <c r="CP90" s="321"/>
      <c r="CQ90" s="321"/>
      <c r="CR90" s="321"/>
      <c r="CS90" s="321"/>
      <c r="CT90" s="321"/>
      <c r="CU90" s="321"/>
      <c r="CV90" s="321"/>
      <c r="CW90" s="321"/>
      <c r="CX90" s="321"/>
      <c r="CY90" s="321"/>
      <c r="CZ90" s="321"/>
      <c r="DA90" s="321"/>
      <c r="DB90" s="321"/>
      <c r="DC90" s="321"/>
      <c r="DD90" s="321"/>
      <c r="DE90" s="321"/>
      <c r="DF90" s="321"/>
      <c r="DG90" s="321"/>
      <c r="DH90" s="321"/>
      <c r="DI90" s="321"/>
      <c r="DJ90" s="321"/>
      <c r="DK90" s="321"/>
      <c r="DL90" s="321"/>
      <c r="DM90" s="321"/>
      <c r="DN90" s="321"/>
      <c r="DO90" s="321"/>
      <c r="DP90" s="321"/>
      <c r="DQ90" s="321"/>
      <c r="DR90" s="321"/>
      <c r="DS90" s="321"/>
      <c r="DT90" s="321"/>
      <c r="DU90" s="321"/>
      <c r="DV90" s="321"/>
      <c r="DW90" s="321"/>
      <c r="DX90" s="321"/>
      <c r="DY90" s="321"/>
      <c r="DZ90" s="321"/>
      <c r="EA90" s="321"/>
      <c r="EB90" s="321"/>
      <c r="EC90" s="321"/>
      <c r="ED90" s="321"/>
      <c r="EE90" s="321"/>
      <c r="EF90" s="321"/>
      <c r="EG90" s="321"/>
      <c r="EH90" s="321"/>
      <c r="EI90" s="321"/>
      <c r="EJ90" s="321"/>
      <c r="EK90" s="321"/>
      <c r="EL90" s="321"/>
      <c r="EM90" s="321"/>
      <c r="EN90" s="321"/>
      <c r="EO90" s="321"/>
      <c r="EP90" s="321"/>
      <c r="EQ90" s="321"/>
      <c r="ER90" s="321"/>
      <c r="ES90" s="321"/>
      <c r="ET90" s="321"/>
      <c r="EU90" s="321"/>
      <c r="EV90" s="321"/>
      <c r="EW90" s="321"/>
      <c r="EX90" s="321"/>
      <c r="EY90" s="321"/>
      <c r="EZ90" s="321"/>
      <c r="FA90" s="321"/>
      <c r="FB90" s="321"/>
      <c r="FC90" s="321"/>
      <c r="FD90" s="321"/>
      <c r="FE90" s="321"/>
      <c r="FF90" s="321"/>
      <c r="FG90" s="321"/>
      <c r="FH90" s="321"/>
      <c r="FI90" s="321"/>
      <c r="FJ90" s="321"/>
      <c r="FK90" s="321"/>
      <c r="FL90" s="321"/>
      <c r="FM90" s="321"/>
      <c r="FN90" s="321"/>
      <c r="FO90" s="321"/>
      <c r="FP90" s="321"/>
      <c r="FQ90" s="321"/>
      <c r="FR90" s="321"/>
      <c r="FS90" s="321"/>
      <c r="FT90" s="321"/>
      <c r="FU90" s="321"/>
      <c r="FV90" s="321"/>
      <c r="FW90" s="321"/>
      <c r="FX90" s="321"/>
      <c r="FY90" s="321"/>
      <c r="FZ90" s="321"/>
      <c r="GA90" s="321"/>
      <c r="GB90" s="321"/>
      <c r="GC90" s="321"/>
      <c r="GD90" s="321"/>
      <c r="GE90" s="321"/>
      <c r="GF90" s="321"/>
      <c r="GG90" s="321"/>
      <c r="GH90" s="321"/>
      <c r="GI90" s="321"/>
      <c r="GJ90" s="321"/>
      <c r="GK90" s="321"/>
      <c r="GL90" s="321"/>
      <c r="GM90" s="321"/>
      <c r="GN90" s="321"/>
      <c r="GO90" s="321"/>
      <c r="GP90" s="321"/>
      <c r="GQ90" s="321"/>
      <c r="GR90" s="321"/>
      <c r="GS90" s="321"/>
      <c r="GT90" s="321"/>
      <c r="GU90" s="321"/>
      <c r="GV90" s="321"/>
      <c r="GW90" s="321"/>
      <c r="GX90" s="321"/>
      <c r="GY90" s="321"/>
      <c r="GZ90" s="321"/>
      <c r="HA90" s="321"/>
      <c r="HB90" s="321"/>
      <c r="HC90" s="321"/>
      <c r="HD90" s="321"/>
      <c r="HE90" s="321"/>
      <c r="HF90" s="321"/>
      <c r="HG90" s="321"/>
      <c r="HH90" s="321"/>
      <c r="HI90" s="321"/>
      <c r="HJ90" s="321"/>
      <c r="HK90" s="321"/>
      <c r="HL90" s="321"/>
      <c r="HM90" s="321"/>
      <c r="HN90" s="321"/>
      <c r="HO90" s="321"/>
      <c r="HP90" s="321"/>
      <c r="HQ90" s="321"/>
      <c r="HR90" s="321"/>
      <c r="HS90" s="321"/>
      <c r="HT90" s="321"/>
      <c r="HU90" s="321"/>
      <c r="HV90" s="321"/>
      <c r="HW90" s="321"/>
      <c r="HX90" s="321"/>
      <c r="HY90" s="321"/>
      <c r="HZ90" s="321"/>
      <c r="IA90" s="321"/>
      <c r="IB90" s="321"/>
      <c r="IC90" s="321"/>
      <c r="ID90" s="321"/>
      <c r="IE90" s="321"/>
      <c r="IF90" s="321"/>
      <c r="IG90" s="321"/>
      <c r="IH90" s="321"/>
      <c r="II90" s="321"/>
      <c r="IJ90" s="321"/>
      <c r="IK90" s="321"/>
      <c r="IL90" s="321"/>
      <c r="IM90" s="321"/>
      <c r="IN90" s="321"/>
      <c r="IO90" s="321"/>
      <c r="IP90" s="321"/>
      <c r="IQ90" s="321"/>
      <c r="IR90" s="321"/>
      <c r="IS90" s="321"/>
      <c r="IT90" s="321"/>
      <c r="IU90" s="321"/>
      <c r="IV90" s="321"/>
    </row>
    <row r="91" spans="1:16" ht="33">
      <c r="A91" s="561">
        <v>82</v>
      </c>
      <c r="B91" s="455"/>
      <c r="C91" s="322">
        <v>21</v>
      </c>
      <c r="D91" s="324" t="s">
        <v>533</v>
      </c>
      <c r="E91" s="330"/>
      <c r="F91" s="550"/>
      <c r="G91" s="331"/>
      <c r="H91" s="762" t="s">
        <v>24</v>
      </c>
      <c r="I91" s="777"/>
      <c r="J91" s="773"/>
      <c r="K91" s="773"/>
      <c r="L91" s="773"/>
      <c r="M91" s="773"/>
      <c r="N91" s="773"/>
      <c r="O91" s="745"/>
      <c r="P91" s="551"/>
    </row>
    <row r="92" spans="1:256" s="546" customFormat="1" ht="18" customHeight="1">
      <c r="A92" s="561">
        <v>83</v>
      </c>
      <c r="B92" s="554"/>
      <c r="C92" s="322"/>
      <c r="D92" s="755" t="s">
        <v>303</v>
      </c>
      <c r="E92" s="330">
        <f>F92+G92+O93+P92</f>
        <v>1629330</v>
      </c>
      <c r="F92" s="550">
        <v>28000</v>
      </c>
      <c r="G92" s="331">
        <f>24019+2422</f>
        <v>26441</v>
      </c>
      <c r="H92" s="762"/>
      <c r="I92" s="777"/>
      <c r="J92" s="773"/>
      <c r="K92" s="773">
        <v>12196</v>
      </c>
      <c r="L92" s="773"/>
      <c r="M92" s="773">
        <f>793085+277946+491662</f>
        <v>1562693</v>
      </c>
      <c r="N92" s="773"/>
      <c r="O92" s="745">
        <f>SUM(I92:N92)</f>
        <v>1574889</v>
      </c>
      <c r="P92" s="551"/>
      <c r="Q92" s="321"/>
      <c r="R92" s="321"/>
      <c r="S92" s="321"/>
      <c r="T92" s="321"/>
      <c r="U92" s="321"/>
      <c r="V92" s="321"/>
      <c r="W92" s="321"/>
      <c r="X92" s="321"/>
      <c r="Y92" s="321"/>
      <c r="Z92" s="321"/>
      <c r="AA92" s="321"/>
      <c r="AB92" s="321"/>
      <c r="AC92" s="321"/>
      <c r="AD92" s="321"/>
      <c r="AE92" s="321"/>
      <c r="AF92" s="321"/>
      <c r="AG92" s="321"/>
      <c r="AH92" s="321"/>
      <c r="AI92" s="321"/>
      <c r="AJ92" s="321"/>
      <c r="AK92" s="321"/>
      <c r="AL92" s="321"/>
      <c r="AM92" s="321"/>
      <c r="AN92" s="321"/>
      <c r="AO92" s="321"/>
      <c r="AP92" s="321"/>
      <c r="AQ92" s="321"/>
      <c r="AR92" s="321"/>
      <c r="AS92" s="321"/>
      <c r="AT92" s="321"/>
      <c r="AU92" s="321"/>
      <c r="AV92" s="321"/>
      <c r="AW92" s="321"/>
      <c r="AX92" s="321"/>
      <c r="AY92" s="321"/>
      <c r="AZ92" s="321"/>
      <c r="BA92" s="321"/>
      <c r="BB92" s="321"/>
      <c r="BC92" s="321"/>
      <c r="BD92" s="321"/>
      <c r="BE92" s="321"/>
      <c r="BF92" s="321"/>
      <c r="BG92" s="321"/>
      <c r="BH92" s="321"/>
      <c r="BI92" s="321"/>
      <c r="BJ92" s="321"/>
      <c r="BK92" s="321"/>
      <c r="BL92" s="321"/>
      <c r="BM92" s="321"/>
      <c r="BN92" s="321"/>
      <c r="BO92" s="321"/>
      <c r="BP92" s="321"/>
      <c r="BQ92" s="321"/>
      <c r="BR92" s="321"/>
      <c r="BS92" s="321"/>
      <c r="BT92" s="321"/>
      <c r="BU92" s="321"/>
      <c r="BV92" s="321"/>
      <c r="BW92" s="321"/>
      <c r="BX92" s="321"/>
      <c r="BY92" s="321"/>
      <c r="BZ92" s="321"/>
      <c r="CA92" s="321"/>
      <c r="CB92" s="321"/>
      <c r="CC92" s="321"/>
      <c r="CD92" s="321"/>
      <c r="CE92" s="321"/>
      <c r="CF92" s="321"/>
      <c r="CG92" s="321"/>
      <c r="CH92" s="321"/>
      <c r="CI92" s="321"/>
      <c r="CJ92" s="321"/>
      <c r="CK92" s="321"/>
      <c r="CL92" s="321"/>
      <c r="CM92" s="321"/>
      <c r="CN92" s="321"/>
      <c r="CO92" s="321"/>
      <c r="CP92" s="321"/>
      <c r="CQ92" s="321"/>
      <c r="CR92" s="321"/>
      <c r="CS92" s="321"/>
      <c r="CT92" s="321"/>
      <c r="CU92" s="321"/>
      <c r="CV92" s="321"/>
      <c r="CW92" s="321"/>
      <c r="CX92" s="321"/>
      <c r="CY92" s="321"/>
      <c r="CZ92" s="321"/>
      <c r="DA92" s="321"/>
      <c r="DB92" s="321"/>
      <c r="DC92" s="321"/>
      <c r="DD92" s="321"/>
      <c r="DE92" s="321"/>
      <c r="DF92" s="321"/>
      <c r="DG92" s="321"/>
      <c r="DH92" s="321"/>
      <c r="DI92" s="321"/>
      <c r="DJ92" s="321"/>
      <c r="DK92" s="321"/>
      <c r="DL92" s="321"/>
      <c r="DM92" s="321"/>
      <c r="DN92" s="321"/>
      <c r="DO92" s="321"/>
      <c r="DP92" s="321"/>
      <c r="DQ92" s="321"/>
      <c r="DR92" s="321"/>
      <c r="DS92" s="321"/>
      <c r="DT92" s="321"/>
      <c r="DU92" s="321"/>
      <c r="DV92" s="321"/>
      <c r="DW92" s="321"/>
      <c r="DX92" s="321"/>
      <c r="DY92" s="321"/>
      <c r="DZ92" s="321"/>
      <c r="EA92" s="321"/>
      <c r="EB92" s="321"/>
      <c r="EC92" s="321"/>
      <c r="ED92" s="321"/>
      <c r="EE92" s="321"/>
      <c r="EF92" s="321"/>
      <c r="EG92" s="321"/>
      <c r="EH92" s="321"/>
      <c r="EI92" s="321"/>
      <c r="EJ92" s="321"/>
      <c r="EK92" s="321"/>
      <c r="EL92" s="321"/>
      <c r="EM92" s="321"/>
      <c r="EN92" s="321"/>
      <c r="EO92" s="321"/>
      <c r="EP92" s="321"/>
      <c r="EQ92" s="321"/>
      <c r="ER92" s="321"/>
      <c r="ES92" s="321"/>
      <c r="ET92" s="321"/>
      <c r="EU92" s="321"/>
      <c r="EV92" s="321"/>
      <c r="EW92" s="321"/>
      <c r="EX92" s="321"/>
      <c r="EY92" s="321"/>
      <c r="EZ92" s="321"/>
      <c r="FA92" s="321"/>
      <c r="FB92" s="321"/>
      <c r="FC92" s="321"/>
      <c r="FD92" s="321"/>
      <c r="FE92" s="321"/>
      <c r="FF92" s="321"/>
      <c r="FG92" s="321"/>
      <c r="FH92" s="321"/>
      <c r="FI92" s="321"/>
      <c r="FJ92" s="321"/>
      <c r="FK92" s="321"/>
      <c r="FL92" s="321"/>
      <c r="FM92" s="321"/>
      <c r="FN92" s="321"/>
      <c r="FO92" s="321"/>
      <c r="FP92" s="321"/>
      <c r="FQ92" s="321"/>
      <c r="FR92" s="321"/>
      <c r="FS92" s="321"/>
      <c r="FT92" s="321"/>
      <c r="FU92" s="321"/>
      <c r="FV92" s="321"/>
      <c r="FW92" s="321"/>
      <c r="FX92" s="321"/>
      <c r="FY92" s="321"/>
      <c r="FZ92" s="321"/>
      <c r="GA92" s="321"/>
      <c r="GB92" s="321"/>
      <c r="GC92" s="321"/>
      <c r="GD92" s="321"/>
      <c r="GE92" s="321"/>
      <c r="GF92" s="321"/>
      <c r="GG92" s="321"/>
      <c r="GH92" s="321"/>
      <c r="GI92" s="321"/>
      <c r="GJ92" s="321"/>
      <c r="GK92" s="321"/>
      <c r="GL92" s="321"/>
      <c r="GM92" s="321"/>
      <c r="GN92" s="321"/>
      <c r="GO92" s="321"/>
      <c r="GP92" s="321"/>
      <c r="GQ92" s="321"/>
      <c r="GR92" s="321"/>
      <c r="GS92" s="321"/>
      <c r="GT92" s="321"/>
      <c r="GU92" s="321"/>
      <c r="GV92" s="321"/>
      <c r="GW92" s="321"/>
      <c r="GX92" s="321"/>
      <c r="GY92" s="321"/>
      <c r="GZ92" s="321"/>
      <c r="HA92" s="321"/>
      <c r="HB92" s="321"/>
      <c r="HC92" s="321"/>
      <c r="HD92" s="321"/>
      <c r="HE92" s="321"/>
      <c r="HF92" s="321"/>
      <c r="HG92" s="321"/>
      <c r="HH92" s="321"/>
      <c r="HI92" s="321"/>
      <c r="HJ92" s="321"/>
      <c r="HK92" s="321"/>
      <c r="HL92" s="321"/>
      <c r="HM92" s="321"/>
      <c r="HN92" s="321"/>
      <c r="HO92" s="321"/>
      <c r="HP92" s="321"/>
      <c r="HQ92" s="321"/>
      <c r="HR92" s="321"/>
      <c r="HS92" s="321"/>
      <c r="HT92" s="321"/>
      <c r="HU92" s="321"/>
      <c r="HV92" s="321"/>
      <c r="HW92" s="321"/>
      <c r="HX92" s="321"/>
      <c r="HY92" s="321"/>
      <c r="HZ92" s="321"/>
      <c r="IA92" s="321"/>
      <c r="IB92" s="321"/>
      <c r="IC92" s="321"/>
      <c r="ID92" s="321"/>
      <c r="IE92" s="321"/>
      <c r="IF92" s="321"/>
      <c r="IG92" s="321"/>
      <c r="IH92" s="321"/>
      <c r="II92" s="321"/>
      <c r="IJ92" s="321"/>
      <c r="IK92" s="321"/>
      <c r="IL92" s="321"/>
      <c r="IM92" s="321"/>
      <c r="IN92" s="321"/>
      <c r="IO92" s="321"/>
      <c r="IP92" s="321"/>
      <c r="IQ92" s="321"/>
      <c r="IR92" s="321"/>
      <c r="IS92" s="321"/>
      <c r="IT92" s="321"/>
      <c r="IU92" s="321"/>
      <c r="IV92" s="321"/>
    </row>
    <row r="93" spans="1:256" s="546" customFormat="1" ht="18" customHeight="1">
      <c r="A93" s="561">
        <v>84</v>
      </c>
      <c r="B93" s="554"/>
      <c r="C93" s="322"/>
      <c r="D93" s="436" t="s">
        <v>994</v>
      </c>
      <c r="E93" s="330"/>
      <c r="F93" s="550"/>
      <c r="G93" s="331"/>
      <c r="H93" s="762"/>
      <c r="I93" s="777"/>
      <c r="J93" s="773"/>
      <c r="K93" s="547">
        <v>12196</v>
      </c>
      <c r="L93" s="547"/>
      <c r="M93" s="547">
        <v>1562693</v>
      </c>
      <c r="N93" s="773"/>
      <c r="O93" s="555">
        <f>SUM(I93:N93)</f>
        <v>1574889</v>
      </c>
      <c r="P93" s="551"/>
      <c r="Q93" s="321"/>
      <c r="R93" s="321"/>
      <c r="S93" s="321"/>
      <c r="T93" s="321"/>
      <c r="U93" s="321"/>
      <c r="V93" s="321"/>
      <c r="W93" s="321"/>
      <c r="X93" s="321"/>
      <c r="Y93" s="321"/>
      <c r="Z93" s="321"/>
      <c r="AA93" s="321"/>
      <c r="AB93" s="321"/>
      <c r="AC93" s="321"/>
      <c r="AD93" s="321"/>
      <c r="AE93" s="321"/>
      <c r="AF93" s="321"/>
      <c r="AG93" s="321"/>
      <c r="AH93" s="321"/>
      <c r="AI93" s="321"/>
      <c r="AJ93" s="321"/>
      <c r="AK93" s="321"/>
      <c r="AL93" s="321"/>
      <c r="AM93" s="321"/>
      <c r="AN93" s="321"/>
      <c r="AO93" s="321"/>
      <c r="AP93" s="321"/>
      <c r="AQ93" s="321"/>
      <c r="AR93" s="321"/>
      <c r="AS93" s="321"/>
      <c r="AT93" s="321"/>
      <c r="AU93" s="321"/>
      <c r="AV93" s="321"/>
      <c r="AW93" s="321"/>
      <c r="AX93" s="321"/>
      <c r="AY93" s="321"/>
      <c r="AZ93" s="321"/>
      <c r="BA93" s="321"/>
      <c r="BB93" s="321"/>
      <c r="BC93" s="321"/>
      <c r="BD93" s="321"/>
      <c r="BE93" s="321"/>
      <c r="BF93" s="321"/>
      <c r="BG93" s="321"/>
      <c r="BH93" s="321"/>
      <c r="BI93" s="321"/>
      <c r="BJ93" s="321"/>
      <c r="BK93" s="321"/>
      <c r="BL93" s="321"/>
      <c r="BM93" s="321"/>
      <c r="BN93" s="321"/>
      <c r="BO93" s="321"/>
      <c r="BP93" s="321"/>
      <c r="BQ93" s="321"/>
      <c r="BR93" s="321"/>
      <c r="BS93" s="321"/>
      <c r="BT93" s="321"/>
      <c r="BU93" s="321"/>
      <c r="BV93" s="321"/>
      <c r="BW93" s="321"/>
      <c r="BX93" s="321"/>
      <c r="BY93" s="321"/>
      <c r="BZ93" s="321"/>
      <c r="CA93" s="321"/>
      <c r="CB93" s="321"/>
      <c r="CC93" s="321"/>
      <c r="CD93" s="321"/>
      <c r="CE93" s="321"/>
      <c r="CF93" s="321"/>
      <c r="CG93" s="321"/>
      <c r="CH93" s="321"/>
      <c r="CI93" s="321"/>
      <c r="CJ93" s="321"/>
      <c r="CK93" s="321"/>
      <c r="CL93" s="321"/>
      <c r="CM93" s="321"/>
      <c r="CN93" s="321"/>
      <c r="CO93" s="321"/>
      <c r="CP93" s="321"/>
      <c r="CQ93" s="321"/>
      <c r="CR93" s="321"/>
      <c r="CS93" s="321"/>
      <c r="CT93" s="321"/>
      <c r="CU93" s="321"/>
      <c r="CV93" s="321"/>
      <c r="CW93" s="321"/>
      <c r="CX93" s="321"/>
      <c r="CY93" s="321"/>
      <c r="CZ93" s="321"/>
      <c r="DA93" s="321"/>
      <c r="DB93" s="321"/>
      <c r="DC93" s="321"/>
      <c r="DD93" s="321"/>
      <c r="DE93" s="321"/>
      <c r="DF93" s="321"/>
      <c r="DG93" s="321"/>
      <c r="DH93" s="321"/>
      <c r="DI93" s="321"/>
      <c r="DJ93" s="321"/>
      <c r="DK93" s="321"/>
      <c r="DL93" s="321"/>
      <c r="DM93" s="321"/>
      <c r="DN93" s="321"/>
      <c r="DO93" s="321"/>
      <c r="DP93" s="321"/>
      <c r="DQ93" s="321"/>
      <c r="DR93" s="321"/>
      <c r="DS93" s="321"/>
      <c r="DT93" s="321"/>
      <c r="DU93" s="321"/>
      <c r="DV93" s="321"/>
      <c r="DW93" s="321"/>
      <c r="DX93" s="321"/>
      <c r="DY93" s="321"/>
      <c r="DZ93" s="321"/>
      <c r="EA93" s="321"/>
      <c r="EB93" s="321"/>
      <c r="EC93" s="321"/>
      <c r="ED93" s="321"/>
      <c r="EE93" s="321"/>
      <c r="EF93" s="321"/>
      <c r="EG93" s="321"/>
      <c r="EH93" s="321"/>
      <c r="EI93" s="321"/>
      <c r="EJ93" s="321"/>
      <c r="EK93" s="321"/>
      <c r="EL93" s="321"/>
      <c r="EM93" s="321"/>
      <c r="EN93" s="321"/>
      <c r="EO93" s="321"/>
      <c r="EP93" s="321"/>
      <c r="EQ93" s="321"/>
      <c r="ER93" s="321"/>
      <c r="ES93" s="321"/>
      <c r="ET93" s="321"/>
      <c r="EU93" s="321"/>
      <c r="EV93" s="321"/>
      <c r="EW93" s="321"/>
      <c r="EX93" s="321"/>
      <c r="EY93" s="321"/>
      <c r="EZ93" s="321"/>
      <c r="FA93" s="321"/>
      <c r="FB93" s="321"/>
      <c r="FC93" s="321"/>
      <c r="FD93" s="321"/>
      <c r="FE93" s="321"/>
      <c r="FF93" s="321"/>
      <c r="FG93" s="321"/>
      <c r="FH93" s="321"/>
      <c r="FI93" s="321"/>
      <c r="FJ93" s="321"/>
      <c r="FK93" s="321"/>
      <c r="FL93" s="321"/>
      <c r="FM93" s="321"/>
      <c r="FN93" s="321"/>
      <c r="FO93" s="321"/>
      <c r="FP93" s="321"/>
      <c r="FQ93" s="321"/>
      <c r="FR93" s="321"/>
      <c r="FS93" s="321"/>
      <c r="FT93" s="321"/>
      <c r="FU93" s="321"/>
      <c r="FV93" s="321"/>
      <c r="FW93" s="321"/>
      <c r="FX93" s="321"/>
      <c r="FY93" s="321"/>
      <c r="FZ93" s="321"/>
      <c r="GA93" s="321"/>
      <c r="GB93" s="321"/>
      <c r="GC93" s="321"/>
      <c r="GD93" s="321"/>
      <c r="GE93" s="321"/>
      <c r="GF93" s="321"/>
      <c r="GG93" s="321"/>
      <c r="GH93" s="321"/>
      <c r="GI93" s="321"/>
      <c r="GJ93" s="321"/>
      <c r="GK93" s="321"/>
      <c r="GL93" s="321"/>
      <c r="GM93" s="321"/>
      <c r="GN93" s="321"/>
      <c r="GO93" s="321"/>
      <c r="GP93" s="321"/>
      <c r="GQ93" s="321"/>
      <c r="GR93" s="321"/>
      <c r="GS93" s="321"/>
      <c r="GT93" s="321"/>
      <c r="GU93" s="321"/>
      <c r="GV93" s="321"/>
      <c r="GW93" s="321"/>
      <c r="GX93" s="321"/>
      <c r="GY93" s="321"/>
      <c r="GZ93" s="321"/>
      <c r="HA93" s="321"/>
      <c r="HB93" s="321"/>
      <c r="HC93" s="321"/>
      <c r="HD93" s="321"/>
      <c r="HE93" s="321"/>
      <c r="HF93" s="321"/>
      <c r="HG93" s="321"/>
      <c r="HH93" s="321"/>
      <c r="HI93" s="321"/>
      <c r="HJ93" s="321"/>
      <c r="HK93" s="321"/>
      <c r="HL93" s="321"/>
      <c r="HM93" s="321"/>
      <c r="HN93" s="321"/>
      <c r="HO93" s="321"/>
      <c r="HP93" s="321"/>
      <c r="HQ93" s="321"/>
      <c r="HR93" s="321"/>
      <c r="HS93" s="321"/>
      <c r="HT93" s="321"/>
      <c r="HU93" s="321"/>
      <c r="HV93" s="321"/>
      <c r="HW93" s="321"/>
      <c r="HX93" s="321"/>
      <c r="HY93" s="321"/>
      <c r="HZ93" s="321"/>
      <c r="IA93" s="321"/>
      <c r="IB93" s="321"/>
      <c r="IC93" s="321"/>
      <c r="ID93" s="321"/>
      <c r="IE93" s="321"/>
      <c r="IF93" s="321"/>
      <c r="IG93" s="321"/>
      <c r="IH93" s="321"/>
      <c r="II93" s="321"/>
      <c r="IJ93" s="321"/>
      <c r="IK93" s="321"/>
      <c r="IL93" s="321"/>
      <c r="IM93" s="321"/>
      <c r="IN93" s="321"/>
      <c r="IO93" s="321"/>
      <c r="IP93" s="321"/>
      <c r="IQ93" s="321"/>
      <c r="IR93" s="321"/>
      <c r="IS93" s="321"/>
      <c r="IT93" s="321"/>
      <c r="IU93" s="321"/>
      <c r="IV93" s="321"/>
    </row>
    <row r="94" spans="1:256" s="546" customFormat="1" ht="18" customHeight="1">
      <c r="A94" s="561">
        <v>85</v>
      </c>
      <c r="B94" s="554"/>
      <c r="C94" s="322"/>
      <c r="D94" s="987" t="s">
        <v>1036</v>
      </c>
      <c r="E94" s="330"/>
      <c r="F94" s="550"/>
      <c r="G94" s="331"/>
      <c r="H94" s="762"/>
      <c r="I94" s="758"/>
      <c r="J94" s="547"/>
      <c r="K94" s="1266">
        <v>0</v>
      </c>
      <c r="L94" s="1266"/>
      <c r="M94" s="1266">
        <v>46228</v>
      </c>
      <c r="N94" s="547"/>
      <c r="O94" s="1175">
        <f>SUM(I94:N94)</f>
        <v>46228</v>
      </c>
      <c r="P94" s="551"/>
      <c r="Q94" s="321"/>
      <c r="R94" s="321"/>
      <c r="S94" s="321"/>
      <c r="T94" s="321"/>
      <c r="U94" s="321"/>
      <c r="V94" s="321"/>
      <c r="W94" s="321"/>
      <c r="X94" s="321"/>
      <c r="Y94" s="321"/>
      <c r="Z94" s="321"/>
      <c r="AA94" s="321"/>
      <c r="AB94" s="321"/>
      <c r="AC94" s="321"/>
      <c r="AD94" s="321"/>
      <c r="AE94" s="321"/>
      <c r="AF94" s="321"/>
      <c r="AG94" s="321"/>
      <c r="AH94" s="321"/>
      <c r="AI94" s="321"/>
      <c r="AJ94" s="321"/>
      <c r="AK94" s="321"/>
      <c r="AL94" s="321"/>
      <c r="AM94" s="321"/>
      <c r="AN94" s="321"/>
      <c r="AO94" s="321"/>
      <c r="AP94" s="321"/>
      <c r="AQ94" s="321"/>
      <c r="AR94" s="321"/>
      <c r="AS94" s="321"/>
      <c r="AT94" s="321"/>
      <c r="AU94" s="321"/>
      <c r="AV94" s="321"/>
      <c r="AW94" s="321"/>
      <c r="AX94" s="321"/>
      <c r="AY94" s="321"/>
      <c r="AZ94" s="321"/>
      <c r="BA94" s="321"/>
      <c r="BB94" s="321"/>
      <c r="BC94" s="321"/>
      <c r="BD94" s="321"/>
      <c r="BE94" s="321"/>
      <c r="BF94" s="321"/>
      <c r="BG94" s="321"/>
      <c r="BH94" s="321"/>
      <c r="BI94" s="321"/>
      <c r="BJ94" s="321"/>
      <c r="BK94" s="321"/>
      <c r="BL94" s="321"/>
      <c r="BM94" s="321"/>
      <c r="BN94" s="321"/>
      <c r="BO94" s="321"/>
      <c r="BP94" s="321"/>
      <c r="BQ94" s="321"/>
      <c r="BR94" s="321"/>
      <c r="BS94" s="321"/>
      <c r="BT94" s="321"/>
      <c r="BU94" s="321"/>
      <c r="BV94" s="321"/>
      <c r="BW94" s="321"/>
      <c r="BX94" s="321"/>
      <c r="BY94" s="321"/>
      <c r="BZ94" s="321"/>
      <c r="CA94" s="321"/>
      <c r="CB94" s="321"/>
      <c r="CC94" s="321"/>
      <c r="CD94" s="321"/>
      <c r="CE94" s="321"/>
      <c r="CF94" s="321"/>
      <c r="CG94" s="321"/>
      <c r="CH94" s="321"/>
      <c r="CI94" s="321"/>
      <c r="CJ94" s="321"/>
      <c r="CK94" s="321"/>
      <c r="CL94" s="321"/>
      <c r="CM94" s="321"/>
      <c r="CN94" s="321"/>
      <c r="CO94" s="321"/>
      <c r="CP94" s="321"/>
      <c r="CQ94" s="321"/>
      <c r="CR94" s="321"/>
      <c r="CS94" s="321"/>
      <c r="CT94" s="321"/>
      <c r="CU94" s="321"/>
      <c r="CV94" s="321"/>
      <c r="CW94" s="321"/>
      <c r="CX94" s="321"/>
      <c r="CY94" s="321"/>
      <c r="CZ94" s="321"/>
      <c r="DA94" s="321"/>
      <c r="DB94" s="321"/>
      <c r="DC94" s="321"/>
      <c r="DD94" s="321"/>
      <c r="DE94" s="321"/>
      <c r="DF94" s="321"/>
      <c r="DG94" s="321"/>
      <c r="DH94" s="321"/>
      <c r="DI94" s="321"/>
      <c r="DJ94" s="321"/>
      <c r="DK94" s="321"/>
      <c r="DL94" s="321"/>
      <c r="DM94" s="321"/>
      <c r="DN94" s="321"/>
      <c r="DO94" s="321"/>
      <c r="DP94" s="321"/>
      <c r="DQ94" s="321"/>
      <c r="DR94" s="321"/>
      <c r="DS94" s="321"/>
      <c r="DT94" s="321"/>
      <c r="DU94" s="321"/>
      <c r="DV94" s="321"/>
      <c r="DW94" s="321"/>
      <c r="DX94" s="321"/>
      <c r="DY94" s="321"/>
      <c r="DZ94" s="321"/>
      <c r="EA94" s="321"/>
      <c r="EB94" s="321"/>
      <c r="EC94" s="321"/>
      <c r="ED94" s="321"/>
      <c r="EE94" s="321"/>
      <c r="EF94" s="321"/>
      <c r="EG94" s="321"/>
      <c r="EH94" s="321"/>
      <c r="EI94" s="321"/>
      <c r="EJ94" s="321"/>
      <c r="EK94" s="321"/>
      <c r="EL94" s="321"/>
      <c r="EM94" s="321"/>
      <c r="EN94" s="321"/>
      <c r="EO94" s="321"/>
      <c r="EP94" s="321"/>
      <c r="EQ94" s="321"/>
      <c r="ER94" s="321"/>
      <c r="ES94" s="321"/>
      <c r="ET94" s="321"/>
      <c r="EU94" s="321"/>
      <c r="EV94" s="321"/>
      <c r="EW94" s="321"/>
      <c r="EX94" s="321"/>
      <c r="EY94" s="321"/>
      <c r="EZ94" s="321"/>
      <c r="FA94" s="321"/>
      <c r="FB94" s="321"/>
      <c r="FC94" s="321"/>
      <c r="FD94" s="321"/>
      <c r="FE94" s="321"/>
      <c r="FF94" s="321"/>
      <c r="FG94" s="321"/>
      <c r="FH94" s="321"/>
      <c r="FI94" s="321"/>
      <c r="FJ94" s="321"/>
      <c r="FK94" s="321"/>
      <c r="FL94" s="321"/>
      <c r="FM94" s="321"/>
      <c r="FN94" s="321"/>
      <c r="FO94" s="321"/>
      <c r="FP94" s="321"/>
      <c r="FQ94" s="321"/>
      <c r="FR94" s="321"/>
      <c r="FS94" s="321"/>
      <c r="FT94" s="321"/>
      <c r="FU94" s="321"/>
      <c r="FV94" s="321"/>
      <c r="FW94" s="321"/>
      <c r="FX94" s="321"/>
      <c r="FY94" s="321"/>
      <c r="FZ94" s="321"/>
      <c r="GA94" s="321"/>
      <c r="GB94" s="321"/>
      <c r="GC94" s="321"/>
      <c r="GD94" s="321"/>
      <c r="GE94" s="321"/>
      <c r="GF94" s="321"/>
      <c r="GG94" s="321"/>
      <c r="GH94" s="321"/>
      <c r="GI94" s="321"/>
      <c r="GJ94" s="321"/>
      <c r="GK94" s="321"/>
      <c r="GL94" s="321"/>
      <c r="GM94" s="321"/>
      <c r="GN94" s="321"/>
      <c r="GO94" s="321"/>
      <c r="GP94" s="321"/>
      <c r="GQ94" s="321"/>
      <c r="GR94" s="321"/>
      <c r="GS94" s="321"/>
      <c r="GT94" s="321"/>
      <c r="GU94" s="321"/>
      <c r="GV94" s="321"/>
      <c r="GW94" s="321"/>
      <c r="GX94" s="321"/>
      <c r="GY94" s="321"/>
      <c r="GZ94" s="321"/>
      <c r="HA94" s="321"/>
      <c r="HB94" s="321"/>
      <c r="HC94" s="321"/>
      <c r="HD94" s="321"/>
      <c r="HE94" s="321"/>
      <c r="HF94" s="321"/>
      <c r="HG94" s="321"/>
      <c r="HH94" s="321"/>
      <c r="HI94" s="321"/>
      <c r="HJ94" s="321"/>
      <c r="HK94" s="321"/>
      <c r="HL94" s="321"/>
      <c r="HM94" s="321"/>
      <c r="HN94" s="321"/>
      <c r="HO94" s="321"/>
      <c r="HP94" s="321"/>
      <c r="HQ94" s="321"/>
      <c r="HR94" s="321"/>
      <c r="HS94" s="321"/>
      <c r="HT94" s="321"/>
      <c r="HU94" s="321"/>
      <c r="HV94" s="321"/>
      <c r="HW94" s="321"/>
      <c r="HX94" s="321"/>
      <c r="HY94" s="321"/>
      <c r="HZ94" s="321"/>
      <c r="IA94" s="321"/>
      <c r="IB94" s="321"/>
      <c r="IC94" s="321"/>
      <c r="ID94" s="321"/>
      <c r="IE94" s="321"/>
      <c r="IF94" s="321"/>
      <c r="IG94" s="321"/>
      <c r="IH94" s="321"/>
      <c r="II94" s="321"/>
      <c r="IJ94" s="321"/>
      <c r="IK94" s="321"/>
      <c r="IL94" s="321"/>
      <c r="IM94" s="321"/>
      <c r="IN94" s="321"/>
      <c r="IO94" s="321"/>
      <c r="IP94" s="321"/>
      <c r="IQ94" s="321"/>
      <c r="IR94" s="321"/>
      <c r="IS94" s="321"/>
      <c r="IT94" s="321"/>
      <c r="IU94" s="321"/>
      <c r="IV94" s="321"/>
    </row>
    <row r="95" spans="1:16" ht="34.5" customHeight="1">
      <c r="A95" s="561">
        <v>86</v>
      </c>
      <c r="B95" s="455"/>
      <c r="C95" s="361">
        <v>22</v>
      </c>
      <c r="D95" s="323" t="s">
        <v>609</v>
      </c>
      <c r="E95" s="330"/>
      <c r="F95" s="550"/>
      <c r="G95" s="331"/>
      <c r="H95" s="762" t="s">
        <v>24</v>
      </c>
      <c r="I95" s="777"/>
      <c r="J95" s="773"/>
      <c r="K95" s="773"/>
      <c r="L95" s="773"/>
      <c r="M95" s="773"/>
      <c r="N95" s="773"/>
      <c r="O95" s="745"/>
      <c r="P95" s="551"/>
    </row>
    <row r="96" spans="1:256" s="546" customFormat="1" ht="18" customHeight="1">
      <c r="A96" s="561">
        <v>87</v>
      </c>
      <c r="B96" s="554"/>
      <c r="C96" s="322"/>
      <c r="D96" s="755" t="s">
        <v>303</v>
      </c>
      <c r="E96" s="330">
        <f>F96+G96+O97+P96</f>
        <v>565</v>
      </c>
      <c r="F96" s="550"/>
      <c r="G96" s="331"/>
      <c r="H96" s="762"/>
      <c r="I96" s="777"/>
      <c r="J96" s="773"/>
      <c r="K96" s="773">
        <v>4792</v>
      </c>
      <c r="L96" s="773"/>
      <c r="M96" s="773"/>
      <c r="N96" s="773"/>
      <c r="O96" s="745">
        <f>SUM(I96:N96)</f>
        <v>4792</v>
      </c>
      <c r="P96" s="551"/>
      <c r="Q96" s="321"/>
      <c r="R96" s="321"/>
      <c r="S96" s="321"/>
      <c r="T96" s="321"/>
      <c r="U96" s="321"/>
      <c r="V96" s="321"/>
      <c r="W96" s="321"/>
      <c r="X96" s="321"/>
      <c r="Y96" s="321"/>
      <c r="Z96" s="321"/>
      <c r="AA96" s="321"/>
      <c r="AB96" s="321"/>
      <c r="AC96" s="321"/>
      <c r="AD96" s="321"/>
      <c r="AE96" s="321"/>
      <c r="AF96" s="321"/>
      <c r="AG96" s="321"/>
      <c r="AH96" s="321"/>
      <c r="AI96" s="321"/>
      <c r="AJ96" s="321"/>
      <c r="AK96" s="321"/>
      <c r="AL96" s="321"/>
      <c r="AM96" s="321"/>
      <c r="AN96" s="321"/>
      <c r="AO96" s="321"/>
      <c r="AP96" s="321"/>
      <c r="AQ96" s="321"/>
      <c r="AR96" s="321"/>
      <c r="AS96" s="321"/>
      <c r="AT96" s="321"/>
      <c r="AU96" s="321"/>
      <c r="AV96" s="321"/>
      <c r="AW96" s="321"/>
      <c r="AX96" s="321"/>
      <c r="AY96" s="321"/>
      <c r="AZ96" s="321"/>
      <c r="BA96" s="321"/>
      <c r="BB96" s="321"/>
      <c r="BC96" s="321"/>
      <c r="BD96" s="321"/>
      <c r="BE96" s="321"/>
      <c r="BF96" s="321"/>
      <c r="BG96" s="321"/>
      <c r="BH96" s="321"/>
      <c r="BI96" s="321"/>
      <c r="BJ96" s="321"/>
      <c r="BK96" s="321"/>
      <c r="BL96" s="321"/>
      <c r="BM96" s="321"/>
      <c r="BN96" s="321"/>
      <c r="BO96" s="321"/>
      <c r="BP96" s="321"/>
      <c r="BQ96" s="321"/>
      <c r="BR96" s="321"/>
      <c r="BS96" s="321"/>
      <c r="BT96" s="321"/>
      <c r="BU96" s="321"/>
      <c r="BV96" s="321"/>
      <c r="BW96" s="321"/>
      <c r="BX96" s="321"/>
      <c r="BY96" s="321"/>
      <c r="BZ96" s="321"/>
      <c r="CA96" s="321"/>
      <c r="CB96" s="321"/>
      <c r="CC96" s="321"/>
      <c r="CD96" s="321"/>
      <c r="CE96" s="321"/>
      <c r="CF96" s="321"/>
      <c r="CG96" s="321"/>
      <c r="CH96" s="321"/>
      <c r="CI96" s="321"/>
      <c r="CJ96" s="321"/>
      <c r="CK96" s="321"/>
      <c r="CL96" s="321"/>
      <c r="CM96" s="321"/>
      <c r="CN96" s="321"/>
      <c r="CO96" s="321"/>
      <c r="CP96" s="321"/>
      <c r="CQ96" s="321"/>
      <c r="CR96" s="321"/>
      <c r="CS96" s="321"/>
      <c r="CT96" s="321"/>
      <c r="CU96" s="321"/>
      <c r="CV96" s="321"/>
      <c r="CW96" s="321"/>
      <c r="CX96" s="321"/>
      <c r="CY96" s="321"/>
      <c r="CZ96" s="321"/>
      <c r="DA96" s="321"/>
      <c r="DB96" s="321"/>
      <c r="DC96" s="321"/>
      <c r="DD96" s="321"/>
      <c r="DE96" s="321"/>
      <c r="DF96" s="321"/>
      <c r="DG96" s="321"/>
      <c r="DH96" s="321"/>
      <c r="DI96" s="321"/>
      <c r="DJ96" s="321"/>
      <c r="DK96" s="321"/>
      <c r="DL96" s="321"/>
      <c r="DM96" s="321"/>
      <c r="DN96" s="321"/>
      <c r="DO96" s="321"/>
      <c r="DP96" s="321"/>
      <c r="DQ96" s="321"/>
      <c r="DR96" s="321"/>
      <c r="DS96" s="321"/>
      <c r="DT96" s="321"/>
      <c r="DU96" s="321"/>
      <c r="DV96" s="321"/>
      <c r="DW96" s="321"/>
      <c r="DX96" s="321"/>
      <c r="DY96" s="321"/>
      <c r="DZ96" s="321"/>
      <c r="EA96" s="321"/>
      <c r="EB96" s="321"/>
      <c r="EC96" s="321"/>
      <c r="ED96" s="321"/>
      <c r="EE96" s="321"/>
      <c r="EF96" s="321"/>
      <c r="EG96" s="321"/>
      <c r="EH96" s="321"/>
      <c r="EI96" s="321"/>
      <c r="EJ96" s="321"/>
      <c r="EK96" s="321"/>
      <c r="EL96" s="321"/>
      <c r="EM96" s="321"/>
      <c r="EN96" s="321"/>
      <c r="EO96" s="321"/>
      <c r="EP96" s="321"/>
      <c r="EQ96" s="321"/>
      <c r="ER96" s="321"/>
      <c r="ES96" s="321"/>
      <c r="ET96" s="321"/>
      <c r="EU96" s="321"/>
      <c r="EV96" s="321"/>
      <c r="EW96" s="321"/>
      <c r="EX96" s="321"/>
      <c r="EY96" s="321"/>
      <c r="EZ96" s="321"/>
      <c r="FA96" s="321"/>
      <c r="FB96" s="321"/>
      <c r="FC96" s="321"/>
      <c r="FD96" s="321"/>
      <c r="FE96" s="321"/>
      <c r="FF96" s="321"/>
      <c r="FG96" s="321"/>
      <c r="FH96" s="321"/>
      <c r="FI96" s="321"/>
      <c r="FJ96" s="321"/>
      <c r="FK96" s="321"/>
      <c r="FL96" s="321"/>
      <c r="FM96" s="321"/>
      <c r="FN96" s="321"/>
      <c r="FO96" s="321"/>
      <c r="FP96" s="321"/>
      <c r="FQ96" s="321"/>
      <c r="FR96" s="321"/>
      <c r="FS96" s="321"/>
      <c r="FT96" s="321"/>
      <c r="FU96" s="321"/>
      <c r="FV96" s="321"/>
      <c r="FW96" s="321"/>
      <c r="FX96" s="321"/>
      <c r="FY96" s="321"/>
      <c r="FZ96" s="321"/>
      <c r="GA96" s="321"/>
      <c r="GB96" s="321"/>
      <c r="GC96" s="321"/>
      <c r="GD96" s="321"/>
      <c r="GE96" s="321"/>
      <c r="GF96" s="321"/>
      <c r="GG96" s="321"/>
      <c r="GH96" s="321"/>
      <c r="GI96" s="321"/>
      <c r="GJ96" s="321"/>
      <c r="GK96" s="321"/>
      <c r="GL96" s="321"/>
      <c r="GM96" s="321"/>
      <c r="GN96" s="321"/>
      <c r="GO96" s="321"/>
      <c r="GP96" s="321"/>
      <c r="GQ96" s="321"/>
      <c r="GR96" s="321"/>
      <c r="GS96" s="321"/>
      <c r="GT96" s="321"/>
      <c r="GU96" s="321"/>
      <c r="GV96" s="321"/>
      <c r="GW96" s="321"/>
      <c r="GX96" s="321"/>
      <c r="GY96" s="321"/>
      <c r="GZ96" s="321"/>
      <c r="HA96" s="321"/>
      <c r="HB96" s="321"/>
      <c r="HC96" s="321"/>
      <c r="HD96" s="321"/>
      <c r="HE96" s="321"/>
      <c r="HF96" s="321"/>
      <c r="HG96" s="321"/>
      <c r="HH96" s="321"/>
      <c r="HI96" s="321"/>
      <c r="HJ96" s="321"/>
      <c r="HK96" s="321"/>
      <c r="HL96" s="321"/>
      <c r="HM96" s="321"/>
      <c r="HN96" s="321"/>
      <c r="HO96" s="321"/>
      <c r="HP96" s="321"/>
      <c r="HQ96" s="321"/>
      <c r="HR96" s="321"/>
      <c r="HS96" s="321"/>
      <c r="HT96" s="321"/>
      <c r="HU96" s="321"/>
      <c r="HV96" s="321"/>
      <c r="HW96" s="321"/>
      <c r="HX96" s="321"/>
      <c r="HY96" s="321"/>
      <c r="HZ96" s="321"/>
      <c r="IA96" s="321"/>
      <c r="IB96" s="321"/>
      <c r="IC96" s="321"/>
      <c r="ID96" s="321"/>
      <c r="IE96" s="321"/>
      <c r="IF96" s="321"/>
      <c r="IG96" s="321"/>
      <c r="IH96" s="321"/>
      <c r="II96" s="321"/>
      <c r="IJ96" s="321"/>
      <c r="IK96" s="321"/>
      <c r="IL96" s="321"/>
      <c r="IM96" s="321"/>
      <c r="IN96" s="321"/>
      <c r="IO96" s="321"/>
      <c r="IP96" s="321"/>
      <c r="IQ96" s="321"/>
      <c r="IR96" s="321"/>
      <c r="IS96" s="321"/>
      <c r="IT96" s="321"/>
      <c r="IU96" s="321"/>
      <c r="IV96" s="321"/>
    </row>
    <row r="97" spans="1:256" s="546" customFormat="1" ht="18" customHeight="1">
      <c r="A97" s="561">
        <v>88</v>
      </c>
      <c r="B97" s="554"/>
      <c r="C97" s="322"/>
      <c r="D97" s="436" t="s">
        <v>994</v>
      </c>
      <c r="E97" s="330"/>
      <c r="F97" s="550"/>
      <c r="G97" s="331"/>
      <c r="H97" s="762"/>
      <c r="I97" s="777"/>
      <c r="J97" s="773"/>
      <c r="K97" s="773">
        <v>565</v>
      </c>
      <c r="L97" s="773"/>
      <c r="M97" s="773"/>
      <c r="N97" s="773"/>
      <c r="O97" s="555">
        <f>SUM(I97:N97)</f>
        <v>565</v>
      </c>
      <c r="P97" s="551"/>
      <c r="Q97" s="321"/>
      <c r="R97" s="321"/>
      <c r="S97" s="321"/>
      <c r="T97" s="321"/>
      <c r="U97" s="321"/>
      <c r="V97" s="321"/>
      <c r="W97" s="321"/>
      <c r="X97" s="321"/>
      <c r="Y97" s="321"/>
      <c r="Z97" s="321"/>
      <c r="AA97" s="321"/>
      <c r="AB97" s="321"/>
      <c r="AC97" s="321"/>
      <c r="AD97" s="321"/>
      <c r="AE97" s="321"/>
      <c r="AF97" s="321"/>
      <c r="AG97" s="321"/>
      <c r="AH97" s="321"/>
      <c r="AI97" s="321"/>
      <c r="AJ97" s="321"/>
      <c r="AK97" s="321"/>
      <c r="AL97" s="321"/>
      <c r="AM97" s="321"/>
      <c r="AN97" s="321"/>
      <c r="AO97" s="321"/>
      <c r="AP97" s="321"/>
      <c r="AQ97" s="321"/>
      <c r="AR97" s="321"/>
      <c r="AS97" s="321"/>
      <c r="AT97" s="321"/>
      <c r="AU97" s="321"/>
      <c r="AV97" s="321"/>
      <c r="AW97" s="321"/>
      <c r="AX97" s="321"/>
      <c r="AY97" s="321"/>
      <c r="AZ97" s="321"/>
      <c r="BA97" s="321"/>
      <c r="BB97" s="321"/>
      <c r="BC97" s="321"/>
      <c r="BD97" s="321"/>
      <c r="BE97" s="321"/>
      <c r="BF97" s="321"/>
      <c r="BG97" s="321"/>
      <c r="BH97" s="321"/>
      <c r="BI97" s="321"/>
      <c r="BJ97" s="321"/>
      <c r="BK97" s="321"/>
      <c r="BL97" s="321"/>
      <c r="BM97" s="321"/>
      <c r="BN97" s="321"/>
      <c r="BO97" s="321"/>
      <c r="BP97" s="321"/>
      <c r="BQ97" s="321"/>
      <c r="BR97" s="321"/>
      <c r="BS97" s="321"/>
      <c r="BT97" s="321"/>
      <c r="BU97" s="321"/>
      <c r="BV97" s="321"/>
      <c r="BW97" s="321"/>
      <c r="BX97" s="321"/>
      <c r="BY97" s="321"/>
      <c r="BZ97" s="321"/>
      <c r="CA97" s="321"/>
      <c r="CB97" s="321"/>
      <c r="CC97" s="321"/>
      <c r="CD97" s="321"/>
      <c r="CE97" s="321"/>
      <c r="CF97" s="321"/>
      <c r="CG97" s="321"/>
      <c r="CH97" s="321"/>
      <c r="CI97" s="321"/>
      <c r="CJ97" s="321"/>
      <c r="CK97" s="321"/>
      <c r="CL97" s="321"/>
      <c r="CM97" s="321"/>
      <c r="CN97" s="321"/>
      <c r="CO97" s="321"/>
      <c r="CP97" s="321"/>
      <c r="CQ97" s="321"/>
      <c r="CR97" s="321"/>
      <c r="CS97" s="321"/>
      <c r="CT97" s="321"/>
      <c r="CU97" s="321"/>
      <c r="CV97" s="321"/>
      <c r="CW97" s="321"/>
      <c r="CX97" s="321"/>
      <c r="CY97" s="321"/>
      <c r="CZ97" s="321"/>
      <c r="DA97" s="321"/>
      <c r="DB97" s="321"/>
      <c r="DC97" s="321"/>
      <c r="DD97" s="321"/>
      <c r="DE97" s="321"/>
      <c r="DF97" s="321"/>
      <c r="DG97" s="321"/>
      <c r="DH97" s="321"/>
      <c r="DI97" s="321"/>
      <c r="DJ97" s="321"/>
      <c r="DK97" s="321"/>
      <c r="DL97" s="321"/>
      <c r="DM97" s="321"/>
      <c r="DN97" s="321"/>
      <c r="DO97" s="321"/>
      <c r="DP97" s="321"/>
      <c r="DQ97" s="321"/>
      <c r="DR97" s="321"/>
      <c r="DS97" s="321"/>
      <c r="DT97" s="321"/>
      <c r="DU97" s="321"/>
      <c r="DV97" s="321"/>
      <c r="DW97" s="321"/>
      <c r="DX97" s="321"/>
      <c r="DY97" s="321"/>
      <c r="DZ97" s="321"/>
      <c r="EA97" s="321"/>
      <c r="EB97" s="321"/>
      <c r="EC97" s="321"/>
      <c r="ED97" s="321"/>
      <c r="EE97" s="321"/>
      <c r="EF97" s="321"/>
      <c r="EG97" s="321"/>
      <c r="EH97" s="321"/>
      <c r="EI97" s="321"/>
      <c r="EJ97" s="321"/>
      <c r="EK97" s="321"/>
      <c r="EL97" s="321"/>
      <c r="EM97" s="321"/>
      <c r="EN97" s="321"/>
      <c r="EO97" s="321"/>
      <c r="EP97" s="321"/>
      <c r="EQ97" s="321"/>
      <c r="ER97" s="321"/>
      <c r="ES97" s="321"/>
      <c r="ET97" s="321"/>
      <c r="EU97" s="321"/>
      <c r="EV97" s="321"/>
      <c r="EW97" s="321"/>
      <c r="EX97" s="321"/>
      <c r="EY97" s="321"/>
      <c r="EZ97" s="321"/>
      <c r="FA97" s="321"/>
      <c r="FB97" s="321"/>
      <c r="FC97" s="321"/>
      <c r="FD97" s="321"/>
      <c r="FE97" s="321"/>
      <c r="FF97" s="321"/>
      <c r="FG97" s="321"/>
      <c r="FH97" s="321"/>
      <c r="FI97" s="321"/>
      <c r="FJ97" s="321"/>
      <c r="FK97" s="321"/>
      <c r="FL97" s="321"/>
      <c r="FM97" s="321"/>
      <c r="FN97" s="321"/>
      <c r="FO97" s="321"/>
      <c r="FP97" s="321"/>
      <c r="FQ97" s="321"/>
      <c r="FR97" s="321"/>
      <c r="FS97" s="321"/>
      <c r="FT97" s="321"/>
      <c r="FU97" s="321"/>
      <c r="FV97" s="321"/>
      <c r="FW97" s="321"/>
      <c r="FX97" s="321"/>
      <c r="FY97" s="321"/>
      <c r="FZ97" s="321"/>
      <c r="GA97" s="321"/>
      <c r="GB97" s="321"/>
      <c r="GC97" s="321"/>
      <c r="GD97" s="321"/>
      <c r="GE97" s="321"/>
      <c r="GF97" s="321"/>
      <c r="GG97" s="321"/>
      <c r="GH97" s="321"/>
      <c r="GI97" s="321"/>
      <c r="GJ97" s="321"/>
      <c r="GK97" s="321"/>
      <c r="GL97" s="321"/>
      <c r="GM97" s="321"/>
      <c r="GN97" s="321"/>
      <c r="GO97" s="321"/>
      <c r="GP97" s="321"/>
      <c r="GQ97" s="321"/>
      <c r="GR97" s="321"/>
      <c r="GS97" s="321"/>
      <c r="GT97" s="321"/>
      <c r="GU97" s="321"/>
      <c r="GV97" s="321"/>
      <c r="GW97" s="321"/>
      <c r="GX97" s="321"/>
      <c r="GY97" s="321"/>
      <c r="GZ97" s="321"/>
      <c r="HA97" s="321"/>
      <c r="HB97" s="321"/>
      <c r="HC97" s="321"/>
      <c r="HD97" s="321"/>
      <c r="HE97" s="321"/>
      <c r="HF97" s="321"/>
      <c r="HG97" s="321"/>
      <c r="HH97" s="321"/>
      <c r="HI97" s="321"/>
      <c r="HJ97" s="321"/>
      <c r="HK97" s="321"/>
      <c r="HL97" s="321"/>
      <c r="HM97" s="321"/>
      <c r="HN97" s="321"/>
      <c r="HO97" s="321"/>
      <c r="HP97" s="321"/>
      <c r="HQ97" s="321"/>
      <c r="HR97" s="321"/>
      <c r="HS97" s="321"/>
      <c r="HT97" s="321"/>
      <c r="HU97" s="321"/>
      <c r="HV97" s="321"/>
      <c r="HW97" s="321"/>
      <c r="HX97" s="321"/>
      <c r="HY97" s="321"/>
      <c r="HZ97" s="321"/>
      <c r="IA97" s="321"/>
      <c r="IB97" s="321"/>
      <c r="IC97" s="321"/>
      <c r="ID97" s="321"/>
      <c r="IE97" s="321"/>
      <c r="IF97" s="321"/>
      <c r="IG97" s="321"/>
      <c r="IH97" s="321"/>
      <c r="II97" s="321"/>
      <c r="IJ97" s="321"/>
      <c r="IK97" s="321"/>
      <c r="IL97" s="321"/>
      <c r="IM97" s="321"/>
      <c r="IN97" s="321"/>
      <c r="IO97" s="321"/>
      <c r="IP97" s="321"/>
      <c r="IQ97" s="321"/>
      <c r="IR97" s="321"/>
      <c r="IS97" s="321"/>
      <c r="IT97" s="321"/>
      <c r="IU97" s="321"/>
      <c r="IV97" s="321"/>
    </row>
    <row r="98" spans="1:256" s="546" customFormat="1" ht="19.5" customHeight="1">
      <c r="A98" s="561">
        <v>89</v>
      </c>
      <c r="B98" s="554"/>
      <c r="C98" s="322"/>
      <c r="D98" s="987" t="s">
        <v>1035</v>
      </c>
      <c r="E98" s="330"/>
      <c r="F98" s="550"/>
      <c r="G98" s="331"/>
      <c r="H98" s="762"/>
      <c r="I98" s="758"/>
      <c r="J98" s="547"/>
      <c r="K98" s="1266">
        <v>565</v>
      </c>
      <c r="L98" s="547"/>
      <c r="M98" s="547"/>
      <c r="N98" s="547"/>
      <c r="O98" s="1175">
        <f>SUM(I98:N98)</f>
        <v>565</v>
      </c>
      <c r="P98" s="551"/>
      <c r="Q98" s="321"/>
      <c r="R98" s="321"/>
      <c r="S98" s="321"/>
      <c r="T98" s="321"/>
      <c r="U98" s="321"/>
      <c r="V98" s="321"/>
      <c r="W98" s="321"/>
      <c r="X98" s="321"/>
      <c r="Y98" s="321"/>
      <c r="Z98" s="321"/>
      <c r="AA98" s="321"/>
      <c r="AB98" s="321"/>
      <c r="AC98" s="321"/>
      <c r="AD98" s="321"/>
      <c r="AE98" s="321"/>
      <c r="AF98" s="321"/>
      <c r="AG98" s="321"/>
      <c r="AH98" s="321"/>
      <c r="AI98" s="321"/>
      <c r="AJ98" s="321"/>
      <c r="AK98" s="321"/>
      <c r="AL98" s="321"/>
      <c r="AM98" s="321"/>
      <c r="AN98" s="321"/>
      <c r="AO98" s="321"/>
      <c r="AP98" s="321"/>
      <c r="AQ98" s="321"/>
      <c r="AR98" s="321"/>
      <c r="AS98" s="321"/>
      <c r="AT98" s="321"/>
      <c r="AU98" s="321"/>
      <c r="AV98" s="321"/>
      <c r="AW98" s="321"/>
      <c r="AX98" s="321"/>
      <c r="AY98" s="321"/>
      <c r="AZ98" s="321"/>
      <c r="BA98" s="321"/>
      <c r="BB98" s="321"/>
      <c r="BC98" s="321"/>
      <c r="BD98" s="321"/>
      <c r="BE98" s="321"/>
      <c r="BF98" s="321"/>
      <c r="BG98" s="321"/>
      <c r="BH98" s="321"/>
      <c r="BI98" s="321"/>
      <c r="BJ98" s="321"/>
      <c r="BK98" s="321"/>
      <c r="BL98" s="321"/>
      <c r="BM98" s="321"/>
      <c r="BN98" s="321"/>
      <c r="BO98" s="321"/>
      <c r="BP98" s="321"/>
      <c r="BQ98" s="321"/>
      <c r="BR98" s="321"/>
      <c r="BS98" s="321"/>
      <c r="BT98" s="321"/>
      <c r="BU98" s="321"/>
      <c r="BV98" s="321"/>
      <c r="BW98" s="321"/>
      <c r="BX98" s="321"/>
      <c r="BY98" s="321"/>
      <c r="BZ98" s="321"/>
      <c r="CA98" s="321"/>
      <c r="CB98" s="321"/>
      <c r="CC98" s="321"/>
      <c r="CD98" s="321"/>
      <c r="CE98" s="321"/>
      <c r="CF98" s="321"/>
      <c r="CG98" s="321"/>
      <c r="CH98" s="321"/>
      <c r="CI98" s="321"/>
      <c r="CJ98" s="321"/>
      <c r="CK98" s="321"/>
      <c r="CL98" s="321"/>
      <c r="CM98" s="321"/>
      <c r="CN98" s="321"/>
      <c r="CO98" s="321"/>
      <c r="CP98" s="321"/>
      <c r="CQ98" s="321"/>
      <c r="CR98" s="321"/>
      <c r="CS98" s="321"/>
      <c r="CT98" s="321"/>
      <c r="CU98" s="321"/>
      <c r="CV98" s="321"/>
      <c r="CW98" s="321"/>
      <c r="CX98" s="321"/>
      <c r="CY98" s="321"/>
      <c r="CZ98" s="321"/>
      <c r="DA98" s="321"/>
      <c r="DB98" s="321"/>
      <c r="DC98" s="321"/>
      <c r="DD98" s="321"/>
      <c r="DE98" s="321"/>
      <c r="DF98" s="321"/>
      <c r="DG98" s="321"/>
      <c r="DH98" s="321"/>
      <c r="DI98" s="321"/>
      <c r="DJ98" s="321"/>
      <c r="DK98" s="321"/>
      <c r="DL98" s="321"/>
      <c r="DM98" s="321"/>
      <c r="DN98" s="321"/>
      <c r="DO98" s="321"/>
      <c r="DP98" s="321"/>
      <c r="DQ98" s="321"/>
      <c r="DR98" s="321"/>
      <c r="DS98" s="321"/>
      <c r="DT98" s="321"/>
      <c r="DU98" s="321"/>
      <c r="DV98" s="321"/>
      <c r="DW98" s="321"/>
      <c r="DX98" s="321"/>
      <c r="DY98" s="321"/>
      <c r="DZ98" s="321"/>
      <c r="EA98" s="321"/>
      <c r="EB98" s="321"/>
      <c r="EC98" s="321"/>
      <c r="ED98" s="321"/>
      <c r="EE98" s="321"/>
      <c r="EF98" s="321"/>
      <c r="EG98" s="321"/>
      <c r="EH98" s="321"/>
      <c r="EI98" s="321"/>
      <c r="EJ98" s="321"/>
      <c r="EK98" s="321"/>
      <c r="EL98" s="321"/>
      <c r="EM98" s="321"/>
      <c r="EN98" s="321"/>
      <c r="EO98" s="321"/>
      <c r="EP98" s="321"/>
      <c r="EQ98" s="321"/>
      <c r="ER98" s="321"/>
      <c r="ES98" s="321"/>
      <c r="ET98" s="321"/>
      <c r="EU98" s="321"/>
      <c r="EV98" s="321"/>
      <c r="EW98" s="321"/>
      <c r="EX98" s="321"/>
      <c r="EY98" s="321"/>
      <c r="EZ98" s="321"/>
      <c r="FA98" s="321"/>
      <c r="FB98" s="321"/>
      <c r="FC98" s="321"/>
      <c r="FD98" s="321"/>
      <c r="FE98" s="321"/>
      <c r="FF98" s="321"/>
      <c r="FG98" s="321"/>
      <c r="FH98" s="321"/>
      <c r="FI98" s="321"/>
      <c r="FJ98" s="321"/>
      <c r="FK98" s="321"/>
      <c r="FL98" s="321"/>
      <c r="FM98" s="321"/>
      <c r="FN98" s="321"/>
      <c r="FO98" s="321"/>
      <c r="FP98" s="321"/>
      <c r="FQ98" s="321"/>
      <c r="FR98" s="321"/>
      <c r="FS98" s="321"/>
      <c r="FT98" s="321"/>
      <c r="FU98" s="321"/>
      <c r="FV98" s="321"/>
      <c r="FW98" s="321"/>
      <c r="FX98" s="321"/>
      <c r="FY98" s="321"/>
      <c r="FZ98" s="321"/>
      <c r="GA98" s="321"/>
      <c r="GB98" s="321"/>
      <c r="GC98" s="321"/>
      <c r="GD98" s="321"/>
      <c r="GE98" s="321"/>
      <c r="GF98" s="321"/>
      <c r="GG98" s="321"/>
      <c r="GH98" s="321"/>
      <c r="GI98" s="321"/>
      <c r="GJ98" s="321"/>
      <c r="GK98" s="321"/>
      <c r="GL98" s="321"/>
      <c r="GM98" s="321"/>
      <c r="GN98" s="321"/>
      <c r="GO98" s="321"/>
      <c r="GP98" s="321"/>
      <c r="GQ98" s="321"/>
      <c r="GR98" s="321"/>
      <c r="GS98" s="321"/>
      <c r="GT98" s="321"/>
      <c r="GU98" s="321"/>
      <c r="GV98" s="321"/>
      <c r="GW98" s="321"/>
      <c r="GX98" s="321"/>
      <c r="GY98" s="321"/>
      <c r="GZ98" s="321"/>
      <c r="HA98" s="321"/>
      <c r="HB98" s="321"/>
      <c r="HC98" s="321"/>
      <c r="HD98" s="321"/>
      <c r="HE98" s="321"/>
      <c r="HF98" s="321"/>
      <c r="HG98" s="321"/>
      <c r="HH98" s="321"/>
      <c r="HI98" s="321"/>
      <c r="HJ98" s="321"/>
      <c r="HK98" s="321"/>
      <c r="HL98" s="321"/>
      <c r="HM98" s="321"/>
      <c r="HN98" s="321"/>
      <c r="HO98" s="321"/>
      <c r="HP98" s="321"/>
      <c r="HQ98" s="321"/>
      <c r="HR98" s="321"/>
      <c r="HS98" s="321"/>
      <c r="HT98" s="321"/>
      <c r="HU98" s="321"/>
      <c r="HV98" s="321"/>
      <c r="HW98" s="321"/>
      <c r="HX98" s="321"/>
      <c r="HY98" s="321"/>
      <c r="HZ98" s="321"/>
      <c r="IA98" s="321"/>
      <c r="IB98" s="321"/>
      <c r="IC98" s="321"/>
      <c r="ID98" s="321"/>
      <c r="IE98" s="321"/>
      <c r="IF98" s="321"/>
      <c r="IG98" s="321"/>
      <c r="IH98" s="321"/>
      <c r="II98" s="321"/>
      <c r="IJ98" s="321"/>
      <c r="IK98" s="321"/>
      <c r="IL98" s="321"/>
      <c r="IM98" s="321"/>
      <c r="IN98" s="321"/>
      <c r="IO98" s="321"/>
      <c r="IP98" s="321"/>
      <c r="IQ98" s="321"/>
      <c r="IR98" s="321"/>
      <c r="IS98" s="321"/>
      <c r="IT98" s="321"/>
      <c r="IU98" s="321"/>
      <c r="IV98" s="321"/>
    </row>
    <row r="99" spans="1:16" ht="45.75" customHeight="1">
      <c r="A99" s="561">
        <v>90</v>
      </c>
      <c r="B99" s="455"/>
      <c r="C99" s="322">
        <v>23</v>
      </c>
      <c r="D99" s="324" t="s">
        <v>610</v>
      </c>
      <c r="E99" s="330"/>
      <c r="F99" s="550"/>
      <c r="G99" s="331"/>
      <c r="H99" s="762" t="s">
        <v>24</v>
      </c>
      <c r="I99" s="777"/>
      <c r="J99" s="773"/>
      <c r="K99" s="773"/>
      <c r="L99" s="773"/>
      <c r="M99" s="773"/>
      <c r="N99" s="773"/>
      <c r="O99" s="745"/>
      <c r="P99" s="551"/>
    </row>
    <row r="100" spans="1:256" s="546" customFormat="1" ht="18" customHeight="1">
      <c r="A100" s="561">
        <v>91</v>
      </c>
      <c r="B100" s="554"/>
      <c r="C100" s="361"/>
      <c r="D100" s="755" t="s">
        <v>303</v>
      </c>
      <c r="E100" s="330">
        <f>F100+G100+O101+P100</f>
        <v>267126</v>
      </c>
      <c r="F100" s="550">
        <v>4379</v>
      </c>
      <c r="G100" s="331">
        <f>7747+5080</f>
        <v>12827</v>
      </c>
      <c r="H100" s="762"/>
      <c r="I100" s="777"/>
      <c r="J100" s="773"/>
      <c r="K100" s="773">
        <v>3667</v>
      </c>
      <c r="L100" s="773"/>
      <c r="M100" s="773">
        <v>246253</v>
      </c>
      <c r="N100" s="773"/>
      <c r="O100" s="745">
        <f>SUM(I100:N100)</f>
        <v>249920</v>
      </c>
      <c r="P100" s="551"/>
      <c r="Q100" s="321"/>
      <c r="R100" s="321"/>
      <c r="S100" s="321"/>
      <c r="T100" s="321"/>
      <c r="U100" s="321"/>
      <c r="V100" s="321"/>
      <c r="W100" s="321"/>
      <c r="X100" s="321"/>
      <c r="Y100" s="321"/>
      <c r="Z100" s="321"/>
      <c r="AA100" s="321"/>
      <c r="AB100" s="321"/>
      <c r="AC100" s="321"/>
      <c r="AD100" s="321"/>
      <c r="AE100" s="321"/>
      <c r="AF100" s="321"/>
      <c r="AG100" s="321"/>
      <c r="AH100" s="321"/>
      <c r="AI100" s="321"/>
      <c r="AJ100" s="321"/>
      <c r="AK100" s="321"/>
      <c r="AL100" s="321"/>
      <c r="AM100" s="321"/>
      <c r="AN100" s="321"/>
      <c r="AO100" s="321"/>
      <c r="AP100" s="321"/>
      <c r="AQ100" s="321"/>
      <c r="AR100" s="321"/>
      <c r="AS100" s="321"/>
      <c r="AT100" s="321"/>
      <c r="AU100" s="321"/>
      <c r="AV100" s="321"/>
      <c r="AW100" s="321"/>
      <c r="AX100" s="321"/>
      <c r="AY100" s="321"/>
      <c r="AZ100" s="321"/>
      <c r="BA100" s="321"/>
      <c r="BB100" s="321"/>
      <c r="BC100" s="321"/>
      <c r="BD100" s="321"/>
      <c r="BE100" s="321"/>
      <c r="BF100" s="321"/>
      <c r="BG100" s="321"/>
      <c r="BH100" s="321"/>
      <c r="BI100" s="321"/>
      <c r="BJ100" s="321"/>
      <c r="BK100" s="321"/>
      <c r="BL100" s="321"/>
      <c r="BM100" s="321"/>
      <c r="BN100" s="321"/>
      <c r="BO100" s="321"/>
      <c r="BP100" s="321"/>
      <c r="BQ100" s="321"/>
      <c r="BR100" s="321"/>
      <c r="BS100" s="321"/>
      <c r="BT100" s="321"/>
      <c r="BU100" s="321"/>
      <c r="BV100" s="321"/>
      <c r="BW100" s="321"/>
      <c r="BX100" s="321"/>
      <c r="BY100" s="321"/>
      <c r="BZ100" s="321"/>
      <c r="CA100" s="321"/>
      <c r="CB100" s="321"/>
      <c r="CC100" s="321"/>
      <c r="CD100" s="321"/>
      <c r="CE100" s="321"/>
      <c r="CF100" s="321"/>
      <c r="CG100" s="321"/>
      <c r="CH100" s="321"/>
      <c r="CI100" s="321"/>
      <c r="CJ100" s="321"/>
      <c r="CK100" s="321"/>
      <c r="CL100" s="321"/>
      <c r="CM100" s="321"/>
      <c r="CN100" s="321"/>
      <c r="CO100" s="321"/>
      <c r="CP100" s="321"/>
      <c r="CQ100" s="321"/>
      <c r="CR100" s="321"/>
      <c r="CS100" s="321"/>
      <c r="CT100" s="321"/>
      <c r="CU100" s="321"/>
      <c r="CV100" s="321"/>
      <c r="CW100" s="321"/>
      <c r="CX100" s="321"/>
      <c r="CY100" s="321"/>
      <c r="CZ100" s="321"/>
      <c r="DA100" s="321"/>
      <c r="DB100" s="321"/>
      <c r="DC100" s="321"/>
      <c r="DD100" s="321"/>
      <c r="DE100" s="321"/>
      <c r="DF100" s="321"/>
      <c r="DG100" s="321"/>
      <c r="DH100" s="321"/>
      <c r="DI100" s="321"/>
      <c r="DJ100" s="321"/>
      <c r="DK100" s="321"/>
      <c r="DL100" s="321"/>
      <c r="DM100" s="321"/>
      <c r="DN100" s="321"/>
      <c r="DO100" s="321"/>
      <c r="DP100" s="321"/>
      <c r="DQ100" s="321"/>
      <c r="DR100" s="321"/>
      <c r="DS100" s="321"/>
      <c r="DT100" s="321"/>
      <c r="DU100" s="321"/>
      <c r="DV100" s="321"/>
      <c r="DW100" s="321"/>
      <c r="DX100" s="321"/>
      <c r="DY100" s="321"/>
      <c r="DZ100" s="321"/>
      <c r="EA100" s="321"/>
      <c r="EB100" s="321"/>
      <c r="EC100" s="321"/>
      <c r="ED100" s="321"/>
      <c r="EE100" s="321"/>
      <c r="EF100" s="321"/>
      <c r="EG100" s="321"/>
      <c r="EH100" s="321"/>
      <c r="EI100" s="321"/>
      <c r="EJ100" s="321"/>
      <c r="EK100" s="321"/>
      <c r="EL100" s="321"/>
      <c r="EM100" s="321"/>
      <c r="EN100" s="321"/>
      <c r="EO100" s="321"/>
      <c r="EP100" s="321"/>
      <c r="EQ100" s="321"/>
      <c r="ER100" s="321"/>
      <c r="ES100" s="321"/>
      <c r="ET100" s="321"/>
      <c r="EU100" s="321"/>
      <c r="EV100" s="321"/>
      <c r="EW100" s="321"/>
      <c r="EX100" s="321"/>
      <c r="EY100" s="321"/>
      <c r="EZ100" s="321"/>
      <c r="FA100" s="321"/>
      <c r="FB100" s="321"/>
      <c r="FC100" s="321"/>
      <c r="FD100" s="321"/>
      <c r="FE100" s="321"/>
      <c r="FF100" s="321"/>
      <c r="FG100" s="321"/>
      <c r="FH100" s="321"/>
      <c r="FI100" s="321"/>
      <c r="FJ100" s="321"/>
      <c r="FK100" s="321"/>
      <c r="FL100" s="321"/>
      <c r="FM100" s="321"/>
      <c r="FN100" s="321"/>
      <c r="FO100" s="321"/>
      <c r="FP100" s="321"/>
      <c r="FQ100" s="321"/>
      <c r="FR100" s="321"/>
      <c r="FS100" s="321"/>
      <c r="FT100" s="321"/>
      <c r="FU100" s="321"/>
      <c r="FV100" s="321"/>
      <c r="FW100" s="321"/>
      <c r="FX100" s="321"/>
      <c r="FY100" s="321"/>
      <c r="FZ100" s="321"/>
      <c r="GA100" s="321"/>
      <c r="GB100" s="321"/>
      <c r="GC100" s="321"/>
      <c r="GD100" s="321"/>
      <c r="GE100" s="321"/>
      <c r="GF100" s="321"/>
      <c r="GG100" s="321"/>
      <c r="GH100" s="321"/>
      <c r="GI100" s="321"/>
      <c r="GJ100" s="321"/>
      <c r="GK100" s="321"/>
      <c r="GL100" s="321"/>
      <c r="GM100" s="321"/>
      <c r="GN100" s="321"/>
      <c r="GO100" s="321"/>
      <c r="GP100" s="321"/>
      <c r="GQ100" s="321"/>
      <c r="GR100" s="321"/>
      <c r="GS100" s="321"/>
      <c r="GT100" s="321"/>
      <c r="GU100" s="321"/>
      <c r="GV100" s="321"/>
      <c r="GW100" s="321"/>
      <c r="GX100" s="321"/>
      <c r="GY100" s="321"/>
      <c r="GZ100" s="321"/>
      <c r="HA100" s="321"/>
      <c r="HB100" s="321"/>
      <c r="HC100" s="321"/>
      <c r="HD100" s="321"/>
      <c r="HE100" s="321"/>
      <c r="HF100" s="321"/>
      <c r="HG100" s="321"/>
      <c r="HH100" s="321"/>
      <c r="HI100" s="321"/>
      <c r="HJ100" s="321"/>
      <c r="HK100" s="321"/>
      <c r="HL100" s="321"/>
      <c r="HM100" s="321"/>
      <c r="HN100" s="321"/>
      <c r="HO100" s="321"/>
      <c r="HP100" s="321"/>
      <c r="HQ100" s="321"/>
      <c r="HR100" s="321"/>
      <c r="HS100" s="321"/>
      <c r="HT100" s="321"/>
      <c r="HU100" s="321"/>
      <c r="HV100" s="321"/>
      <c r="HW100" s="321"/>
      <c r="HX100" s="321"/>
      <c r="HY100" s="321"/>
      <c r="HZ100" s="321"/>
      <c r="IA100" s="321"/>
      <c r="IB100" s="321"/>
      <c r="IC100" s="321"/>
      <c r="ID100" s="321"/>
      <c r="IE100" s="321"/>
      <c r="IF100" s="321"/>
      <c r="IG100" s="321"/>
      <c r="IH100" s="321"/>
      <c r="II100" s="321"/>
      <c r="IJ100" s="321"/>
      <c r="IK100" s="321"/>
      <c r="IL100" s="321"/>
      <c r="IM100" s="321"/>
      <c r="IN100" s="321"/>
      <c r="IO100" s="321"/>
      <c r="IP100" s="321"/>
      <c r="IQ100" s="321"/>
      <c r="IR100" s="321"/>
      <c r="IS100" s="321"/>
      <c r="IT100" s="321"/>
      <c r="IU100" s="321"/>
      <c r="IV100" s="321"/>
    </row>
    <row r="101" spans="1:256" s="546" customFormat="1" ht="18" customHeight="1">
      <c r="A101" s="561">
        <v>92</v>
      </c>
      <c r="B101" s="554"/>
      <c r="C101" s="361"/>
      <c r="D101" s="436" t="s">
        <v>994</v>
      </c>
      <c r="E101" s="330"/>
      <c r="F101" s="550"/>
      <c r="G101" s="331"/>
      <c r="H101" s="762"/>
      <c r="I101" s="777"/>
      <c r="J101" s="773"/>
      <c r="K101" s="547">
        <v>3667</v>
      </c>
      <c r="L101" s="547"/>
      <c r="M101" s="547">
        <v>246253</v>
      </c>
      <c r="N101" s="773"/>
      <c r="O101" s="555">
        <f>SUM(I101:N101)</f>
        <v>249920</v>
      </c>
      <c r="P101" s="551"/>
      <c r="Q101" s="321"/>
      <c r="R101" s="321"/>
      <c r="S101" s="321"/>
      <c r="T101" s="321"/>
      <c r="U101" s="321"/>
      <c r="V101" s="321"/>
      <c r="W101" s="321"/>
      <c r="X101" s="321"/>
      <c r="Y101" s="321"/>
      <c r="Z101" s="321"/>
      <c r="AA101" s="321"/>
      <c r="AB101" s="321"/>
      <c r="AC101" s="321"/>
      <c r="AD101" s="321"/>
      <c r="AE101" s="321"/>
      <c r="AF101" s="321"/>
      <c r="AG101" s="321"/>
      <c r="AH101" s="321"/>
      <c r="AI101" s="321"/>
      <c r="AJ101" s="321"/>
      <c r="AK101" s="321"/>
      <c r="AL101" s="321"/>
      <c r="AM101" s="321"/>
      <c r="AN101" s="321"/>
      <c r="AO101" s="321"/>
      <c r="AP101" s="321"/>
      <c r="AQ101" s="321"/>
      <c r="AR101" s="321"/>
      <c r="AS101" s="321"/>
      <c r="AT101" s="321"/>
      <c r="AU101" s="321"/>
      <c r="AV101" s="321"/>
      <c r="AW101" s="321"/>
      <c r="AX101" s="321"/>
      <c r="AY101" s="321"/>
      <c r="AZ101" s="321"/>
      <c r="BA101" s="321"/>
      <c r="BB101" s="321"/>
      <c r="BC101" s="321"/>
      <c r="BD101" s="321"/>
      <c r="BE101" s="321"/>
      <c r="BF101" s="321"/>
      <c r="BG101" s="321"/>
      <c r="BH101" s="321"/>
      <c r="BI101" s="321"/>
      <c r="BJ101" s="321"/>
      <c r="BK101" s="321"/>
      <c r="BL101" s="321"/>
      <c r="BM101" s="321"/>
      <c r="BN101" s="321"/>
      <c r="BO101" s="321"/>
      <c r="BP101" s="321"/>
      <c r="BQ101" s="321"/>
      <c r="BR101" s="321"/>
      <c r="BS101" s="321"/>
      <c r="BT101" s="321"/>
      <c r="BU101" s="321"/>
      <c r="BV101" s="321"/>
      <c r="BW101" s="321"/>
      <c r="BX101" s="321"/>
      <c r="BY101" s="321"/>
      <c r="BZ101" s="321"/>
      <c r="CA101" s="321"/>
      <c r="CB101" s="321"/>
      <c r="CC101" s="321"/>
      <c r="CD101" s="321"/>
      <c r="CE101" s="321"/>
      <c r="CF101" s="321"/>
      <c r="CG101" s="321"/>
      <c r="CH101" s="321"/>
      <c r="CI101" s="321"/>
      <c r="CJ101" s="321"/>
      <c r="CK101" s="321"/>
      <c r="CL101" s="321"/>
      <c r="CM101" s="321"/>
      <c r="CN101" s="321"/>
      <c r="CO101" s="321"/>
      <c r="CP101" s="321"/>
      <c r="CQ101" s="321"/>
      <c r="CR101" s="321"/>
      <c r="CS101" s="321"/>
      <c r="CT101" s="321"/>
      <c r="CU101" s="321"/>
      <c r="CV101" s="321"/>
      <c r="CW101" s="321"/>
      <c r="CX101" s="321"/>
      <c r="CY101" s="321"/>
      <c r="CZ101" s="321"/>
      <c r="DA101" s="321"/>
      <c r="DB101" s="321"/>
      <c r="DC101" s="321"/>
      <c r="DD101" s="321"/>
      <c r="DE101" s="321"/>
      <c r="DF101" s="321"/>
      <c r="DG101" s="321"/>
      <c r="DH101" s="321"/>
      <c r="DI101" s="321"/>
      <c r="DJ101" s="321"/>
      <c r="DK101" s="321"/>
      <c r="DL101" s="321"/>
      <c r="DM101" s="321"/>
      <c r="DN101" s="321"/>
      <c r="DO101" s="321"/>
      <c r="DP101" s="321"/>
      <c r="DQ101" s="321"/>
      <c r="DR101" s="321"/>
      <c r="DS101" s="321"/>
      <c r="DT101" s="321"/>
      <c r="DU101" s="321"/>
      <c r="DV101" s="321"/>
      <c r="DW101" s="321"/>
      <c r="DX101" s="321"/>
      <c r="DY101" s="321"/>
      <c r="DZ101" s="321"/>
      <c r="EA101" s="321"/>
      <c r="EB101" s="321"/>
      <c r="EC101" s="321"/>
      <c r="ED101" s="321"/>
      <c r="EE101" s="321"/>
      <c r="EF101" s="321"/>
      <c r="EG101" s="321"/>
      <c r="EH101" s="321"/>
      <c r="EI101" s="321"/>
      <c r="EJ101" s="321"/>
      <c r="EK101" s="321"/>
      <c r="EL101" s="321"/>
      <c r="EM101" s="321"/>
      <c r="EN101" s="321"/>
      <c r="EO101" s="321"/>
      <c r="EP101" s="321"/>
      <c r="EQ101" s="321"/>
      <c r="ER101" s="321"/>
      <c r="ES101" s="321"/>
      <c r="ET101" s="321"/>
      <c r="EU101" s="321"/>
      <c r="EV101" s="321"/>
      <c r="EW101" s="321"/>
      <c r="EX101" s="321"/>
      <c r="EY101" s="321"/>
      <c r="EZ101" s="321"/>
      <c r="FA101" s="321"/>
      <c r="FB101" s="321"/>
      <c r="FC101" s="321"/>
      <c r="FD101" s="321"/>
      <c r="FE101" s="321"/>
      <c r="FF101" s="321"/>
      <c r="FG101" s="321"/>
      <c r="FH101" s="321"/>
      <c r="FI101" s="321"/>
      <c r="FJ101" s="321"/>
      <c r="FK101" s="321"/>
      <c r="FL101" s="321"/>
      <c r="FM101" s="321"/>
      <c r="FN101" s="321"/>
      <c r="FO101" s="321"/>
      <c r="FP101" s="321"/>
      <c r="FQ101" s="321"/>
      <c r="FR101" s="321"/>
      <c r="FS101" s="321"/>
      <c r="FT101" s="321"/>
      <c r="FU101" s="321"/>
      <c r="FV101" s="321"/>
      <c r="FW101" s="321"/>
      <c r="FX101" s="321"/>
      <c r="FY101" s="321"/>
      <c r="FZ101" s="321"/>
      <c r="GA101" s="321"/>
      <c r="GB101" s="321"/>
      <c r="GC101" s="321"/>
      <c r="GD101" s="321"/>
      <c r="GE101" s="321"/>
      <c r="GF101" s="321"/>
      <c r="GG101" s="321"/>
      <c r="GH101" s="321"/>
      <c r="GI101" s="321"/>
      <c r="GJ101" s="321"/>
      <c r="GK101" s="321"/>
      <c r="GL101" s="321"/>
      <c r="GM101" s="321"/>
      <c r="GN101" s="321"/>
      <c r="GO101" s="321"/>
      <c r="GP101" s="321"/>
      <c r="GQ101" s="321"/>
      <c r="GR101" s="321"/>
      <c r="GS101" s="321"/>
      <c r="GT101" s="321"/>
      <c r="GU101" s="321"/>
      <c r="GV101" s="321"/>
      <c r="GW101" s="321"/>
      <c r="GX101" s="321"/>
      <c r="GY101" s="321"/>
      <c r="GZ101" s="321"/>
      <c r="HA101" s="321"/>
      <c r="HB101" s="321"/>
      <c r="HC101" s="321"/>
      <c r="HD101" s="321"/>
      <c r="HE101" s="321"/>
      <c r="HF101" s="321"/>
      <c r="HG101" s="321"/>
      <c r="HH101" s="321"/>
      <c r="HI101" s="321"/>
      <c r="HJ101" s="321"/>
      <c r="HK101" s="321"/>
      <c r="HL101" s="321"/>
      <c r="HM101" s="321"/>
      <c r="HN101" s="321"/>
      <c r="HO101" s="321"/>
      <c r="HP101" s="321"/>
      <c r="HQ101" s="321"/>
      <c r="HR101" s="321"/>
      <c r="HS101" s="321"/>
      <c r="HT101" s="321"/>
      <c r="HU101" s="321"/>
      <c r="HV101" s="321"/>
      <c r="HW101" s="321"/>
      <c r="HX101" s="321"/>
      <c r="HY101" s="321"/>
      <c r="HZ101" s="321"/>
      <c r="IA101" s="321"/>
      <c r="IB101" s="321"/>
      <c r="IC101" s="321"/>
      <c r="ID101" s="321"/>
      <c r="IE101" s="321"/>
      <c r="IF101" s="321"/>
      <c r="IG101" s="321"/>
      <c r="IH101" s="321"/>
      <c r="II101" s="321"/>
      <c r="IJ101" s="321"/>
      <c r="IK101" s="321"/>
      <c r="IL101" s="321"/>
      <c r="IM101" s="321"/>
      <c r="IN101" s="321"/>
      <c r="IO101" s="321"/>
      <c r="IP101" s="321"/>
      <c r="IQ101" s="321"/>
      <c r="IR101" s="321"/>
      <c r="IS101" s="321"/>
      <c r="IT101" s="321"/>
      <c r="IU101" s="321"/>
      <c r="IV101" s="321"/>
    </row>
    <row r="102" spans="1:256" s="546" customFormat="1" ht="18" customHeight="1">
      <c r="A102" s="561">
        <v>93</v>
      </c>
      <c r="B102" s="554"/>
      <c r="C102" s="361"/>
      <c r="D102" s="987" t="s">
        <v>1036</v>
      </c>
      <c r="E102" s="330"/>
      <c r="F102" s="550"/>
      <c r="G102" s="331"/>
      <c r="H102" s="762"/>
      <c r="I102" s="758"/>
      <c r="J102" s="547"/>
      <c r="K102" s="1266">
        <v>0</v>
      </c>
      <c r="L102" s="1266"/>
      <c r="M102" s="1266">
        <v>0</v>
      </c>
      <c r="N102" s="547"/>
      <c r="O102" s="1175">
        <f>SUM(I102:N102)</f>
        <v>0</v>
      </c>
      <c r="P102" s="551"/>
      <c r="Q102" s="321"/>
      <c r="R102" s="321"/>
      <c r="S102" s="321"/>
      <c r="T102" s="321"/>
      <c r="U102" s="321"/>
      <c r="V102" s="321"/>
      <c r="W102" s="321"/>
      <c r="X102" s="321"/>
      <c r="Y102" s="321"/>
      <c r="Z102" s="321"/>
      <c r="AA102" s="321"/>
      <c r="AB102" s="321"/>
      <c r="AC102" s="321"/>
      <c r="AD102" s="321"/>
      <c r="AE102" s="321"/>
      <c r="AF102" s="321"/>
      <c r="AG102" s="321"/>
      <c r="AH102" s="321"/>
      <c r="AI102" s="321"/>
      <c r="AJ102" s="321"/>
      <c r="AK102" s="321"/>
      <c r="AL102" s="321"/>
      <c r="AM102" s="321"/>
      <c r="AN102" s="321"/>
      <c r="AO102" s="321"/>
      <c r="AP102" s="321"/>
      <c r="AQ102" s="321"/>
      <c r="AR102" s="321"/>
      <c r="AS102" s="321"/>
      <c r="AT102" s="321"/>
      <c r="AU102" s="321"/>
      <c r="AV102" s="321"/>
      <c r="AW102" s="321"/>
      <c r="AX102" s="321"/>
      <c r="AY102" s="321"/>
      <c r="AZ102" s="321"/>
      <c r="BA102" s="321"/>
      <c r="BB102" s="321"/>
      <c r="BC102" s="321"/>
      <c r="BD102" s="321"/>
      <c r="BE102" s="321"/>
      <c r="BF102" s="321"/>
      <c r="BG102" s="321"/>
      <c r="BH102" s="321"/>
      <c r="BI102" s="321"/>
      <c r="BJ102" s="321"/>
      <c r="BK102" s="321"/>
      <c r="BL102" s="321"/>
      <c r="BM102" s="321"/>
      <c r="BN102" s="321"/>
      <c r="BO102" s="321"/>
      <c r="BP102" s="321"/>
      <c r="BQ102" s="321"/>
      <c r="BR102" s="321"/>
      <c r="BS102" s="321"/>
      <c r="BT102" s="321"/>
      <c r="BU102" s="321"/>
      <c r="BV102" s="321"/>
      <c r="BW102" s="321"/>
      <c r="BX102" s="321"/>
      <c r="BY102" s="321"/>
      <c r="BZ102" s="321"/>
      <c r="CA102" s="321"/>
      <c r="CB102" s="321"/>
      <c r="CC102" s="321"/>
      <c r="CD102" s="321"/>
      <c r="CE102" s="321"/>
      <c r="CF102" s="321"/>
      <c r="CG102" s="321"/>
      <c r="CH102" s="321"/>
      <c r="CI102" s="321"/>
      <c r="CJ102" s="321"/>
      <c r="CK102" s="321"/>
      <c r="CL102" s="321"/>
      <c r="CM102" s="321"/>
      <c r="CN102" s="321"/>
      <c r="CO102" s="321"/>
      <c r="CP102" s="321"/>
      <c r="CQ102" s="321"/>
      <c r="CR102" s="321"/>
      <c r="CS102" s="321"/>
      <c r="CT102" s="321"/>
      <c r="CU102" s="321"/>
      <c r="CV102" s="321"/>
      <c r="CW102" s="321"/>
      <c r="CX102" s="321"/>
      <c r="CY102" s="321"/>
      <c r="CZ102" s="321"/>
      <c r="DA102" s="321"/>
      <c r="DB102" s="321"/>
      <c r="DC102" s="321"/>
      <c r="DD102" s="321"/>
      <c r="DE102" s="321"/>
      <c r="DF102" s="321"/>
      <c r="DG102" s="321"/>
      <c r="DH102" s="321"/>
      <c r="DI102" s="321"/>
      <c r="DJ102" s="321"/>
      <c r="DK102" s="321"/>
      <c r="DL102" s="321"/>
      <c r="DM102" s="321"/>
      <c r="DN102" s="321"/>
      <c r="DO102" s="321"/>
      <c r="DP102" s="321"/>
      <c r="DQ102" s="321"/>
      <c r="DR102" s="321"/>
      <c r="DS102" s="321"/>
      <c r="DT102" s="321"/>
      <c r="DU102" s="321"/>
      <c r="DV102" s="321"/>
      <c r="DW102" s="321"/>
      <c r="DX102" s="321"/>
      <c r="DY102" s="321"/>
      <c r="DZ102" s="321"/>
      <c r="EA102" s="321"/>
      <c r="EB102" s="321"/>
      <c r="EC102" s="321"/>
      <c r="ED102" s="321"/>
      <c r="EE102" s="321"/>
      <c r="EF102" s="321"/>
      <c r="EG102" s="321"/>
      <c r="EH102" s="321"/>
      <c r="EI102" s="321"/>
      <c r="EJ102" s="321"/>
      <c r="EK102" s="321"/>
      <c r="EL102" s="321"/>
      <c r="EM102" s="321"/>
      <c r="EN102" s="321"/>
      <c r="EO102" s="321"/>
      <c r="EP102" s="321"/>
      <c r="EQ102" s="321"/>
      <c r="ER102" s="321"/>
      <c r="ES102" s="321"/>
      <c r="ET102" s="321"/>
      <c r="EU102" s="321"/>
      <c r="EV102" s="321"/>
      <c r="EW102" s="321"/>
      <c r="EX102" s="321"/>
      <c r="EY102" s="321"/>
      <c r="EZ102" s="321"/>
      <c r="FA102" s="321"/>
      <c r="FB102" s="321"/>
      <c r="FC102" s="321"/>
      <c r="FD102" s="321"/>
      <c r="FE102" s="321"/>
      <c r="FF102" s="321"/>
      <c r="FG102" s="321"/>
      <c r="FH102" s="321"/>
      <c r="FI102" s="321"/>
      <c r="FJ102" s="321"/>
      <c r="FK102" s="321"/>
      <c r="FL102" s="321"/>
      <c r="FM102" s="321"/>
      <c r="FN102" s="321"/>
      <c r="FO102" s="321"/>
      <c r="FP102" s="321"/>
      <c r="FQ102" s="321"/>
      <c r="FR102" s="321"/>
      <c r="FS102" s="321"/>
      <c r="FT102" s="321"/>
      <c r="FU102" s="321"/>
      <c r="FV102" s="321"/>
      <c r="FW102" s="321"/>
      <c r="FX102" s="321"/>
      <c r="FY102" s="321"/>
      <c r="FZ102" s="321"/>
      <c r="GA102" s="321"/>
      <c r="GB102" s="321"/>
      <c r="GC102" s="321"/>
      <c r="GD102" s="321"/>
      <c r="GE102" s="321"/>
      <c r="GF102" s="321"/>
      <c r="GG102" s="321"/>
      <c r="GH102" s="321"/>
      <c r="GI102" s="321"/>
      <c r="GJ102" s="321"/>
      <c r="GK102" s="321"/>
      <c r="GL102" s="321"/>
      <c r="GM102" s="321"/>
      <c r="GN102" s="321"/>
      <c r="GO102" s="321"/>
      <c r="GP102" s="321"/>
      <c r="GQ102" s="321"/>
      <c r="GR102" s="321"/>
      <c r="GS102" s="321"/>
      <c r="GT102" s="321"/>
      <c r="GU102" s="321"/>
      <c r="GV102" s="321"/>
      <c r="GW102" s="321"/>
      <c r="GX102" s="321"/>
      <c r="GY102" s="321"/>
      <c r="GZ102" s="321"/>
      <c r="HA102" s="321"/>
      <c r="HB102" s="321"/>
      <c r="HC102" s="321"/>
      <c r="HD102" s="321"/>
      <c r="HE102" s="321"/>
      <c r="HF102" s="321"/>
      <c r="HG102" s="321"/>
      <c r="HH102" s="321"/>
      <c r="HI102" s="321"/>
      <c r="HJ102" s="321"/>
      <c r="HK102" s="321"/>
      <c r="HL102" s="321"/>
      <c r="HM102" s="321"/>
      <c r="HN102" s="321"/>
      <c r="HO102" s="321"/>
      <c r="HP102" s="321"/>
      <c r="HQ102" s="321"/>
      <c r="HR102" s="321"/>
      <c r="HS102" s="321"/>
      <c r="HT102" s="321"/>
      <c r="HU102" s="321"/>
      <c r="HV102" s="321"/>
      <c r="HW102" s="321"/>
      <c r="HX102" s="321"/>
      <c r="HY102" s="321"/>
      <c r="HZ102" s="321"/>
      <c r="IA102" s="321"/>
      <c r="IB102" s="321"/>
      <c r="IC102" s="321"/>
      <c r="ID102" s="321"/>
      <c r="IE102" s="321"/>
      <c r="IF102" s="321"/>
      <c r="IG102" s="321"/>
      <c r="IH102" s="321"/>
      <c r="II102" s="321"/>
      <c r="IJ102" s="321"/>
      <c r="IK102" s="321"/>
      <c r="IL102" s="321"/>
      <c r="IM102" s="321"/>
      <c r="IN102" s="321"/>
      <c r="IO102" s="321"/>
      <c r="IP102" s="321"/>
      <c r="IQ102" s="321"/>
      <c r="IR102" s="321"/>
      <c r="IS102" s="321"/>
      <c r="IT102" s="321"/>
      <c r="IU102" s="321"/>
      <c r="IV102" s="321"/>
    </row>
    <row r="103" spans="1:16" ht="36.75" customHeight="1">
      <c r="A103" s="561">
        <v>94</v>
      </c>
      <c r="B103" s="455"/>
      <c r="C103" s="322">
        <v>24</v>
      </c>
      <c r="D103" s="324" t="s">
        <v>761</v>
      </c>
      <c r="E103" s="330"/>
      <c r="F103" s="550"/>
      <c r="G103" s="331"/>
      <c r="H103" s="762" t="s">
        <v>24</v>
      </c>
      <c r="I103" s="777"/>
      <c r="J103" s="773"/>
      <c r="K103" s="773"/>
      <c r="L103" s="773"/>
      <c r="M103" s="773"/>
      <c r="N103" s="773"/>
      <c r="O103" s="745"/>
      <c r="P103" s="551"/>
    </row>
    <row r="104" spans="1:256" s="546" customFormat="1" ht="18" customHeight="1">
      <c r="A104" s="561">
        <v>95</v>
      </c>
      <c r="B104" s="554"/>
      <c r="C104" s="322"/>
      <c r="D104" s="755" t="s">
        <v>303</v>
      </c>
      <c r="E104" s="330">
        <f>F104+G104+O105+P104+89379+55491</f>
        <v>184000</v>
      </c>
      <c r="F104" s="550">
        <v>9200</v>
      </c>
      <c r="G104" s="331">
        <f>3350+5228+2096+1</f>
        <v>10675</v>
      </c>
      <c r="H104" s="762"/>
      <c r="I104" s="777"/>
      <c r="J104" s="773"/>
      <c r="K104" s="773">
        <v>19255</v>
      </c>
      <c r="L104" s="773"/>
      <c r="M104" s="773"/>
      <c r="N104" s="773"/>
      <c r="O104" s="745">
        <f>SUM(I104:N104)</f>
        <v>19255</v>
      </c>
      <c r="P104" s="551"/>
      <c r="Q104" s="321"/>
      <c r="R104" s="321"/>
      <c r="S104" s="321"/>
      <c r="T104" s="321"/>
      <c r="U104" s="321"/>
      <c r="V104" s="321"/>
      <c r="W104" s="321"/>
      <c r="X104" s="321"/>
      <c r="Y104" s="321"/>
      <c r="Z104" s="321"/>
      <c r="AA104" s="321"/>
      <c r="AB104" s="321"/>
      <c r="AC104" s="321"/>
      <c r="AD104" s="321"/>
      <c r="AE104" s="321"/>
      <c r="AF104" s="321"/>
      <c r="AG104" s="321"/>
      <c r="AH104" s="321"/>
      <c r="AI104" s="321"/>
      <c r="AJ104" s="321"/>
      <c r="AK104" s="321"/>
      <c r="AL104" s="321"/>
      <c r="AM104" s="321"/>
      <c r="AN104" s="321"/>
      <c r="AO104" s="321"/>
      <c r="AP104" s="321"/>
      <c r="AQ104" s="321"/>
      <c r="AR104" s="321"/>
      <c r="AS104" s="321"/>
      <c r="AT104" s="321"/>
      <c r="AU104" s="321"/>
      <c r="AV104" s="321"/>
      <c r="AW104" s="321"/>
      <c r="AX104" s="321"/>
      <c r="AY104" s="321"/>
      <c r="AZ104" s="321"/>
      <c r="BA104" s="321"/>
      <c r="BB104" s="321"/>
      <c r="BC104" s="321"/>
      <c r="BD104" s="321"/>
      <c r="BE104" s="321"/>
      <c r="BF104" s="321"/>
      <c r="BG104" s="321"/>
      <c r="BH104" s="321"/>
      <c r="BI104" s="321"/>
      <c r="BJ104" s="321"/>
      <c r="BK104" s="321"/>
      <c r="BL104" s="321"/>
      <c r="BM104" s="321"/>
      <c r="BN104" s="321"/>
      <c r="BO104" s="321"/>
      <c r="BP104" s="321"/>
      <c r="BQ104" s="321"/>
      <c r="BR104" s="321"/>
      <c r="BS104" s="321"/>
      <c r="BT104" s="321"/>
      <c r="BU104" s="321"/>
      <c r="BV104" s="321"/>
      <c r="BW104" s="321"/>
      <c r="BX104" s="321"/>
      <c r="BY104" s="321"/>
      <c r="BZ104" s="321"/>
      <c r="CA104" s="321"/>
      <c r="CB104" s="321"/>
      <c r="CC104" s="321"/>
      <c r="CD104" s="321"/>
      <c r="CE104" s="321"/>
      <c r="CF104" s="321"/>
      <c r="CG104" s="321"/>
      <c r="CH104" s="321"/>
      <c r="CI104" s="321"/>
      <c r="CJ104" s="321"/>
      <c r="CK104" s="321"/>
      <c r="CL104" s="321"/>
      <c r="CM104" s="321"/>
      <c r="CN104" s="321"/>
      <c r="CO104" s="321"/>
      <c r="CP104" s="321"/>
      <c r="CQ104" s="321"/>
      <c r="CR104" s="321"/>
      <c r="CS104" s="321"/>
      <c r="CT104" s="321"/>
      <c r="CU104" s="321"/>
      <c r="CV104" s="321"/>
      <c r="CW104" s="321"/>
      <c r="CX104" s="321"/>
      <c r="CY104" s="321"/>
      <c r="CZ104" s="321"/>
      <c r="DA104" s="321"/>
      <c r="DB104" s="321"/>
      <c r="DC104" s="321"/>
      <c r="DD104" s="321"/>
      <c r="DE104" s="321"/>
      <c r="DF104" s="321"/>
      <c r="DG104" s="321"/>
      <c r="DH104" s="321"/>
      <c r="DI104" s="321"/>
      <c r="DJ104" s="321"/>
      <c r="DK104" s="321"/>
      <c r="DL104" s="321"/>
      <c r="DM104" s="321"/>
      <c r="DN104" s="321"/>
      <c r="DO104" s="321"/>
      <c r="DP104" s="321"/>
      <c r="DQ104" s="321"/>
      <c r="DR104" s="321"/>
      <c r="DS104" s="321"/>
      <c r="DT104" s="321"/>
      <c r="DU104" s="321"/>
      <c r="DV104" s="321"/>
      <c r="DW104" s="321"/>
      <c r="DX104" s="321"/>
      <c r="DY104" s="321"/>
      <c r="DZ104" s="321"/>
      <c r="EA104" s="321"/>
      <c r="EB104" s="321"/>
      <c r="EC104" s="321"/>
      <c r="ED104" s="321"/>
      <c r="EE104" s="321"/>
      <c r="EF104" s="321"/>
      <c r="EG104" s="321"/>
      <c r="EH104" s="321"/>
      <c r="EI104" s="321"/>
      <c r="EJ104" s="321"/>
      <c r="EK104" s="321"/>
      <c r="EL104" s="321"/>
      <c r="EM104" s="321"/>
      <c r="EN104" s="321"/>
      <c r="EO104" s="321"/>
      <c r="EP104" s="321"/>
      <c r="EQ104" s="321"/>
      <c r="ER104" s="321"/>
      <c r="ES104" s="321"/>
      <c r="ET104" s="321"/>
      <c r="EU104" s="321"/>
      <c r="EV104" s="321"/>
      <c r="EW104" s="321"/>
      <c r="EX104" s="321"/>
      <c r="EY104" s="321"/>
      <c r="EZ104" s="321"/>
      <c r="FA104" s="321"/>
      <c r="FB104" s="321"/>
      <c r="FC104" s="321"/>
      <c r="FD104" s="321"/>
      <c r="FE104" s="321"/>
      <c r="FF104" s="321"/>
      <c r="FG104" s="321"/>
      <c r="FH104" s="321"/>
      <c r="FI104" s="321"/>
      <c r="FJ104" s="321"/>
      <c r="FK104" s="321"/>
      <c r="FL104" s="321"/>
      <c r="FM104" s="321"/>
      <c r="FN104" s="321"/>
      <c r="FO104" s="321"/>
      <c r="FP104" s="321"/>
      <c r="FQ104" s="321"/>
      <c r="FR104" s="321"/>
      <c r="FS104" s="321"/>
      <c r="FT104" s="321"/>
      <c r="FU104" s="321"/>
      <c r="FV104" s="321"/>
      <c r="FW104" s="321"/>
      <c r="FX104" s="321"/>
      <c r="FY104" s="321"/>
      <c r="FZ104" s="321"/>
      <c r="GA104" s="321"/>
      <c r="GB104" s="321"/>
      <c r="GC104" s="321"/>
      <c r="GD104" s="321"/>
      <c r="GE104" s="321"/>
      <c r="GF104" s="321"/>
      <c r="GG104" s="321"/>
      <c r="GH104" s="321"/>
      <c r="GI104" s="321"/>
      <c r="GJ104" s="321"/>
      <c r="GK104" s="321"/>
      <c r="GL104" s="321"/>
      <c r="GM104" s="321"/>
      <c r="GN104" s="321"/>
      <c r="GO104" s="321"/>
      <c r="GP104" s="321"/>
      <c r="GQ104" s="321"/>
      <c r="GR104" s="321"/>
      <c r="GS104" s="321"/>
      <c r="GT104" s="321"/>
      <c r="GU104" s="321"/>
      <c r="GV104" s="321"/>
      <c r="GW104" s="321"/>
      <c r="GX104" s="321"/>
      <c r="GY104" s="321"/>
      <c r="GZ104" s="321"/>
      <c r="HA104" s="321"/>
      <c r="HB104" s="321"/>
      <c r="HC104" s="321"/>
      <c r="HD104" s="321"/>
      <c r="HE104" s="321"/>
      <c r="HF104" s="321"/>
      <c r="HG104" s="321"/>
      <c r="HH104" s="321"/>
      <c r="HI104" s="321"/>
      <c r="HJ104" s="321"/>
      <c r="HK104" s="321"/>
      <c r="HL104" s="321"/>
      <c r="HM104" s="321"/>
      <c r="HN104" s="321"/>
      <c r="HO104" s="321"/>
      <c r="HP104" s="321"/>
      <c r="HQ104" s="321"/>
      <c r="HR104" s="321"/>
      <c r="HS104" s="321"/>
      <c r="HT104" s="321"/>
      <c r="HU104" s="321"/>
      <c r="HV104" s="321"/>
      <c r="HW104" s="321"/>
      <c r="HX104" s="321"/>
      <c r="HY104" s="321"/>
      <c r="HZ104" s="321"/>
      <c r="IA104" s="321"/>
      <c r="IB104" s="321"/>
      <c r="IC104" s="321"/>
      <c r="ID104" s="321"/>
      <c r="IE104" s="321"/>
      <c r="IF104" s="321"/>
      <c r="IG104" s="321"/>
      <c r="IH104" s="321"/>
      <c r="II104" s="321"/>
      <c r="IJ104" s="321"/>
      <c r="IK104" s="321"/>
      <c r="IL104" s="321"/>
      <c r="IM104" s="321"/>
      <c r="IN104" s="321"/>
      <c r="IO104" s="321"/>
      <c r="IP104" s="321"/>
      <c r="IQ104" s="321"/>
      <c r="IR104" s="321"/>
      <c r="IS104" s="321"/>
      <c r="IT104" s="321"/>
      <c r="IU104" s="321"/>
      <c r="IV104" s="321"/>
    </row>
    <row r="105" spans="1:256" s="546" customFormat="1" ht="18" customHeight="1">
      <c r="A105" s="561">
        <v>96</v>
      </c>
      <c r="B105" s="554"/>
      <c r="C105" s="322"/>
      <c r="D105" s="436" t="s">
        <v>994</v>
      </c>
      <c r="E105" s="330"/>
      <c r="F105" s="550"/>
      <c r="G105" s="331"/>
      <c r="H105" s="762"/>
      <c r="I105" s="777"/>
      <c r="J105" s="773"/>
      <c r="K105" s="547">
        <v>19255</v>
      </c>
      <c r="L105" s="773"/>
      <c r="M105" s="773"/>
      <c r="N105" s="773"/>
      <c r="O105" s="555">
        <f>SUM(I105:N105)</f>
        <v>19255</v>
      </c>
      <c r="P105" s="551"/>
      <c r="Q105" s="321"/>
      <c r="R105" s="321"/>
      <c r="S105" s="321"/>
      <c r="T105" s="321"/>
      <c r="U105" s="321"/>
      <c r="V105" s="321"/>
      <c r="W105" s="321"/>
      <c r="X105" s="321"/>
      <c r="Y105" s="321"/>
      <c r="Z105" s="321"/>
      <c r="AA105" s="321"/>
      <c r="AB105" s="321"/>
      <c r="AC105" s="321"/>
      <c r="AD105" s="321"/>
      <c r="AE105" s="321"/>
      <c r="AF105" s="321"/>
      <c r="AG105" s="321"/>
      <c r="AH105" s="321"/>
      <c r="AI105" s="321"/>
      <c r="AJ105" s="321"/>
      <c r="AK105" s="321"/>
      <c r="AL105" s="321"/>
      <c r="AM105" s="321"/>
      <c r="AN105" s="321"/>
      <c r="AO105" s="321"/>
      <c r="AP105" s="321"/>
      <c r="AQ105" s="321"/>
      <c r="AR105" s="321"/>
      <c r="AS105" s="321"/>
      <c r="AT105" s="321"/>
      <c r="AU105" s="321"/>
      <c r="AV105" s="321"/>
      <c r="AW105" s="321"/>
      <c r="AX105" s="321"/>
      <c r="AY105" s="321"/>
      <c r="AZ105" s="321"/>
      <c r="BA105" s="321"/>
      <c r="BB105" s="321"/>
      <c r="BC105" s="321"/>
      <c r="BD105" s="321"/>
      <c r="BE105" s="321"/>
      <c r="BF105" s="321"/>
      <c r="BG105" s="321"/>
      <c r="BH105" s="321"/>
      <c r="BI105" s="321"/>
      <c r="BJ105" s="321"/>
      <c r="BK105" s="321"/>
      <c r="BL105" s="321"/>
      <c r="BM105" s="321"/>
      <c r="BN105" s="321"/>
      <c r="BO105" s="321"/>
      <c r="BP105" s="321"/>
      <c r="BQ105" s="321"/>
      <c r="BR105" s="321"/>
      <c r="BS105" s="321"/>
      <c r="BT105" s="321"/>
      <c r="BU105" s="321"/>
      <c r="BV105" s="321"/>
      <c r="BW105" s="321"/>
      <c r="BX105" s="321"/>
      <c r="BY105" s="321"/>
      <c r="BZ105" s="321"/>
      <c r="CA105" s="321"/>
      <c r="CB105" s="321"/>
      <c r="CC105" s="321"/>
      <c r="CD105" s="321"/>
      <c r="CE105" s="321"/>
      <c r="CF105" s="321"/>
      <c r="CG105" s="321"/>
      <c r="CH105" s="321"/>
      <c r="CI105" s="321"/>
      <c r="CJ105" s="321"/>
      <c r="CK105" s="321"/>
      <c r="CL105" s="321"/>
      <c r="CM105" s="321"/>
      <c r="CN105" s="321"/>
      <c r="CO105" s="321"/>
      <c r="CP105" s="321"/>
      <c r="CQ105" s="321"/>
      <c r="CR105" s="321"/>
      <c r="CS105" s="321"/>
      <c r="CT105" s="321"/>
      <c r="CU105" s="321"/>
      <c r="CV105" s="321"/>
      <c r="CW105" s="321"/>
      <c r="CX105" s="321"/>
      <c r="CY105" s="321"/>
      <c r="CZ105" s="321"/>
      <c r="DA105" s="321"/>
      <c r="DB105" s="321"/>
      <c r="DC105" s="321"/>
      <c r="DD105" s="321"/>
      <c r="DE105" s="321"/>
      <c r="DF105" s="321"/>
      <c r="DG105" s="321"/>
      <c r="DH105" s="321"/>
      <c r="DI105" s="321"/>
      <c r="DJ105" s="321"/>
      <c r="DK105" s="321"/>
      <c r="DL105" s="321"/>
      <c r="DM105" s="321"/>
      <c r="DN105" s="321"/>
      <c r="DO105" s="321"/>
      <c r="DP105" s="321"/>
      <c r="DQ105" s="321"/>
      <c r="DR105" s="321"/>
      <c r="DS105" s="321"/>
      <c r="DT105" s="321"/>
      <c r="DU105" s="321"/>
      <c r="DV105" s="321"/>
      <c r="DW105" s="321"/>
      <c r="DX105" s="321"/>
      <c r="DY105" s="321"/>
      <c r="DZ105" s="321"/>
      <c r="EA105" s="321"/>
      <c r="EB105" s="321"/>
      <c r="EC105" s="321"/>
      <c r="ED105" s="321"/>
      <c r="EE105" s="321"/>
      <c r="EF105" s="321"/>
      <c r="EG105" s="321"/>
      <c r="EH105" s="321"/>
      <c r="EI105" s="321"/>
      <c r="EJ105" s="321"/>
      <c r="EK105" s="321"/>
      <c r="EL105" s="321"/>
      <c r="EM105" s="321"/>
      <c r="EN105" s="321"/>
      <c r="EO105" s="321"/>
      <c r="EP105" s="321"/>
      <c r="EQ105" s="321"/>
      <c r="ER105" s="321"/>
      <c r="ES105" s="321"/>
      <c r="ET105" s="321"/>
      <c r="EU105" s="321"/>
      <c r="EV105" s="321"/>
      <c r="EW105" s="321"/>
      <c r="EX105" s="321"/>
      <c r="EY105" s="321"/>
      <c r="EZ105" s="321"/>
      <c r="FA105" s="321"/>
      <c r="FB105" s="321"/>
      <c r="FC105" s="321"/>
      <c r="FD105" s="321"/>
      <c r="FE105" s="321"/>
      <c r="FF105" s="321"/>
      <c r="FG105" s="321"/>
      <c r="FH105" s="321"/>
      <c r="FI105" s="321"/>
      <c r="FJ105" s="321"/>
      <c r="FK105" s="321"/>
      <c r="FL105" s="321"/>
      <c r="FM105" s="321"/>
      <c r="FN105" s="321"/>
      <c r="FO105" s="321"/>
      <c r="FP105" s="321"/>
      <c r="FQ105" s="321"/>
      <c r="FR105" s="321"/>
      <c r="FS105" s="321"/>
      <c r="FT105" s="321"/>
      <c r="FU105" s="321"/>
      <c r="FV105" s="321"/>
      <c r="FW105" s="321"/>
      <c r="FX105" s="321"/>
      <c r="FY105" s="321"/>
      <c r="FZ105" s="321"/>
      <c r="GA105" s="321"/>
      <c r="GB105" s="321"/>
      <c r="GC105" s="321"/>
      <c r="GD105" s="321"/>
      <c r="GE105" s="321"/>
      <c r="GF105" s="321"/>
      <c r="GG105" s="321"/>
      <c r="GH105" s="321"/>
      <c r="GI105" s="321"/>
      <c r="GJ105" s="321"/>
      <c r="GK105" s="321"/>
      <c r="GL105" s="321"/>
      <c r="GM105" s="321"/>
      <c r="GN105" s="321"/>
      <c r="GO105" s="321"/>
      <c r="GP105" s="321"/>
      <c r="GQ105" s="321"/>
      <c r="GR105" s="321"/>
      <c r="GS105" s="321"/>
      <c r="GT105" s="321"/>
      <c r="GU105" s="321"/>
      <c r="GV105" s="321"/>
      <c r="GW105" s="321"/>
      <c r="GX105" s="321"/>
      <c r="GY105" s="321"/>
      <c r="GZ105" s="321"/>
      <c r="HA105" s="321"/>
      <c r="HB105" s="321"/>
      <c r="HC105" s="321"/>
      <c r="HD105" s="321"/>
      <c r="HE105" s="321"/>
      <c r="HF105" s="321"/>
      <c r="HG105" s="321"/>
      <c r="HH105" s="321"/>
      <c r="HI105" s="321"/>
      <c r="HJ105" s="321"/>
      <c r="HK105" s="321"/>
      <c r="HL105" s="321"/>
      <c r="HM105" s="321"/>
      <c r="HN105" s="321"/>
      <c r="HO105" s="321"/>
      <c r="HP105" s="321"/>
      <c r="HQ105" s="321"/>
      <c r="HR105" s="321"/>
      <c r="HS105" s="321"/>
      <c r="HT105" s="321"/>
      <c r="HU105" s="321"/>
      <c r="HV105" s="321"/>
      <c r="HW105" s="321"/>
      <c r="HX105" s="321"/>
      <c r="HY105" s="321"/>
      <c r="HZ105" s="321"/>
      <c r="IA105" s="321"/>
      <c r="IB105" s="321"/>
      <c r="IC105" s="321"/>
      <c r="ID105" s="321"/>
      <c r="IE105" s="321"/>
      <c r="IF105" s="321"/>
      <c r="IG105" s="321"/>
      <c r="IH105" s="321"/>
      <c r="II105" s="321"/>
      <c r="IJ105" s="321"/>
      <c r="IK105" s="321"/>
      <c r="IL105" s="321"/>
      <c r="IM105" s="321"/>
      <c r="IN105" s="321"/>
      <c r="IO105" s="321"/>
      <c r="IP105" s="321"/>
      <c r="IQ105" s="321"/>
      <c r="IR105" s="321"/>
      <c r="IS105" s="321"/>
      <c r="IT105" s="321"/>
      <c r="IU105" s="321"/>
      <c r="IV105" s="321"/>
    </row>
    <row r="106" spans="1:256" s="546" customFormat="1" ht="18" customHeight="1">
      <c r="A106" s="561">
        <v>97</v>
      </c>
      <c r="B106" s="554"/>
      <c r="C106" s="322"/>
      <c r="D106" s="987" t="s">
        <v>1036</v>
      </c>
      <c r="E106" s="330"/>
      <c r="F106" s="550"/>
      <c r="G106" s="331"/>
      <c r="H106" s="762"/>
      <c r="I106" s="758"/>
      <c r="J106" s="547"/>
      <c r="K106" s="1266">
        <v>0</v>
      </c>
      <c r="L106" s="547"/>
      <c r="M106" s="547"/>
      <c r="N106" s="547"/>
      <c r="O106" s="1175">
        <f>SUM(I106:N106)</f>
        <v>0</v>
      </c>
      <c r="P106" s="551"/>
      <c r="Q106" s="321"/>
      <c r="R106" s="321"/>
      <c r="S106" s="321"/>
      <c r="T106" s="321"/>
      <c r="U106" s="321"/>
      <c r="V106" s="321"/>
      <c r="W106" s="321"/>
      <c r="X106" s="321"/>
      <c r="Y106" s="321"/>
      <c r="Z106" s="321"/>
      <c r="AA106" s="321"/>
      <c r="AB106" s="321"/>
      <c r="AC106" s="321"/>
      <c r="AD106" s="321"/>
      <c r="AE106" s="321"/>
      <c r="AF106" s="321"/>
      <c r="AG106" s="321"/>
      <c r="AH106" s="321"/>
      <c r="AI106" s="321"/>
      <c r="AJ106" s="321"/>
      <c r="AK106" s="321"/>
      <c r="AL106" s="321"/>
      <c r="AM106" s="321"/>
      <c r="AN106" s="321"/>
      <c r="AO106" s="321"/>
      <c r="AP106" s="321"/>
      <c r="AQ106" s="321"/>
      <c r="AR106" s="321"/>
      <c r="AS106" s="321"/>
      <c r="AT106" s="321"/>
      <c r="AU106" s="321"/>
      <c r="AV106" s="321"/>
      <c r="AW106" s="321"/>
      <c r="AX106" s="321"/>
      <c r="AY106" s="321"/>
      <c r="AZ106" s="321"/>
      <c r="BA106" s="321"/>
      <c r="BB106" s="321"/>
      <c r="BC106" s="321"/>
      <c r="BD106" s="321"/>
      <c r="BE106" s="321"/>
      <c r="BF106" s="321"/>
      <c r="BG106" s="321"/>
      <c r="BH106" s="321"/>
      <c r="BI106" s="321"/>
      <c r="BJ106" s="321"/>
      <c r="BK106" s="321"/>
      <c r="BL106" s="321"/>
      <c r="BM106" s="321"/>
      <c r="BN106" s="321"/>
      <c r="BO106" s="321"/>
      <c r="BP106" s="321"/>
      <c r="BQ106" s="321"/>
      <c r="BR106" s="321"/>
      <c r="BS106" s="321"/>
      <c r="BT106" s="321"/>
      <c r="BU106" s="321"/>
      <c r="BV106" s="321"/>
      <c r="BW106" s="321"/>
      <c r="BX106" s="321"/>
      <c r="BY106" s="321"/>
      <c r="BZ106" s="321"/>
      <c r="CA106" s="321"/>
      <c r="CB106" s="321"/>
      <c r="CC106" s="321"/>
      <c r="CD106" s="321"/>
      <c r="CE106" s="321"/>
      <c r="CF106" s="321"/>
      <c r="CG106" s="321"/>
      <c r="CH106" s="321"/>
      <c r="CI106" s="321"/>
      <c r="CJ106" s="321"/>
      <c r="CK106" s="321"/>
      <c r="CL106" s="321"/>
      <c r="CM106" s="321"/>
      <c r="CN106" s="321"/>
      <c r="CO106" s="321"/>
      <c r="CP106" s="321"/>
      <c r="CQ106" s="321"/>
      <c r="CR106" s="321"/>
      <c r="CS106" s="321"/>
      <c r="CT106" s="321"/>
      <c r="CU106" s="321"/>
      <c r="CV106" s="321"/>
      <c r="CW106" s="321"/>
      <c r="CX106" s="321"/>
      <c r="CY106" s="321"/>
      <c r="CZ106" s="321"/>
      <c r="DA106" s="321"/>
      <c r="DB106" s="321"/>
      <c r="DC106" s="321"/>
      <c r="DD106" s="321"/>
      <c r="DE106" s="321"/>
      <c r="DF106" s="321"/>
      <c r="DG106" s="321"/>
      <c r="DH106" s="321"/>
      <c r="DI106" s="321"/>
      <c r="DJ106" s="321"/>
      <c r="DK106" s="321"/>
      <c r="DL106" s="321"/>
      <c r="DM106" s="321"/>
      <c r="DN106" s="321"/>
      <c r="DO106" s="321"/>
      <c r="DP106" s="321"/>
      <c r="DQ106" s="321"/>
      <c r="DR106" s="321"/>
      <c r="DS106" s="321"/>
      <c r="DT106" s="321"/>
      <c r="DU106" s="321"/>
      <c r="DV106" s="321"/>
      <c r="DW106" s="321"/>
      <c r="DX106" s="321"/>
      <c r="DY106" s="321"/>
      <c r="DZ106" s="321"/>
      <c r="EA106" s="321"/>
      <c r="EB106" s="321"/>
      <c r="EC106" s="321"/>
      <c r="ED106" s="321"/>
      <c r="EE106" s="321"/>
      <c r="EF106" s="321"/>
      <c r="EG106" s="321"/>
      <c r="EH106" s="321"/>
      <c r="EI106" s="321"/>
      <c r="EJ106" s="321"/>
      <c r="EK106" s="321"/>
      <c r="EL106" s="321"/>
      <c r="EM106" s="321"/>
      <c r="EN106" s="321"/>
      <c r="EO106" s="321"/>
      <c r="EP106" s="321"/>
      <c r="EQ106" s="321"/>
      <c r="ER106" s="321"/>
      <c r="ES106" s="321"/>
      <c r="ET106" s="321"/>
      <c r="EU106" s="321"/>
      <c r="EV106" s="321"/>
      <c r="EW106" s="321"/>
      <c r="EX106" s="321"/>
      <c r="EY106" s="321"/>
      <c r="EZ106" s="321"/>
      <c r="FA106" s="321"/>
      <c r="FB106" s="321"/>
      <c r="FC106" s="321"/>
      <c r="FD106" s="321"/>
      <c r="FE106" s="321"/>
      <c r="FF106" s="321"/>
      <c r="FG106" s="321"/>
      <c r="FH106" s="321"/>
      <c r="FI106" s="321"/>
      <c r="FJ106" s="321"/>
      <c r="FK106" s="321"/>
      <c r="FL106" s="321"/>
      <c r="FM106" s="321"/>
      <c r="FN106" s="321"/>
      <c r="FO106" s="321"/>
      <c r="FP106" s="321"/>
      <c r="FQ106" s="321"/>
      <c r="FR106" s="321"/>
      <c r="FS106" s="321"/>
      <c r="FT106" s="321"/>
      <c r="FU106" s="321"/>
      <c r="FV106" s="321"/>
      <c r="FW106" s="321"/>
      <c r="FX106" s="321"/>
      <c r="FY106" s="321"/>
      <c r="FZ106" s="321"/>
      <c r="GA106" s="321"/>
      <c r="GB106" s="321"/>
      <c r="GC106" s="321"/>
      <c r="GD106" s="321"/>
      <c r="GE106" s="321"/>
      <c r="GF106" s="321"/>
      <c r="GG106" s="321"/>
      <c r="GH106" s="321"/>
      <c r="GI106" s="321"/>
      <c r="GJ106" s="321"/>
      <c r="GK106" s="321"/>
      <c r="GL106" s="321"/>
      <c r="GM106" s="321"/>
      <c r="GN106" s="321"/>
      <c r="GO106" s="321"/>
      <c r="GP106" s="321"/>
      <c r="GQ106" s="321"/>
      <c r="GR106" s="321"/>
      <c r="GS106" s="321"/>
      <c r="GT106" s="321"/>
      <c r="GU106" s="321"/>
      <c r="GV106" s="321"/>
      <c r="GW106" s="321"/>
      <c r="GX106" s="321"/>
      <c r="GY106" s="321"/>
      <c r="GZ106" s="321"/>
      <c r="HA106" s="321"/>
      <c r="HB106" s="321"/>
      <c r="HC106" s="321"/>
      <c r="HD106" s="321"/>
      <c r="HE106" s="321"/>
      <c r="HF106" s="321"/>
      <c r="HG106" s="321"/>
      <c r="HH106" s="321"/>
      <c r="HI106" s="321"/>
      <c r="HJ106" s="321"/>
      <c r="HK106" s="321"/>
      <c r="HL106" s="321"/>
      <c r="HM106" s="321"/>
      <c r="HN106" s="321"/>
      <c r="HO106" s="321"/>
      <c r="HP106" s="321"/>
      <c r="HQ106" s="321"/>
      <c r="HR106" s="321"/>
      <c r="HS106" s="321"/>
      <c r="HT106" s="321"/>
      <c r="HU106" s="321"/>
      <c r="HV106" s="321"/>
      <c r="HW106" s="321"/>
      <c r="HX106" s="321"/>
      <c r="HY106" s="321"/>
      <c r="HZ106" s="321"/>
      <c r="IA106" s="321"/>
      <c r="IB106" s="321"/>
      <c r="IC106" s="321"/>
      <c r="ID106" s="321"/>
      <c r="IE106" s="321"/>
      <c r="IF106" s="321"/>
      <c r="IG106" s="321"/>
      <c r="IH106" s="321"/>
      <c r="II106" s="321"/>
      <c r="IJ106" s="321"/>
      <c r="IK106" s="321"/>
      <c r="IL106" s="321"/>
      <c r="IM106" s="321"/>
      <c r="IN106" s="321"/>
      <c r="IO106" s="321"/>
      <c r="IP106" s="321"/>
      <c r="IQ106" s="321"/>
      <c r="IR106" s="321"/>
      <c r="IS106" s="321"/>
      <c r="IT106" s="321"/>
      <c r="IU106" s="321"/>
      <c r="IV106" s="321"/>
    </row>
    <row r="107" spans="1:16" ht="36" customHeight="1">
      <c r="A107" s="561">
        <v>98</v>
      </c>
      <c r="B107" s="455"/>
      <c r="C107" s="322">
        <v>25</v>
      </c>
      <c r="D107" s="324" t="s">
        <v>491</v>
      </c>
      <c r="E107" s="330"/>
      <c r="F107" s="550"/>
      <c r="G107" s="331"/>
      <c r="H107" s="762" t="s">
        <v>24</v>
      </c>
      <c r="I107" s="777"/>
      <c r="J107" s="773"/>
      <c r="K107" s="773"/>
      <c r="L107" s="773"/>
      <c r="M107" s="773"/>
      <c r="N107" s="773"/>
      <c r="O107" s="745"/>
      <c r="P107" s="551"/>
    </row>
    <row r="108" spans="1:256" s="546" customFormat="1" ht="18" customHeight="1">
      <c r="A108" s="561">
        <v>99</v>
      </c>
      <c r="B108" s="554"/>
      <c r="C108" s="322"/>
      <c r="D108" s="755" t="s">
        <v>303</v>
      </c>
      <c r="E108" s="330">
        <f>F108+G108+O109+P108</f>
        <v>51055</v>
      </c>
      <c r="F108" s="550">
        <v>1176</v>
      </c>
      <c r="G108" s="331">
        <f>23795+13</f>
        <v>23808</v>
      </c>
      <c r="H108" s="762"/>
      <c r="I108" s="777"/>
      <c r="J108" s="773"/>
      <c r="K108" s="773">
        <f>15925+8079</f>
        <v>24004</v>
      </c>
      <c r="L108" s="773"/>
      <c r="M108" s="773"/>
      <c r="N108" s="773"/>
      <c r="O108" s="745">
        <f>SUM(I108:N108)</f>
        <v>24004</v>
      </c>
      <c r="P108" s="551"/>
      <c r="Q108" s="321"/>
      <c r="R108" s="321"/>
      <c r="S108" s="321"/>
      <c r="T108" s="321"/>
      <c r="U108" s="321"/>
      <c r="V108" s="321"/>
      <c r="W108" s="321"/>
      <c r="X108" s="321"/>
      <c r="Y108" s="321"/>
      <c r="Z108" s="321"/>
      <c r="AA108" s="321"/>
      <c r="AB108" s="321"/>
      <c r="AC108" s="321"/>
      <c r="AD108" s="321"/>
      <c r="AE108" s="321"/>
      <c r="AF108" s="321"/>
      <c r="AG108" s="321"/>
      <c r="AH108" s="321"/>
      <c r="AI108" s="321"/>
      <c r="AJ108" s="321"/>
      <c r="AK108" s="321"/>
      <c r="AL108" s="321"/>
      <c r="AM108" s="321"/>
      <c r="AN108" s="321"/>
      <c r="AO108" s="321"/>
      <c r="AP108" s="321"/>
      <c r="AQ108" s="321"/>
      <c r="AR108" s="321"/>
      <c r="AS108" s="321"/>
      <c r="AT108" s="321"/>
      <c r="AU108" s="321"/>
      <c r="AV108" s="321"/>
      <c r="AW108" s="321"/>
      <c r="AX108" s="321"/>
      <c r="AY108" s="321"/>
      <c r="AZ108" s="321"/>
      <c r="BA108" s="321"/>
      <c r="BB108" s="321"/>
      <c r="BC108" s="321"/>
      <c r="BD108" s="321"/>
      <c r="BE108" s="321"/>
      <c r="BF108" s="321"/>
      <c r="BG108" s="321"/>
      <c r="BH108" s="321"/>
      <c r="BI108" s="321"/>
      <c r="BJ108" s="321"/>
      <c r="BK108" s="321"/>
      <c r="BL108" s="321"/>
      <c r="BM108" s="321"/>
      <c r="BN108" s="321"/>
      <c r="BO108" s="321"/>
      <c r="BP108" s="321"/>
      <c r="BQ108" s="321"/>
      <c r="BR108" s="321"/>
      <c r="BS108" s="321"/>
      <c r="BT108" s="321"/>
      <c r="BU108" s="321"/>
      <c r="BV108" s="321"/>
      <c r="BW108" s="321"/>
      <c r="BX108" s="321"/>
      <c r="BY108" s="321"/>
      <c r="BZ108" s="321"/>
      <c r="CA108" s="321"/>
      <c r="CB108" s="321"/>
      <c r="CC108" s="321"/>
      <c r="CD108" s="321"/>
      <c r="CE108" s="321"/>
      <c r="CF108" s="321"/>
      <c r="CG108" s="321"/>
      <c r="CH108" s="321"/>
      <c r="CI108" s="321"/>
      <c r="CJ108" s="321"/>
      <c r="CK108" s="321"/>
      <c r="CL108" s="321"/>
      <c r="CM108" s="321"/>
      <c r="CN108" s="321"/>
      <c r="CO108" s="321"/>
      <c r="CP108" s="321"/>
      <c r="CQ108" s="321"/>
      <c r="CR108" s="321"/>
      <c r="CS108" s="321"/>
      <c r="CT108" s="321"/>
      <c r="CU108" s="321"/>
      <c r="CV108" s="321"/>
      <c r="CW108" s="321"/>
      <c r="CX108" s="321"/>
      <c r="CY108" s="321"/>
      <c r="CZ108" s="321"/>
      <c r="DA108" s="321"/>
      <c r="DB108" s="321"/>
      <c r="DC108" s="321"/>
      <c r="DD108" s="321"/>
      <c r="DE108" s="321"/>
      <c r="DF108" s="321"/>
      <c r="DG108" s="321"/>
      <c r="DH108" s="321"/>
      <c r="DI108" s="321"/>
      <c r="DJ108" s="321"/>
      <c r="DK108" s="321"/>
      <c r="DL108" s="321"/>
      <c r="DM108" s="321"/>
      <c r="DN108" s="321"/>
      <c r="DO108" s="321"/>
      <c r="DP108" s="321"/>
      <c r="DQ108" s="321"/>
      <c r="DR108" s="321"/>
      <c r="DS108" s="321"/>
      <c r="DT108" s="321"/>
      <c r="DU108" s="321"/>
      <c r="DV108" s="321"/>
      <c r="DW108" s="321"/>
      <c r="DX108" s="321"/>
      <c r="DY108" s="321"/>
      <c r="DZ108" s="321"/>
      <c r="EA108" s="321"/>
      <c r="EB108" s="321"/>
      <c r="EC108" s="321"/>
      <c r="ED108" s="321"/>
      <c r="EE108" s="321"/>
      <c r="EF108" s="321"/>
      <c r="EG108" s="321"/>
      <c r="EH108" s="321"/>
      <c r="EI108" s="321"/>
      <c r="EJ108" s="321"/>
      <c r="EK108" s="321"/>
      <c r="EL108" s="321"/>
      <c r="EM108" s="321"/>
      <c r="EN108" s="321"/>
      <c r="EO108" s="321"/>
      <c r="EP108" s="321"/>
      <c r="EQ108" s="321"/>
      <c r="ER108" s="321"/>
      <c r="ES108" s="321"/>
      <c r="ET108" s="321"/>
      <c r="EU108" s="321"/>
      <c r="EV108" s="321"/>
      <c r="EW108" s="321"/>
      <c r="EX108" s="321"/>
      <c r="EY108" s="321"/>
      <c r="EZ108" s="321"/>
      <c r="FA108" s="321"/>
      <c r="FB108" s="321"/>
      <c r="FC108" s="321"/>
      <c r="FD108" s="321"/>
      <c r="FE108" s="321"/>
      <c r="FF108" s="321"/>
      <c r="FG108" s="321"/>
      <c r="FH108" s="321"/>
      <c r="FI108" s="321"/>
      <c r="FJ108" s="321"/>
      <c r="FK108" s="321"/>
      <c r="FL108" s="321"/>
      <c r="FM108" s="321"/>
      <c r="FN108" s="321"/>
      <c r="FO108" s="321"/>
      <c r="FP108" s="321"/>
      <c r="FQ108" s="321"/>
      <c r="FR108" s="321"/>
      <c r="FS108" s="321"/>
      <c r="FT108" s="321"/>
      <c r="FU108" s="321"/>
      <c r="FV108" s="321"/>
      <c r="FW108" s="321"/>
      <c r="FX108" s="321"/>
      <c r="FY108" s="321"/>
      <c r="FZ108" s="321"/>
      <c r="GA108" s="321"/>
      <c r="GB108" s="321"/>
      <c r="GC108" s="321"/>
      <c r="GD108" s="321"/>
      <c r="GE108" s="321"/>
      <c r="GF108" s="321"/>
      <c r="GG108" s="321"/>
      <c r="GH108" s="321"/>
      <c r="GI108" s="321"/>
      <c r="GJ108" s="321"/>
      <c r="GK108" s="321"/>
      <c r="GL108" s="321"/>
      <c r="GM108" s="321"/>
      <c r="GN108" s="321"/>
      <c r="GO108" s="321"/>
      <c r="GP108" s="321"/>
      <c r="GQ108" s="321"/>
      <c r="GR108" s="321"/>
      <c r="GS108" s="321"/>
      <c r="GT108" s="321"/>
      <c r="GU108" s="321"/>
      <c r="GV108" s="321"/>
      <c r="GW108" s="321"/>
      <c r="GX108" s="321"/>
      <c r="GY108" s="321"/>
      <c r="GZ108" s="321"/>
      <c r="HA108" s="321"/>
      <c r="HB108" s="321"/>
      <c r="HC108" s="321"/>
      <c r="HD108" s="321"/>
      <c r="HE108" s="321"/>
      <c r="HF108" s="321"/>
      <c r="HG108" s="321"/>
      <c r="HH108" s="321"/>
      <c r="HI108" s="321"/>
      <c r="HJ108" s="321"/>
      <c r="HK108" s="321"/>
      <c r="HL108" s="321"/>
      <c r="HM108" s="321"/>
      <c r="HN108" s="321"/>
      <c r="HO108" s="321"/>
      <c r="HP108" s="321"/>
      <c r="HQ108" s="321"/>
      <c r="HR108" s="321"/>
      <c r="HS108" s="321"/>
      <c r="HT108" s="321"/>
      <c r="HU108" s="321"/>
      <c r="HV108" s="321"/>
      <c r="HW108" s="321"/>
      <c r="HX108" s="321"/>
      <c r="HY108" s="321"/>
      <c r="HZ108" s="321"/>
      <c r="IA108" s="321"/>
      <c r="IB108" s="321"/>
      <c r="IC108" s="321"/>
      <c r="ID108" s="321"/>
      <c r="IE108" s="321"/>
      <c r="IF108" s="321"/>
      <c r="IG108" s="321"/>
      <c r="IH108" s="321"/>
      <c r="II108" s="321"/>
      <c r="IJ108" s="321"/>
      <c r="IK108" s="321"/>
      <c r="IL108" s="321"/>
      <c r="IM108" s="321"/>
      <c r="IN108" s="321"/>
      <c r="IO108" s="321"/>
      <c r="IP108" s="321"/>
      <c r="IQ108" s="321"/>
      <c r="IR108" s="321"/>
      <c r="IS108" s="321"/>
      <c r="IT108" s="321"/>
      <c r="IU108" s="321"/>
      <c r="IV108" s="321"/>
    </row>
    <row r="109" spans="1:256" s="546" customFormat="1" ht="18" customHeight="1">
      <c r="A109" s="561">
        <v>100</v>
      </c>
      <c r="B109" s="554"/>
      <c r="C109" s="322"/>
      <c r="D109" s="436" t="s">
        <v>994</v>
      </c>
      <c r="E109" s="330"/>
      <c r="F109" s="550"/>
      <c r="G109" s="331"/>
      <c r="H109" s="762"/>
      <c r="I109" s="758">
        <v>744</v>
      </c>
      <c r="J109" s="547">
        <v>333</v>
      </c>
      <c r="K109" s="547">
        <v>7845</v>
      </c>
      <c r="L109" s="547">
        <v>17149</v>
      </c>
      <c r="M109" s="773"/>
      <c r="N109" s="773"/>
      <c r="O109" s="555">
        <f>SUM(I109:N109)</f>
        <v>26071</v>
      </c>
      <c r="P109" s="551"/>
      <c r="Q109" s="321"/>
      <c r="R109" s="321"/>
      <c r="S109" s="321"/>
      <c r="T109" s="321"/>
      <c r="U109" s="321"/>
      <c r="V109" s="321"/>
      <c r="W109" s="321"/>
      <c r="X109" s="321"/>
      <c r="Y109" s="321"/>
      <c r="Z109" s="321"/>
      <c r="AA109" s="321"/>
      <c r="AB109" s="321"/>
      <c r="AC109" s="321"/>
      <c r="AD109" s="321"/>
      <c r="AE109" s="321"/>
      <c r="AF109" s="321"/>
      <c r="AG109" s="321"/>
      <c r="AH109" s="321"/>
      <c r="AI109" s="321"/>
      <c r="AJ109" s="321"/>
      <c r="AK109" s="321"/>
      <c r="AL109" s="321"/>
      <c r="AM109" s="321"/>
      <c r="AN109" s="321"/>
      <c r="AO109" s="321"/>
      <c r="AP109" s="321"/>
      <c r="AQ109" s="321"/>
      <c r="AR109" s="321"/>
      <c r="AS109" s="321"/>
      <c r="AT109" s="321"/>
      <c r="AU109" s="321"/>
      <c r="AV109" s="321"/>
      <c r="AW109" s="321"/>
      <c r="AX109" s="321"/>
      <c r="AY109" s="321"/>
      <c r="AZ109" s="321"/>
      <c r="BA109" s="321"/>
      <c r="BB109" s="321"/>
      <c r="BC109" s="321"/>
      <c r="BD109" s="321"/>
      <c r="BE109" s="321"/>
      <c r="BF109" s="321"/>
      <c r="BG109" s="321"/>
      <c r="BH109" s="321"/>
      <c r="BI109" s="321"/>
      <c r="BJ109" s="321"/>
      <c r="BK109" s="321"/>
      <c r="BL109" s="321"/>
      <c r="BM109" s="321"/>
      <c r="BN109" s="321"/>
      <c r="BO109" s="321"/>
      <c r="BP109" s="321"/>
      <c r="BQ109" s="321"/>
      <c r="BR109" s="321"/>
      <c r="BS109" s="321"/>
      <c r="BT109" s="321"/>
      <c r="BU109" s="321"/>
      <c r="BV109" s="321"/>
      <c r="BW109" s="321"/>
      <c r="BX109" s="321"/>
      <c r="BY109" s="321"/>
      <c r="BZ109" s="321"/>
      <c r="CA109" s="321"/>
      <c r="CB109" s="321"/>
      <c r="CC109" s="321"/>
      <c r="CD109" s="321"/>
      <c r="CE109" s="321"/>
      <c r="CF109" s="321"/>
      <c r="CG109" s="321"/>
      <c r="CH109" s="321"/>
      <c r="CI109" s="321"/>
      <c r="CJ109" s="321"/>
      <c r="CK109" s="321"/>
      <c r="CL109" s="321"/>
      <c r="CM109" s="321"/>
      <c r="CN109" s="321"/>
      <c r="CO109" s="321"/>
      <c r="CP109" s="321"/>
      <c r="CQ109" s="321"/>
      <c r="CR109" s="321"/>
      <c r="CS109" s="321"/>
      <c r="CT109" s="321"/>
      <c r="CU109" s="321"/>
      <c r="CV109" s="321"/>
      <c r="CW109" s="321"/>
      <c r="CX109" s="321"/>
      <c r="CY109" s="321"/>
      <c r="CZ109" s="321"/>
      <c r="DA109" s="321"/>
      <c r="DB109" s="321"/>
      <c r="DC109" s="321"/>
      <c r="DD109" s="321"/>
      <c r="DE109" s="321"/>
      <c r="DF109" s="321"/>
      <c r="DG109" s="321"/>
      <c r="DH109" s="321"/>
      <c r="DI109" s="321"/>
      <c r="DJ109" s="321"/>
      <c r="DK109" s="321"/>
      <c r="DL109" s="321"/>
      <c r="DM109" s="321"/>
      <c r="DN109" s="321"/>
      <c r="DO109" s="321"/>
      <c r="DP109" s="321"/>
      <c r="DQ109" s="321"/>
      <c r="DR109" s="321"/>
      <c r="DS109" s="321"/>
      <c r="DT109" s="321"/>
      <c r="DU109" s="321"/>
      <c r="DV109" s="321"/>
      <c r="DW109" s="321"/>
      <c r="DX109" s="321"/>
      <c r="DY109" s="321"/>
      <c r="DZ109" s="321"/>
      <c r="EA109" s="321"/>
      <c r="EB109" s="321"/>
      <c r="EC109" s="321"/>
      <c r="ED109" s="321"/>
      <c r="EE109" s="321"/>
      <c r="EF109" s="321"/>
      <c r="EG109" s="321"/>
      <c r="EH109" s="321"/>
      <c r="EI109" s="321"/>
      <c r="EJ109" s="321"/>
      <c r="EK109" s="321"/>
      <c r="EL109" s="321"/>
      <c r="EM109" s="321"/>
      <c r="EN109" s="321"/>
      <c r="EO109" s="321"/>
      <c r="EP109" s="321"/>
      <c r="EQ109" s="321"/>
      <c r="ER109" s="321"/>
      <c r="ES109" s="321"/>
      <c r="ET109" s="321"/>
      <c r="EU109" s="321"/>
      <c r="EV109" s="321"/>
      <c r="EW109" s="321"/>
      <c r="EX109" s="321"/>
      <c r="EY109" s="321"/>
      <c r="EZ109" s="321"/>
      <c r="FA109" s="321"/>
      <c r="FB109" s="321"/>
      <c r="FC109" s="321"/>
      <c r="FD109" s="321"/>
      <c r="FE109" s="321"/>
      <c r="FF109" s="321"/>
      <c r="FG109" s="321"/>
      <c r="FH109" s="321"/>
      <c r="FI109" s="321"/>
      <c r="FJ109" s="321"/>
      <c r="FK109" s="321"/>
      <c r="FL109" s="321"/>
      <c r="FM109" s="321"/>
      <c r="FN109" s="321"/>
      <c r="FO109" s="321"/>
      <c r="FP109" s="321"/>
      <c r="FQ109" s="321"/>
      <c r="FR109" s="321"/>
      <c r="FS109" s="321"/>
      <c r="FT109" s="321"/>
      <c r="FU109" s="321"/>
      <c r="FV109" s="321"/>
      <c r="FW109" s="321"/>
      <c r="FX109" s="321"/>
      <c r="FY109" s="321"/>
      <c r="FZ109" s="321"/>
      <c r="GA109" s="321"/>
      <c r="GB109" s="321"/>
      <c r="GC109" s="321"/>
      <c r="GD109" s="321"/>
      <c r="GE109" s="321"/>
      <c r="GF109" s="321"/>
      <c r="GG109" s="321"/>
      <c r="GH109" s="321"/>
      <c r="GI109" s="321"/>
      <c r="GJ109" s="321"/>
      <c r="GK109" s="321"/>
      <c r="GL109" s="321"/>
      <c r="GM109" s="321"/>
      <c r="GN109" s="321"/>
      <c r="GO109" s="321"/>
      <c r="GP109" s="321"/>
      <c r="GQ109" s="321"/>
      <c r="GR109" s="321"/>
      <c r="GS109" s="321"/>
      <c r="GT109" s="321"/>
      <c r="GU109" s="321"/>
      <c r="GV109" s="321"/>
      <c r="GW109" s="321"/>
      <c r="GX109" s="321"/>
      <c r="GY109" s="321"/>
      <c r="GZ109" s="321"/>
      <c r="HA109" s="321"/>
      <c r="HB109" s="321"/>
      <c r="HC109" s="321"/>
      <c r="HD109" s="321"/>
      <c r="HE109" s="321"/>
      <c r="HF109" s="321"/>
      <c r="HG109" s="321"/>
      <c r="HH109" s="321"/>
      <c r="HI109" s="321"/>
      <c r="HJ109" s="321"/>
      <c r="HK109" s="321"/>
      <c r="HL109" s="321"/>
      <c r="HM109" s="321"/>
      <c r="HN109" s="321"/>
      <c r="HO109" s="321"/>
      <c r="HP109" s="321"/>
      <c r="HQ109" s="321"/>
      <c r="HR109" s="321"/>
      <c r="HS109" s="321"/>
      <c r="HT109" s="321"/>
      <c r="HU109" s="321"/>
      <c r="HV109" s="321"/>
      <c r="HW109" s="321"/>
      <c r="HX109" s="321"/>
      <c r="HY109" s="321"/>
      <c r="HZ109" s="321"/>
      <c r="IA109" s="321"/>
      <c r="IB109" s="321"/>
      <c r="IC109" s="321"/>
      <c r="ID109" s="321"/>
      <c r="IE109" s="321"/>
      <c r="IF109" s="321"/>
      <c r="IG109" s="321"/>
      <c r="IH109" s="321"/>
      <c r="II109" s="321"/>
      <c r="IJ109" s="321"/>
      <c r="IK109" s="321"/>
      <c r="IL109" s="321"/>
      <c r="IM109" s="321"/>
      <c r="IN109" s="321"/>
      <c r="IO109" s="321"/>
      <c r="IP109" s="321"/>
      <c r="IQ109" s="321"/>
      <c r="IR109" s="321"/>
      <c r="IS109" s="321"/>
      <c r="IT109" s="321"/>
      <c r="IU109" s="321"/>
      <c r="IV109" s="321"/>
    </row>
    <row r="110" spans="1:256" s="546" customFormat="1" ht="18" customHeight="1">
      <c r="A110" s="561">
        <v>101</v>
      </c>
      <c r="B110" s="554"/>
      <c r="C110" s="322"/>
      <c r="D110" s="1268" t="s">
        <v>1035</v>
      </c>
      <c r="E110" s="330"/>
      <c r="F110" s="550"/>
      <c r="G110" s="331"/>
      <c r="H110" s="762"/>
      <c r="I110" s="1269">
        <v>744</v>
      </c>
      <c r="J110" s="1266">
        <v>333</v>
      </c>
      <c r="K110" s="1266">
        <v>7845</v>
      </c>
      <c r="L110" s="547">
        <v>0</v>
      </c>
      <c r="M110" s="547"/>
      <c r="N110" s="547"/>
      <c r="O110" s="1175">
        <f>SUM(I110:N110)</f>
        <v>8922</v>
      </c>
      <c r="P110" s="551"/>
      <c r="Q110" s="321"/>
      <c r="R110" s="321"/>
      <c r="S110" s="321"/>
      <c r="T110" s="321"/>
      <c r="U110" s="321"/>
      <c r="V110" s="321"/>
      <c r="W110" s="321"/>
      <c r="X110" s="321"/>
      <c r="Y110" s="321"/>
      <c r="Z110" s="321"/>
      <c r="AA110" s="321"/>
      <c r="AB110" s="321"/>
      <c r="AC110" s="321"/>
      <c r="AD110" s="321"/>
      <c r="AE110" s="321"/>
      <c r="AF110" s="321"/>
      <c r="AG110" s="321"/>
      <c r="AH110" s="321"/>
      <c r="AI110" s="321"/>
      <c r="AJ110" s="321"/>
      <c r="AK110" s="321"/>
      <c r="AL110" s="321"/>
      <c r="AM110" s="321"/>
      <c r="AN110" s="321"/>
      <c r="AO110" s="321"/>
      <c r="AP110" s="321"/>
      <c r="AQ110" s="321"/>
      <c r="AR110" s="321"/>
      <c r="AS110" s="321"/>
      <c r="AT110" s="321"/>
      <c r="AU110" s="321"/>
      <c r="AV110" s="321"/>
      <c r="AW110" s="321"/>
      <c r="AX110" s="321"/>
      <c r="AY110" s="321"/>
      <c r="AZ110" s="321"/>
      <c r="BA110" s="321"/>
      <c r="BB110" s="321"/>
      <c r="BC110" s="321"/>
      <c r="BD110" s="321"/>
      <c r="BE110" s="321"/>
      <c r="BF110" s="321"/>
      <c r="BG110" s="321"/>
      <c r="BH110" s="321"/>
      <c r="BI110" s="321"/>
      <c r="BJ110" s="321"/>
      <c r="BK110" s="321"/>
      <c r="BL110" s="321"/>
      <c r="BM110" s="321"/>
      <c r="BN110" s="321"/>
      <c r="BO110" s="321"/>
      <c r="BP110" s="321"/>
      <c r="BQ110" s="321"/>
      <c r="BR110" s="321"/>
      <c r="BS110" s="321"/>
      <c r="BT110" s="321"/>
      <c r="BU110" s="321"/>
      <c r="BV110" s="321"/>
      <c r="BW110" s="321"/>
      <c r="BX110" s="321"/>
      <c r="BY110" s="321"/>
      <c r="BZ110" s="321"/>
      <c r="CA110" s="321"/>
      <c r="CB110" s="321"/>
      <c r="CC110" s="321"/>
      <c r="CD110" s="321"/>
      <c r="CE110" s="321"/>
      <c r="CF110" s="321"/>
      <c r="CG110" s="321"/>
      <c r="CH110" s="321"/>
      <c r="CI110" s="321"/>
      <c r="CJ110" s="321"/>
      <c r="CK110" s="321"/>
      <c r="CL110" s="321"/>
      <c r="CM110" s="321"/>
      <c r="CN110" s="321"/>
      <c r="CO110" s="321"/>
      <c r="CP110" s="321"/>
      <c r="CQ110" s="321"/>
      <c r="CR110" s="321"/>
      <c r="CS110" s="321"/>
      <c r="CT110" s="321"/>
      <c r="CU110" s="321"/>
      <c r="CV110" s="321"/>
      <c r="CW110" s="321"/>
      <c r="CX110" s="321"/>
      <c r="CY110" s="321"/>
      <c r="CZ110" s="321"/>
      <c r="DA110" s="321"/>
      <c r="DB110" s="321"/>
      <c r="DC110" s="321"/>
      <c r="DD110" s="321"/>
      <c r="DE110" s="321"/>
      <c r="DF110" s="321"/>
      <c r="DG110" s="321"/>
      <c r="DH110" s="321"/>
      <c r="DI110" s="321"/>
      <c r="DJ110" s="321"/>
      <c r="DK110" s="321"/>
      <c r="DL110" s="321"/>
      <c r="DM110" s="321"/>
      <c r="DN110" s="321"/>
      <c r="DO110" s="321"/>
      <c r="DP110" s="321"/>
      <c r="DQ110" s="321"/>
      <c r="DR110" s="321"/>
      <c r="DS110" s="321"/>
      <c r="DT110" s="321"/>
      <c r="DU110" s="321"/>
      <c r="DV110" s="321"/>
      <c r="DW110" s="321"/>
      <c r="DX110" s="321"/>
      <c r="DY110" s="321"/>
      <c r="DZ110" s="321"/>
      <c r="EA110" s="321"/>
      <c r="EB110" s="321"/>
      <c r="EC110" s="321"/>
      <c r="ED110" s="321"/>
      <c r="EE110" s="321"/>
      <c r="EF110" s="321"/>
      <c r="EG110" s="321"/>
      <c r="EH110" s="321"/>
      <c r="EI110" s="321"/>
      <c r="EJ110" s="321"/>
      <c r="EK110" s="321"/>
      <c r="EL110" s="321"/>
      <c r="EM110" s="321"/>
      <c r="EN110" s="321"/>
      <c r="EO110" s="321"/>
      <c r="EP110" s="321"/>
      <c r="EQ110" s="321"/>
      <c r="ER110" s="321"/>
      <c r="ES110" s="321"/>
      <c r="ET110" s="321"/>
      <c r="EU110" s="321"/>
      <c r="EV110" s="321"/>
      <c r="EW110" s="321"/>
      <c r="EX110" s="321"/>
      <c r="EY110" s="321"/>
      <c r="EZ110" s="321"/>
      <c r="FA110" s="321"/>
      <c r="FB110" s="321"/>
      <c r="FC110" s="321"/>
      <c r="FD110" s="321"/>
      <c r="FE110" s="321"/>
      <c r="FF110" s="321"/>
      <c r="FG110" s="321"/>
      <c r="FH110" s="321"/>
      <c r="FI110" s="321"/>
      <c r="FJ110" s="321"/>
      <c r="FK110" s="321"/>
      <c r="FL110" s="321"/>
      <c r="FM110" s="321"/>
      <c r="FN110" s="321"/>
      <c r="FO110" s="321"/>
      <c r="FP110" s="321"/>
      <c r="FQ110" s="321"/>
      <c r="FR110" s="321"/>
      <c r="FS110" s="321"/>
      <c r="FT110" s="321"/>
      <c r="FU110" s="321"/>
      <c r="FV110" s="321"/>
      <c r="FW110" s="321"/>
      <c r="FX110" s="321"/>
      <c r="FY110" s="321"/>
      <c r="FZ110" s="321"/>
      <c r="GA110" s="321"/>
      <c r="GB110" s="321"/>
      <c r="GC110" s="321"/>
      <c r="GD110" s="321"/>
      <c r="GE110" s="321"/>
      <c r="GF110" s="321"/>
      <c r="GG110" s="321"/>
      <c r="GH110" s="321"/>
      <c r="GI110" s="321"/>
      <c r="GJ110" s="321"/>
      <c r="GK110" s="321"/>
      <c r="GL110" s="321"/>
      <c r="GM110" s="321"/>
      <c r="GN110" s="321"/>
      <c r="GO110" s="321"/>
      <c r="GP110" s="321"/>
      <c r="GQ110" s="321"/>
      <c r="GR110" s="321"/>
      <c r="GS110" s="321"/>
      <c r="GT110" s="321"/>
      <c r="GU110" s="321"/>
      <c r="GV110" s="321"/>
      <c r="GW110" s="321"/>
      <c r="GX110" s="321"/>
      <c r="GY110" s="321"/>
      <c r="GZ110" s="321"/>
      <c r="HA110" s="321"/>
      <c r="HB110" s="321"/>
      <c r="HC110" s="321"/>
      <c r="HD110" s="321"/>
      <c r="HE110" s="321"/>
      <c r="HF110" s="321"/>
      <c r="HG110" s="321"/>
      <c r="HH110" s="321"/>
      <c r="HI110" s="321"/>
      <c r="HJ110" s="321"/>
      <c r="HK110" s="321"/>
      <c r="HL110" s="321"/>
      <c r="HM110" s="321"/>
      <c r="HN110" s="321"/>
      <c r="HO110" s="321"/>
      <c r="HP110" s="321"/>
      <c r="HQ110" s="321"/>
      <c r="HR110" s="321"/>
      <c r="HS110" s="321"/>
      <c r="HT110" s="321"/>
      <c r="HU110" s="321"/>
      <c r="HV110" s="321"/>
      <c r="HW110" s="321"/>
      <c r="HX110" s="321"/>
      <c r="HY110" s="321"/>
      <c r="HZ110" s="321"/>
      <c r="IA110" s="321"/>
      <c r="IB110" s="321"/>
      <c r="IC110" s="321"/>
      <c r="ID110" s="321"/>
      <c r="IE110" s="321"/>
      <c r="IF110" s="321"/>
      <c r="IG110" s="321"/>
      <c r="IH110" s="321"/>
      <c r="II110" s="321"/>
      <c r="IJ110" s="321"/>
      <c r="IK110" s="321"/>
      <c r="IL110" s="321"/>
      <c r="IM110" s="321"/>
      <c r="IN110" s="321"/>
      <c r="IO110" s="321"/>
      <c r="IP110" s="321"/>
      <c r="IQ110" s="321"/>
      <c r="IR110" s="321"/>
      <c r="IS110" s="321"/>
      <c r="IT110" s="321"/>
      <c r="IU110" s="321"/>
      <c r="IV110" s="321"/>
    </row>
    <row r="111" spans="1:16" ht="22.5" customHeight="1">
      <c r="A111" s="561">
        <v>102</v>
      </c>
      <c r="B111" s="455"/>
      <c r="C111" s="361">
        <v>26</v>
      </c>
      <c r="D111" s="549" t="s">
        <v>601</v>
      </c>
      <c r="E111" s="330"/>
      <c r="F111" s="550"/>
      <c r="G111" s="331"/>
      <c r="H111" s="762" t="s">
        <v>24</v>
      </c>
      <c r="I111" s="777"/>
      <c r="J111" s="773"/>
      <c r="K111" s="773"/>
      <c r="L111" s="773"/>
      <c r="M111" s="773"/>
      <c r="N111" s="773"/>
      <c r="O111" s="745"/>
      <c r="P111" s="551"/>
    </row>
    <row r="112" spans="1:256" s="546" customFormat="1" ht="18" customHeight="1">
      <c r="A112" s="561">
        <v>103</v>
      </c>
      <c r="B112" s="554"/>
      <c r="C112" s="322"/>
      <c r="D112" s="755" t="s">
        <v>303</v>
      </c>
      <c r="E112" s="330">
        <f>F112+G112+O113+P112</f>
        <v>9039</v>
      </c>
      <c r="F112" s="550">
        <v>7830</v>
      </c>
      <c r="G112" s="331">
        <v>186</v>
      </c>
      <c r="H112" s="762"/>
      <c r="I112" s="778"/>
      <c r="J112" s="772"/>
      <c r="K112" s="772"/>
      <c r="L112" s="772">
        <v>1023</v>
      </c>
      <c r="M112" s="772"/>
      <c r="N112" s="772"/>
      <c r="O112" s="745">
        <f>SUM(I112:N112)</f>
        <v>1023</v>
      </c>
      <c r="P112" s="551"/>
      <c r="Q112" s="321"/>
      <c r="R112" s="321"/>
      <c r="S112" s="321"/>
      <c r="T112" s="321"/>
      <c r="U112" s="321"/>
      <c r="V112" s="321"/>
      <c r="W112" s="321"/>
      <c r="X112" s="321"/>
      <c r="Y112" s="321"/>
      <c r="Z112" s="321"/>
      <c r="AA112" s="321"/>
      <c r="AB112" s="321"/>
      <c r="AC112" s="321"/>
      <c r="AD112" s="321"/>
      <c r="AE112" s="321"/>
      <c r="AF112" s="321"/>
      <c r="AG112" s="321"/>
      <c r="AH112" s="321"/>
      <c r="AI112" s="321"/>
      <c r="AJ112" s="321"/>
      <c r="AK112" s="321"/>
      <c r="AL112" s="321"/>
      <c r="AM112" s="321"/>
      <c r="AN112" s="321"/>
      <c r="AO112" s="321"/>
      <c r="AP112" s="321"/>
      <c r="AQ112" s="321"/>
      <c r="AR112" s="321"/>
      <c r="AS112" s="321"/>
      <c r="AT112" s="321"/>
      <c r="AU112" s="321"/>
      <c r="AV112" s="321"/>
      <c r="AW112" s="321"/>
      <c r="AX112" s="321"/>
      <c r="AY112" s="321"/>
      <c r="AZ112" s="321"/>
      <c r="BA112" s="321"/>
      <c r="BB112" s="321"/>
      <c r="BC112" s="321"/>
      <c r="BD112" s="321"/>
      <c r="BE112" s="321"/>
      <c r="BF112" s="321"/>
      <c r="BG112" s="321"/>
      <c r="BH112" s="321"/>
      <c r="BI112" s="321"/>
      <c r="BJ112" s="321"/>
      <c r="BK112" s="321"/>
      <c r="BL112" s="321"/>
      <c r="BM112" s="321"/>
      <c r="BN112" s="321"/>
      <c r="BO112" s="321"/>
      <c r="BP112" s="321"/>
      <c r="BQ112" s="321"/>
      <c r="BR112" s="321"/>
      <c r="BS112" s="321"/>
      <c r="BT112" s="321"/>
      <c r="BU112" s="321"/>
      <c r="BV112" s="321"/>
      <c r="BW112" s="321"/>
      <c r="BX112" s="321"/>
      <c r="BY112" s="321"/>
      <c r="BZ112" s="321"/>
      <c r="CA112" s="321"/>
      <c r="CB112" s="321"/>
      <c r="CC112" s="321"/>
      <c r="CD112" s="321"/>
      <c r="CE112" s="321"/>
      <c r="CF112" s="321"/>
      <c r="CG112" s="321"/>
      <c r="CH112" s="321"/>
      <c r="CI112" s="321"/>
      <c r="CJ112" s="321"/>
      <c r="CK112" s="321"/>
      <c r="CL112" s="321"/>
      <c r="CM112" s="321"/>
      <c r="CN112" s="321"/>
      <c r="CO112" s="321"/>
      <c r="CP112" s="321"/>
      <c r="CQ112" s="321"/>
      <c r="CR112" s="321"/>
      <c r="CS112" s="321"/>
      <c r="CT112" s="321"/>
      <c r="CU112" s="321"/>
      <c r="CV112" s="321"/>
      <c r="CW112" s="321"/>
      <c r="CX112" s="321"/>
      <c r="CY112" s="321"/>
      <c r="CZ112" s="321"/>
      <c r="DA112" s="321"/>
      <c r="DB112" s="321"/>
      <c r="DC112" s="321"/>
      <c r="DD112" s="321"/>
      <c r="DE112" s="321"/>
      <c r="DF112" s="321"/>
      <c r="DG112" s="321"/>
      <c r="DH112" s="321"/>
      <c r="DI112" s="321"/>
      <c r="DJ112" s="321"/>
      <c r="DK112" s="321"/>
      <c r="DL112" s="321"/>
      <c r="DM112" s="321"/>
      <c r="DN112" s="321"/>
      <c r="DO112" s="321"/>
      <c r="DP112" s="321"/>
      <c r="DQ112" s="321"/>
      <c r="DR112" s="321"/>
      <c r="DS112" s="321"/>
      <c r="DT112" s="321"/>
      <c r="DU112" s="321"/>
      <c r="DV112" s="321"/>
      <c r="DW112" s="321"/>
      <c r="DX112" s="321"/>
      <c r="DY112" s="321"/>
      <c r="DZ112" s="321"/>
      <c r="EA112" s="321"/>
      <c r="EB112" s="321"/>
      <c r="EC112" s="321"/>
      <c r="ED112" s="321"/>
      <c r="EE112" s="321"/>
      <c r="EF112" s="321"/>
      <c r="EG112" s="321"/>
      <c r="EH112" s="321"/>
      <c r="EI112" s="321"/>
      <c r="EJ112" s="321"/>
      <c r="EK112" s="321"/>
      <c r="EL112" s="321"/>
      <c r="EM112" s="321"/>
      <c r="EN112" s="321"/>
      <c r="EO112" s="321"/>
      <c r="EP112" s="321"/>
      <c r="EQ112" s="321"/>
      <c r="ER112" s="321"/>
      <c r="ES112" s="321"/>
      <c r="ET112" s="321"/>
      <c r="EU112" s="321"/>
      <c r="EV112" s="321"/>
      <c r="EW112" s="321"/>
      <c r="EX112" s="321"/>
      <c r="EY112" s="321"/>
      <c r="EZ112" s="321"/>
      <c r="FA112" s="321"/>
      <c r="FB112" s="321"/>
      <c r="FC112" s="321"/>
      <c r="FD112" s="321"/>
      <c r="FE112" s="321"/>
      <c r="FF112" s="321"/>
      <c r="FG112" s="321"/>
      <c r="FH112" s="321"/>
      <c r="FI112" s="321"/>
      <c r="FJ112" s="321"/>
      <c r="FK112" s="321"/>
      <c r="FL112" s="321"/>
      <c r="FM112" s="321"/>
      <c r="FN112" s="321"/>
      <c r="FO112" s="321"/>
      <c r="FP112" s="321"/>
      <c r="FQ112" s="321"/>
      <c r="FR112" s="321"/>
      <c r="FS112" s="321"/>
      <c r="FT112" s="321"/>
      <c r="FU112" s="321"/>
      <c r="FV112" s="321"/>
      <c r="FW112" s="321"/>
      <c r="FX112" s="321"/>
      <c r="FY112" s="321"/>
      <c r="FZ112" s="321"/>
      <c r="GA112" s="321"/>
      <c r="GB112" s="321"/>
      <c r="GC112" s="321"/>
      <c r="GD112" s="321"/>
      <c r="GE112" s="321"/>
      <c r="GF112" s="321"/>
      <c r="GG112" s="321"/>
      <c r="GH112" s="321"/>
      <c r="GI112" s="321"/>
      <c r="GJ112" s="321"/>
      <c r="GK112" s="321"/>
      <c r="GL112" s="321"/>
      <c r="GM112" s="321"/>
      <c r="GN112" s="321"/>
      <c r="GO112" s="321"/>
      <c r="GP112" s="321"/>
      <c r="GQ112" s="321"/>
      <c r="GR112" s="321"/>
      <c r="GS112" s="321"/>
      <c r="GT112" s="321"/>
      <c r="GU112" s="321"/>
      <c r="GV112" s="321"/>
      <c r="GW112" s="321"/>
      <c r="GX112" s="321"/>
      <c r="GY112" s="321"/>
      <c r="GZ112" s="321"/>
      <c r="HA112" s="321"/>
      <c r="HB112" s="321"/>
      <c r="HC112" s="321"/>
      <c r="HD112" s="321"/>
      <c r="HE112" s="321"/>
      <c r="HF112" s="321"/>
      <c r="HG112" s="321"/>
      <c r="HH112" s="321"/>
      <c r="HI112" s="321"/>
      <c r="HJ112" s="321"/>
      <c r="HK112" s="321"/>
      <c r="HL112" s="321"/>
      <c r="HM112" s="321"/>
      <c r="HN112" s="321"/>
      <c r="HO112" s="321"/>
      <c r="HP112" s="321"/>
      <c r="HQ112" s="321"/>
      <c r="HR112" s="321"/>
      <c r="HS112" s="321"/>
      <c r="HT112" s="321"/>
      <c r="HU112" s="321"/>
      <c r="HV112" s="321"/>
      <c r="HW112" s="321"/>
      <c r="HX112" s="321"/>
      <c r="HY112" s="321"/>
      <c r="HZ112" s="321"/>
      <c r="IA112" s="321"/>
      <c r="IB112" s="321"/>
      <c r="IC112" s="321"/>
      <c r="ID112" s="321"/>
      <c r="IE112" s="321"/>
      <c r="IF112" s="321"/>
      <c r="IG112" s="321"/>
      <c r="IH112" s="321"/>
      <c r="II112" s="321"/>
      <c r="IJ112" s="321"/>
      <c r="IK112" s="321"/>
      <c r="IL112" s="321"/>
      <c r="IM112" s="321"/>
      <c r="IN112" s="321"/>
      <c r="IO112" s="321"/>
      <c r="IP112" s="321"/>
      <c r="IQ112" s="321"/>
      <c r="IR112" s="321"/>
      <c r="IS112" s="321"/>
      <c r="IT112" s="321"/>
      <c r="IU112" s="321"/>
      <c r="IV112" s="321"/>
    </row>
    <row r="113" spans="1:256" s="546" customFormat="1" ht="18" customHeight="1">
      <c r="A113" s="561">
        <v>104</v>
      </c>
      <c r="B113" s="554"/>
      <c r="C113" s="322"/>
      <c r="D113" s="436" t="s">
        <v>994</v>
      </c>
      <c r="E113" s="330"/>
      <c r="F113" s="550"/>
      <c r="G113" s="331"/>
      <c r="H113" s="762"/>
      <c r="I113" s="778"/>
      <c r="J113" s="772"/>
      <c r="K113" s="772"/>
      <c r="L113" s="330">
        <v>1023</v>
      </c>
      <c r="M113" s="772"/>
      <c r="N113" s="772"/>
      <c r="O113" s="555">
        <f>SUM(I113:N113)</f>
        <v>1023</v>
      </c>
      <c r="P113" s="551"/>
      <c r="Q113" s="321"/>
      <c r="R113" s="321"/>
      <c r="S113" s="321"/>
      <c r="T113" s="321"/>
      <c r="U113" s="321"/>
      <c r="V113" s="321"/>
      <c r="W113" s="321"/>
      <c r="X113" s="321"/>
      <c r="Y113" s="321"/>
      <c r="Z113" s="321"/>
      <c r="AA113" s="321"/>
      <c r="AB113" s="321"/>
      <c r="AC113" s="321"/>
      <c r="AD113" s="321"/>
      <c r="AE113" s="321"/>
      <c r="AF113" s="321"/>
      <c r="AG113" s="321"/>
      <c r="AH113" s="321"/>
      <c r="AI113" s="321"/>
      <c r="AJ113" s="321"/>
      <c r="AK113" s="321"/>
      <c r="AL113" s="321"/>
      <c r="AM113" s="321"/>
      <c r="AN113" s="321"/>
      <c r="AO113" s="321"/>
      <c r="AP113" s="321"/>
      <c r="AQ113" s="321"/>
      <c r="AR113" s="321"/>
      <c r="AS113" s="321"/>
      <c r="AT113" s="321"/>
      <c r="AU113" s="321"/>
      <c r="AV113" s="321"/>
      <c r="AW113" s="321"/>
      <c r="AX113" s="321"/>
      <c r="AY113" s="321"/>
      <c r="AZ113" s="321"/>
      <c r="BA113" s="321"/>
      <c r="BB113" s="321"/>
      <c r="BC113" s="321"/>
      <c r="BD113" s="321"/>
      <c r="BE113" s="321"/>
      <c r="BF113" s="321"/>
      <c r="BG113" s="321"/>
      <c r="BH113" s="321"/>
      <c r="BI113" s="321"/>
      <c r="BJ113" s="321"/>
      <c r="BK113" s="321"/>
      <c r="BL113" s="321"/>
      <c r="BM113" s="321"/>
      <c r="BN113" s="321"/>
      <c r="BO113" s="321"/>
      <c r="BP113" s="321"/>
      <c r="BQ113" s="321"/>
      <c r="BR113" s="321"/>
      <c r="BS113" s="321"/>
      <c r="BT113" s="321"/>
      <c r="BU113" s="321"/>
      <c r="BV113" s="321"/>
      <c r="BW113" s="321"/>
      <c r="BX113" s="321"/>
      <c r="BY113" s="321"/>
      <c r="BZ113" s="321"/>
      <c r="CA113" s="321"/>
      <c r="CB113" s="321"/>
      <c r="CC113" s="321"/>
      <c r="CD113" s="321"/>
      <c r="CE113" s="321"/>
      <c r="CF113" s="321"/>
      <c r="CG113" s="321"/>
      <c r="CH113" s="321"/>
      <c r="CI113" s="321"/>
      <c r="CJ113" s="321"/>
      <c r="CK113" s="321"/>
      <c r="CL113" s="321"/>
      <c r="CM113" s="321"/>
      <c r="CN113" s="321"/>
      <c r="CO113" s="321"/>
      <c r="CP113" s="321"/>
      <c r="CQ113" s="321"/>
      <c r="CR113" s="321"/>
      <c r="CS113" s="321"/>
      <c r="CT113" s="321"/>
      <c r="CU113" s="321"/>
      <c r="CV113" s="321"/>
      <c r="CW113" s="321"/>
      <c r="CX113" s="321"/>
      <c r="CY113" s="321"/>
      <c r="CZ113" s="321"/>
      <c r="DA113" s="321"/>
      <c r="DB113" s="321"/>
      <c r="DC113" s="321"/>
      <c r="DD113" s="321"/>
      <c r="DE113" s="321"/>
      <c r="DF113" s="321"/>
      <c r="DG113" s="321"/>
      <c r="DH113" s="321"/>
      <c r="DI113" s="321"/>
      <c r="DJ113" s="321"/>
      <c r="DK113" s="321"/>
      <c r="DL113" s="321"/>
      <c r="DM113" s="321"/>
      <c r="DN113" s="321"/>
      <c r="DO113" s="321"/>
      <c r="DP113" s="321"/>
      <c r="DQ113" s="321"/>
      <c r="DR113" s="321"/>
      <c r="DS113" s="321"/>
      <c r="DT113" s="321"/>
      <c r="DU113" s="321"/>
      <c r="DV113" s="321"/>
      <c r="DW113" s="321"/>
      <c r="DX113" s="321"/>
      <c r="DY113" s="321"/>
      <c r="DZ113" s="321"/>
      <c r="EA113" s="321"/>
      <c r="EB113" s="321"/>
      <c r="EC113" s="321"/>
      <c r="ED113" s="321"/>
      <c r="EE113" s="321"/>
      <c r="EF113" s="321"/>
      <c r="EG113" s="321"/>
      <c r="EH113" s="321"/>
      <c r="EI113" s="321"/>
      <c r="EJ113" s="321"/>
      <c r="EK113" s="321"/>
      <c r="EL113" s="321"/>
      <c r="EM113" s="321"/>
      <c r="EN113" s="321"/>
      <c r="EO113" s="321"/>
      <c r="EP113" s="321"/>
      <c r="EQ113" s="321"/>
      <c r="ER113" s="321"/>
      <c r="ES113" s="321"/>
      <c r="ET113" s="321"/>
      <c r="EU113" s="321"/>
      <c r="EV113" s="321"/>
      <c r="EW113" s="321"/>
      <c r="EX113" s="321"/>
      <c r="EY113" s="321"/>
      <c r="EZ113" s="321"/>
      <c r="FA113" s="321"/>
      <c r="FB113" s="321"/>
      <c r="FC113" s="321"/>
      <c r="FD113" s="321"/>
      <c r="FE113" s="321"/>
      <c r="FF113" s="321"/>
      <c r="FG113" s="321"/>
      <c r="FH113" s="321"/>
      <c r="FI113" s="321"/>
      <c r="FJ113" s="321"/>
      <c r="FK113" s="321"/>
      <c r="FL113" s="321"/>
      <c r="FM113" s="321"/>
      <c r="FN113" s="321"/>
      <c r="FO113" s="321"/>
      <c r="FP113" s="321"/>
      <c r="FQ113" s="321"/>
      <c r="FR113" s="321"/>
      <c r="FS113" s="321"/>
      <c r="FT113" s="321"/>
      <c r="FU113" s="321"/>
      <c r="FV113" s="321"/>
      <c r="FW113" s="321"/>
      <c r="FX113" s="321"/>
      <c r="FY113" s="321"/>
      <c r="FZ113" s="321"/>
      <c r="GA113" s="321"/>
      <c r="GB113" s="321"/>
      <c r="GC113" s="321"/>
      <c r="GD113" s="321"/>
      <c r="GE113" s="321"/>
      <c r="GF113" s="321"/>
      <c r="GG113" s="321"/>
      <c r="GH113" s="321"/>
      <c r="GI113" s="321"/>
      <c r="GJ113" s="321"/>
      <c r="GK113" s="321"/>
      <c r="GL113" s="321"/>
      <c r="GM113" s="321"/>
      <c r="GN113" s="321"/>
      <c r="GO113" s="321"/>
      <c r="GP113" s="321"/>
      <c r="GQ113" s="321"/>
      <c r="GR113" s="321"/>
      <c r="GS113" s="321"/>
      <c r="GT113" s="321"/>
      <c r="GU113" s="321"/>
      <c r="GV113" s="321"/>
      <c r="GW113" s="321"/>
      <c r="GX113" s="321"/>
      <c r="GY113" s="321"/>
      <c r="GZ113" s="321"/>
      <c r="HA113" s="321"/>
      <c r="HB113" s="321"/>
      <c r="HC113" s="321"/>
      <c r="HD113" s="321"/>
      <c r="HE113" s="321"/>
      <c r="HF113" s="321"/>
      <c r="HG113" s="321"/>
      <c r="HH113" s="321"/>
      <c r="HI113" s="321"/>
      <c r="HJ113" s="321"/>
      <c r="HK113" s="321"/>
      <c r="HL113" s="321"/>
      <c r="HM113" s="321"/>
      <c r="HN113" s="321"/>
      <c r="HO113" s="321"/>
      <c r="HP113" s="321"/>
      <c r="HQ113" s="321"/>
      <c r="HR113" s="321"/>
      <c r="HS113" s="321"/>
      <c r="HT113" s="321"/>
      <c r="HU113" s="321"/>
      <c r="HV113" s="321"/>
      <c r="HW113" s="321"/>
      <c r="HX113" s="321"/>
      <c r="HY113" s="321"/>
      <c r="HZ113" s="321"/>
      <c r="IA113" s="321"/>
      <c r="IB113" s="321"/>
      <c r="IC113" s="321"/>
      <c r="ID113" s="321"/>
      <c r="IE113" s="321"/>
      <c r="IF113" s="321"/>
      <c r="IG113" s="321"/>
      <c r="IH113" s="321"/>
      <c r="II113" s="321"/>
      <c r="IJ113" s="321"/>
      <c r="IK113" s="321"/>
      <c r="IL113" s="321"/>
      <c r="IM113" s="321"/>
      <c r="IN113" s="321"/>
      <c r="IO113" s="321"/>
      <c r="IP113" s="321"/>
      <c r="IQ113" s="321"/>
      <c r="IR113" s="321"/>
      <c r="IS113" s="321"/>
      <c r="IT113" s="321"/>
      <c r="IU113" s="321"/>
      <c r="IV113" s="321"/>
    </row>
    <row r="114" spans="1:256" s="546" customFormat="1" ht="18" customHeight="1">
      <c r="A114" s="561">
        <v>105</v>
      </c>
      <c r="B114" s="554"/>
      <c r="C114" s="322"/>
      <c r="D114" s="987" t="s">
        <v>1036</v>
      </c>
      <c r="E114" s="330"/>
      <c r="F114" s="550"/>
      <c r="G114" s="331"/>
      <c r="H114" s="762"/>
      <c r="I114" s="760"/>
      <c r="J114" s="330"/>
      <c r="K114" s="330"/>
      <c r="L114" s="1151">
        <v>878</v>
      </c>
      <c r="M114" s="330"/>
      <c r="N114" s="330"/>
      <c r="O114" s="1175">
        <f>SUM(I114:N114)</f>
        <v>878</v>
      </c>
      <c r="P114" s="551"/>
      <c r="Q114" s="321"/>
      <c r="R114" s="321"/>
      <c r="S114" s="321"/>
      <c r="T114" s="321"/>
      <c r="U114" s="321"/>
      <c r="V114" s="321"/>
      <c r="W114" s="321"/>
      <c r="X114" s="321"/>
      <c r="Y114" s="321"/>
      <c r="Z114" s="321"/>
      <c r="AA114" s="321"/>
      <c r="AB114" s="321"/>
      <c r="AC114" s="321"/>
      <c r="AD114" s="321"/>
      <c r="AE114" s="321"/>
      <c r="AF114" s="321"/>
      <c r="AG114" s="321"/>
      <c r="AH114" s="321"/>
      <c r="AI114" s="321"/>
      <c r="AJ114" s="321"/>
      <c r="AK114" s="321"/>
      <c r="AL114" s="321"/>
      <c r="AM114" s="321"/>
      <c r="AN114" s="321"/>
      <c r="AO114" s="321"/>
      <c r="AP114" s="321"/>
      <c r="AQ114" s="321"/>
      <c r="AR114" s="321"/>
      <c r="AS114" s="321"/>
      <c r="AT114" s="321"/>
      <c r="AU114" s="321"/>
      <c r="AV114" s="321"/>
      <c r="AW114" s="321"/>
      <c r="AX114" s="321"/>
      <c r="AY114" s="321"/>
      <c r="AZ114" s="321"/>
      <c r="BA114" s="321"/>
      <c r="BB114" s="321"/>
      <c r="BC114" s="321"/>
      <c r="BD114" s="321"/>
      <c r="BE114" s="321"/>
      <c r="BF114" s="321"/>
      <c r="BG114" s="321"/>
      <c r="BH114" s="321"/>
      <c r="BI114" s="321"/>
      <c r="BJ114" s="321"/>
      <c r="BK114" s="321"/>
      <c r="BL114" s="321"/>
      <c r="BM114" s="321"/>
      <c r="BN114" s="321"/>
      <c r="BO114" s="321"/>
      <c r="BP114" s="321"/>
      <c r="BQ114" s="321"/>
      <c r="BR114" s="321"/>
      <c r="BS114" s="321"/>
      <c r="BT114" s="321"/>
      <c r="BU114" s="321"/>
      <c r="BV114" s="321"/>
      <c r="BW114" s="321"/>
      <c r="BX114" s="321"/>
      <c r="BY114" s="321"/>
      <c r="BZ114" s="321"/>
      <c r="CA114" s="321"/>
      <c r="CB114" s="321"/>
      <c r="CC114" s="321"/>
      <c r="CD114" s="321"/>
      <c r="CE114" s="321"/>
      <c r="CF114" s="321"/>
      <c r="CG114" s="321"/>
      <c r="CH114" s="321"/>
      <c r="CI114" s="321"/>
      <c r="CJ114" s="321"/>
      <c r="CK114" s="321"/>
      <c r="CL114" s="321"/>
      <c r="CM114" s="321"/>
      <c r="CN114" s="321"/>
      <c r="CO114" s="321"/>
      <c r="CP114" s="321"/>
      <c r="CQ114" s="321"/>
      <c r="CR114" s="321"/>
      <c r="CS114" s="321"/>
      <c r="CT114" s="321"/>
      <c r="CU114" s="321"/>
      <c r="CV114" s="321"/>
      <c r="CW114" s="321"/>
      <c r="CX114" s="321"/>
      <c r="CY114" s="321"/>
      <c r="CZ114" s="321"/>
      <c r="DA114" s="321"/>
      <c r="DB114" s="321"/>
      <c r="DC114" s="321"/>
      <c r="DD114" s="321"/>
      <c r="DE114" s="321"/>
      <c r="DF114" s="321"/>
      <c r="DG114" s="321"/>
      <c r="DH114" s="321"/>
      <c r="DI114" s="321"/>
      <c r="DJ114" s="321"/>
      <c r="DK114" s="321"/>
      <c r="DL114" s="321"/>
      <c r="DM114" s="321"/>
      <c r="DN114" s="321"/>
      <c r="DO114" s="321"/>
      <c r="DP114" s="321"/>
      <c r="DQ114" s="321"/>
      <c r="DR114" s="321"/>
      <c r="DS114" s="321"/>
      <c r="DT114" s="321"/>
      <c r="DU114" s="321"/>
      <c r="DV114" s="321"/>
      <c r="DW114" s="321"/>
      <c r="DX114" s="321"/>
      <c r="DY114" s="321"/>
      <c r="DZ114" s="321"/>
      <c r="EA114" s="321"/>
      <c r="EB114" s="321"/>
      <c r="EC114" s="321"/>
      <c r="ED114" s="321"/>
      <c r="EE114" s="321"/>
      <c r="EF114" s="321"/>
      <c r="EG114" s="321"/>
      <c r="EH114" s="321"/>
      <c r="EI114" s="321"/>
      <c r="EJ114" s="321"/>
      <c r="EK114" s="321"/>
      <c r="EL114" s="321"/>
      <c r="EM114" s="321"/>
      <c r="EN114" s="321"/>
      <c r="EO114" s="321"/>
      <c r="EP114" s="321"/>
      <c r="EQ114" s="321"/>
      <c r="ER114" s="321"/>
      <c r="ES114" s="321"/>
      <c r="ET114" s="321"/>
      <c r="EU114" s="321"/>
      <c r="EV114" s="321"/>
      <c r="EW114" s="321"/>
      <c r="EX114" s="321"/>
      <c r="EY114" s="321"/>
      <c r="EZ114" s="321"/>
      <c r="FA114" s="321"/>
      <c r="FB114" s="321"/>
      <c r="FC114" s="321"/>
      <c r="FD114" s="321"/>
      <c r="FE114" s="321"/>
      <c r="FF114" s="321"/>
      <c r="FG114" s="321"/>
      <c r="FH114" s="321"/>
      <c r="FI114" s="321"/>
      <c r="FJ114" s="321"/>
      <c r="FK114" s="321"/>
      <c r="FL114" s="321"/>
      <c r="FM114" s="321"/>
      <c r="FN114" s="321"/>
      <c r="FO114" s="321"/>
      <c r="FP114" s="321"/>
      <c r="FQ114" s="321"/>
      <c r="FR114" s="321"/>
      <c r="FS114" s="321"/>
      <c r="FT114" s="321"/>
      <c r="FU114" s="321"/>
      <c r="FV114" s="321"/>
      <c r="FW114" s="321"/>
      <c r="FX114" s="321"/>
      <c r="FY114" s="321"/>
      <c r="FZ114" s="321"/>
      <c r="GA114" s="321"/>
      <c r="GB114" s="321"/>
      <c r="GC114" s="321"/>
      <c r="GD114" s="321"/>
      <c r="GE114" s="321"/>
      <c r="GF114" s="321"/>
      <c r="GG114" s="321"/>
      <c r="GH114" s="321"/>
      <c r="GI114" s="321"/>
      <c r="GJ114" s="321"/>
      <c r="GK114" s="321"/>
      <c r="GL114" s="321"/>
      <c r="GM114" s="321"/>
      <c r="GN114" s="321"/>
      <c r="GO114" s="321"/>
      <c r="GP114" s="321"/>
      <c r="GQ114" s="321"/>
      <c r="GR114" s="321"/>
      <c r="GS114" s="321"/>
      <c r="GT114" s="321"/>
      <c r="GU114" s="321"/>
      <c r="GV114" s="321"/>
      <c r="GW114" s="321"/>
      <c r="GX114" s="321"/>
      <c r="GY114" s="321"/>
      <c r="GZ114" s="321"/>
      <c r="HA114" s="321"/>
      <c r="HB114" s="321"/>
      <c r="HC114" s="321"/>
      <c r="HD114" s="321"/>
      <c r="HE114" s="321"/>
      <c r="HF114" s="321"/>
      <c r="HG114" s="321"/>
      <c r="HH114" s="321"/>
      <c r="HI114" s="321"/>
      <c r="HJ114" s="321"/>
      <c r="HK114" s="321"/>
      <c r="HL114" s="321"/>
      <c r="HM114" s="321"/>
      <c r="HN114" s="321"/>
      <c r="HO114" s="321"/>
      <c r="HP114" s="321"/>
      <c r="HQ114" s="321"/>
      <c r="HR114" s="321"/>
      <c r="HS114" s="321"/>
      <c r="HT114" s="321"/>
      <c r="HU114" s="321"/>
      <c r="HV114" s="321"/>
      <c r="HW114" s="321"/>
      <c r="HX114" s="321"/>
      <c r="HY114" s="321"/>
      <c r="HZ114" s="321"/>
      <c r="IA114" s="321"/>
      <c r="IB114" s="321"/>
      <c r="IC114" s="321"/>
      <c r="ID114" s="321"/>
      <c r="IE114" s="321"/>
      <c r="IF114" s="321"/>
      <c r="IG114" s="321"/>
      <c r="IH114" s="321"/>
      <c r="II114" s="321"/>
      <c r="IJ114" s="321"/>
      <c r="IK114" s="321"/>
      <c r="IL114" s="321"/>
      <c r="IM114" s="321"/>
      <c r="IN114" s="321"/>
      <c r="IO114" s="321"/>
      <c r="IP114" s="321"/>
      <c r="IQ114" s="321"/>
      <c r="IR114" s="321"/>
      <c r="IS114" s="321"/>
      <c r="IT114" s="321"/>
      <c r="IU114" s="321"/>
      <c r="IV114" s="321"/>
    </row>
    <row r="115" spans="1:16" ht="22.5" customHeight="1">
      <c r="A115" s="561">
        <v>106</v>
      </c>
      <c r="B115" s="455"/>
      <c r="C115" s="361">
        <v>27</v>
      </c>
      <c r="D115" s="557" t="s">
        <v>611</v>
      </c>
      <c r="E115" s="330"/>
      <c r="F115" s="330"/>
      <c r="G115" s="331"/>
      <c r="H115" s="762" t="s">
        <v>24</v>
      </c>
      <c r="I115" s="778"/>
      <c r="J115" s="772"/>
      <c r="K115" s="772"/>
      <c r="L115" s="772"/>
      <c r="M115" s="772"/>
      <c r="N115" s="772"/>
      <c r="O115" s="779"/>
      <c r="P115" s="551"/>
    </row>
    <row r="116" spans="1:16" ht="18" customHeight="1">
      <c r="A116" s="561">
        <v>107</v>
      </c>
      <c r="B116" s="455"/>
      <c r="C116" s="361"/>
      <c r="D116" s="755" t="s">
        <v>303</v>
      </c>
      <c r="E116" s="330">
        <f>F116+G116+O117+P116+2313</f>
        <v>28307</v>
      </c>
      <c r="F116" s="330"/>
      <c r="G116" s="331">
        <f>6715+1684</f>
        <v>8399</v>
      </c>
      <c r="H116" s="762"/>
      <c r="I116" s="778">
        <v>254</v>
      </c>
      <c r="J116" s="772">
        <v>96</v>
      </c>
      <c r="K116" s="772">
        <f>18397+834</f>
        <v>19231</v>
      </c>
      <c r="L116" s="772"/>
      <c r="M116" s="772"/>
      <c r="N116" s="772"/>
      <c r="O116" s="745">
        <f>SUM(I116:N116)</f>
        <v>19581</v>
      </c>
      <c r="P116" s="551"/>
    </row>
    <row r="117" spans="1:16" ht="18" customHeight="1">
      <c r="A117" s="561">
        <v>108</v>
      </c>
      <c r="B117" s="455"/>
      <c r="C117" s="361"/>
      <c r="D117" s="436" t="s">
        <v>994</v>
      </c>
      <c r="E117" s="330"/>
      <c r="F117" s="330"/>
      <c r="G117" s="331"/>
      <c r="H117" s="762"/>
      <c r="I117" s="760">
        <v>5179</v>
      </c>
      <c r="J117" s="330">
        <v>888</v>
      </c>
      <c r="K117" s="330">
        <v>11528</v>
      </c>
      <c r="L117" s="772"/>
      <c r="M117" s="772"/>
      <c r="N117" s="772"/>
      <c r="O117" s="555">
        <f>SUM(I117:N117)</f>
        <v>17595</v>
      </c>
      <c r="P117" s="551"/>
    </row>
    <row r="118" spans="1:16" ht="18" customHeight="1">
      <c r="A118" s="561">
        <v>109</v>
      </c>
      <c r="B118" s="455"/>
      <c r="C118" s="361"/>
      <c r="D118" s="987" t="s">
        <v>1035</v>
      </c>
      <c r="E118" s="330"/>
      <c r="F118" s="330"/>
      <c r="G118" s="331"/>
      <c r="H118" s="762"/>
      <c r="I118" s="1267">
        <v>2398</v>
      </c>
      <c r="J118" s="1151">
        <v>427</v>
      </c>
      <c r="K118" s="1151">
        <v>2216</v>
      </c>
      <c r="L118" s="330"/>
      <c r="M118" s="330"/>
      <c r="N118" s="330"/>
      <c r="O118" s="1175">
        <f>SUM(I118:N118)</f>
        <v>5041</v>
      </c>
      <c r="P118" s="551"/>
    </row>
    <row r="119" spans="1:16" ht="22.5" customHeight="1">
      <c r="A119" s="561">
        <v>110</v>
      </c>
      <c r="B119" s="455"/>
      <c r="C119" s="361">
        <v>28</v>
      </c>
      <c r="D119" s="557" t="s">
        <v>612</v>
      </c>
      <c r="E119" s="330"/>
      <c r="F119" s="330"/>
      <c r="G119" s="331"/>
      <c r="H119" s="762" t="s">
        <v>24</v>
      </c>
      <c r="I119" s="778"/>
      <c r="J119" s="772"/>
      <c r="K119" s="772"/>
      <c r="L119" s="772"/>
      <c r="M119" s="772"/>
      <c r="N119" s="772"/>
      <c r="O119" s="779"/>
      <c r="P119" s="551"/>
    </row>
    <row r="120" spans="1:16" ht="18" customHeight="1">
      <c r="A120" s="561">
        <v>111</v>
      </c>
      <c r="B120" s="455"/>
      <c r="C120" s="361"/>
      <c r="D120" s="755" t="s">
        <v>303</v>
      </c>
      <c r="E120" s="330">
        <f>F120+G120+O121+P120</f>
        <v>0</v>
      </c>
      <c r="F120" s="330"/>
      <c r="G120" s="331"/>
      <c r="H120" s="762"/>
      <c r="I120" s="778"/>
      <c r="J120" s="772"/>
      <c r="K120" s="772">
        <v>13749</v>
      </c>
      <c r="L120" s="772"/>
      <c r="M120" s="772"/>
      <c r="N120" s="772"/>
      <c r="O120" s="745">
        <f>SUM(I120:N120)</f>
        <v>13749</v>
      </c>
      <c r="P120" s="551"/>
    </row>
    <row r="121" spans="1:16" ht="18" customHeight="1">
      <c r="A121" s="561">
        <v>112</v>
      </c>
      <c r="B121" s="455"/>
      <c r="C121" s="361"/>
      <c r="D121" s="436" t="s">
        <v>994</v>
      </c>
      <c r="E121" s="330"/>
      <c r="F121" s="330"/>
      <c r="G121" s="331"/>
      <c r="H121" s="762"/>
      <c r="I121" s="778"/>
      <c r="J121" s="772"/>
      <c r="K121" s="330">
        <v>0</v>
      </c>
      <c r="L121" s="772"/>
      <c r="M121" s="772"/>
      <c r="N121" s="772"/>
      <c r="O121" s="555">
        <f>SUM(I121:N121)</f>
        <v>0</v>
      </c>
      <c r="P121" s="551"/>
    </row>
    <row r="122" spans="1:16" ht="18" customHeight="1">
      <c r="A122" s="561">
        <v>113</v>
      </c>
      <c r="B122" s="455"/>
      <c r="C122" s="361"/>
      <c r="D122" s="987" t="s">
        <v>1036</v>
      </c>
      <c r="E122" s="330"/>
      <c r="F122" s="330"/>
      <c r="G122" s="331"/>
      <c r="H122" s="762"/>
      <c r="I122" s="760"/>
      <c r="J122" s="330"/>
      <c r="K122" s="1151">
        <v>0</v>
      </c>
      <c r="L122" s="330"/>
      <c r="M122" s="330"/>
      <c r="N122" s="330"/>
      <c r="O122" s="1175">
        <f>SUM(I122:N122)</f>
        <v>0</v>
      </c>
      <c r="P122" s="551"/>
    </row>
    <row r="123" spans="1:16" ht="22.5" customHeight="1">
      <c r="A123" s="561">
        <v>114</v>
      </c>
      <c r="B123" s="455"/>
      <c r="C123" s="361">
        <v>29</v>
      </c>
      <c r="D123" s="557" t="s">
        <v>613</v>
      </c>
      <c r="E123" s="330"/>
      <c r="F123" s="330"/>
      <c r="G123" s="331"/>
      <c r="H123" s="762" t="s">
        <v>24</v>
      </c>
      <c r="I123" s="778"/>
      <c r="J123" s="772"/>
      <c r="K123" s="772"/>
      <c r="L123" s="772"/>
      <c r="M123" s="772"/>
      <c r="N123" s="772"/>
      <c r="O123" s="779"/>
      <c r="P123" s="551"/>
    </row>
    <row r="124" spans="1:16" ht="18" customHeight="1">
      <c r="A124" s="561">
        <v>115</v>
      </c>
      <c r="B124" s="455"/>
      <c r="C124" s="361"/>
      <c r="D124" s="755" t="s">
        <v>303</v>
      </c>
      <c r="E124" s="330">
        <f>F124+G124+O125+P124</f>
        <v>3071</v>
      </c>
      <c r="F124" s="330"/>
      <c r="G124" s="331"/>
      <c r="H124" s="762"/>
      <c r="I124" s="778"/>
      <c r="J124" s="772"/>
      <c r="K124" s="772">
        <v>3071</v>
      </c>
      <c r="L124" s="772"/>
      <c r="M124" s="772"/>
      <c r="N124" s="772"/>
      <c r="O124" s="745">
        <f>SUM(I124:N124)</f>
        <v>3071</v>
      </c>
      <c r="P124" s="551"/>
    </row>
    <row r="125" spans="1:16" ht="18" customHeight="1">
      <c r="A125" s="561">
        <v>116</v>
      </c>
      <c r="B125" s="455"/>
      <c r="C125" s="361"/>
      <c r="D125" s="436" t="s">
        <v>994</v>
      </c>
      <c r="E125" s="330"/>
      <c r="F125" s="330"/>
      <c r="G125" s="331"/>
      <c r="H125" s="762"/>
      <c r="I125" s="778"/>
      <c r="J125" s="772"/>
      <c r="K125" s="330">
        <v>3071</v>
      </c>
      <c r="L125" s="772"/>
      <c r="M125" s="772"/>
      <c r="N125" s="772"/>
      <c r="O125" s="555">
        <f>SUM(I125:N125)</f>
        <v>3071</v>
      </c>
      <c r="P125" s="551"/>
    </row>
    <row r="126" spans="1:16" ht="18" customHeight="1">
      <c r="A126" s="561">
        <v>117</v>
      </c>
      <c r="B126" s="455"/>
      <c r="C126" s="361"/>
      <c r="D126" s="987" t="s">
        <v>1036</v>
      </c>
      <c r="E126" s="330"/>
      <c r="F126" s="330"/>
      <c r="G126" s="331"/>
      <c r="H126" s="762"/>
      <c r="I126" s="760"/>
      <c r="J126" s="330"/>
      <c r="K126" s="1151">
        <v>0</v>
      </c>
      <c r="L126" s="330"/>
      <c r="M126" s="330"/>
      <c r="N126" s="330"/>
      <c r="O126" s="1175">
        <f>SUM(I126:N126)</f>
        <v>0</v>
      </c>
      <c r="P126" s="551"/>
    </row>
    <row r="127" spans="1:16" ht="22.5" customHeight="1">
      <c r="A127" s="561">
        <v>118</v>
      </c>
      <c r="B127" s="455"/>
      <c r="C127" s="361">
        <v>30</v>
      </c>
      <c r="D127" s="557" t="s">
        <v>614</v>
      </c>
      <c r="E127" s="330"/>
      <c r="F127" s="330"/>
      <c r="G127" s="331"/>
      <c r="H127" s="762" t="s">
        <v>24</v>
      </c>
      <c r="I127" s="778"/>
      <c r="J127" s="772"/>
      <c r="K127" s="772"/>
      <c r="L127" s="772"/>
      <c r="M127" s="772"/>
      <c r="N127" s="772"/>
      <c r="O127" s="779"/>
      <c r="P127" s="551"/>
    </row>
    <row r="128" spans="1:16" ht="18" customHeight="1">
      <c r="A128" s="561">
        <v>119</v>
      </c>
      <c r="B128" s="455"/>
      <c r="C128" s="361"/>
      <c r="D128" s="755" t="s">
        <v>303</v>
      </c>
      <c r="E128" s="330">
        <f>F128+G128+O129+P128+3100</f>
        <v>35920</v>
      </c>
      <c r="F128" s="330"/>
      <c r="G128" s="331"/>
      <c r="H128" s="762"/>
      <c r="I128" s="778"/>
      <c r="J128" s="772"/>
      <c r="K128" s="772">
        <v>17116</v>
      </c>
      <c r="L128" s="772"/>
      <c r="M128" s="772"/>
      <c r="N128" s="772"/>
      <c r="O128" s="745">
        <f>SUM(I128:N128)</f>
        <v>17116</v>
      </c>
      <c r="P128" s="551">
        <v>28736</v>
      </c>
    </row>
    <row r="129" spans="1:16" ht="18" customHeight="1">
      <c r="A129" s="561">
        <v>120</v>
      </c>
      <c r="B129" s="455"/>
      <c r="C129" s="361"/>
      <c r="D129" s="436" t="s">
        <v>994</v>
      </c>
      <c r="E129" s="330"/>
      <c r="F129" s="330"/>
      <c r="G129" s="331"/>
      <c r="H129" s="762"/>
      <c r="I129" s="778"/>
      <c r="J129" s="772"/>
      <c r="K129" s="330">
        <v>4084</v>
      </c>
      <c r="L129" s="772"/>
      <c r="M129" s="772"/>
      <c r="N129" s="772"/>
      <c r="O129" s="555">
        <f>SUM(I129:N129)</f>
        <v>4084</v>
      </c>
      <c r="P129" s="551"/>
    </row>
    <row r="130" spans="1:16" ht="18" customHeight="1">
      <c r="A130" s="561">
        <v>121</v>
      </c>
      <c r="B130" s="455"/>
      <c r="C130" s="361"/>
      <c r="D130" s="987" t="s">
        <v>1035</v>
      </c>
      <c r="E130" s="330"/>
      <c r="F130" s="330"/>
      <c r="G130" s="331"/>
      <c r="H130" s="762"/>
      <c r="I130" s="760"/>
      <c r="J130" s="330"/>
      <c r="K130" s="1151">
        <v>118</v>
      </c>
      <c r="L130" s="330"/>
      <c r="M130" s="330"/>
      <c r="N130" s="330"/>
      <c r="O130" s="1175">
        <f>SUM(I130:N130)</f>
        <v>118</v>
      </c>
      <c r="P130" s="551"/>
    </row>
    <row r="131" spans="1:16" ht="22.5" customHeight="1">
      <c r="A131" s="561">
        <v>122</v>
      </c>
      <c r="B131" s="455"/>
      <c r="C131" s="361">
        <v>31</v>
      </c>
      <c r="D131" s="557" t="s">
        <v>615</v>
      </c>
      <c r="E131" s="330"/>
      <c r="F131" s="330"/>
      <c r="G131" s="331"/>
      <c r="H131" s="762" t="s">
        <v>24</v>
      </c>
      <c r="I131" s="778"/>
      <c r="J131" s="772"/>
      <c r="K131" s="772"/>
      <c r="L131" s="772"/>
      <c r="M131" s="772"/>
      <c r="N131" s="772"/>
      <c r="O131" s="779"/>
      <c r="P131" s="551"/>
    </row>
    <row r="132" spans="1:16" ht="18" customHeight="1">
      <c r="A132" s="561">
        <v>123</v>
      </c>
      <c r="B132" s="455"/>
      <c r="C132" s="361"/>
      <c r="D132" s="755" t="s">
        <v>303</v>
      </c>
      <c r="E132" s="330">
        <f>F132+G132+O133+P132</f>
        <v>40000</v>
      </c>
      <c r="F132" s="330"/>
      <c r="G132" s="331"/>
      <c r="H132" s="762"/>
      <c r="I132" s="778"/>
      <c r="J132" s="772"/>
      <c r="K132" s="772"/>
      <c r="L132" s="772"/>
      <c r="M132" s="772">
        <v>33863</v>
      </c>
      <c r="N132" s="772"/>
      <c r="O132" s="745">
        <f>SUM(I132:N132)</f>
        <v>33863</v>
      </c>
      <c r="P132" s="551"/>
    </row>
    <row r="133" spans="1:16" ht="18" customHeight="1">
      <c r="A133" s="561">
        <v>124</v>
      </c>
      <c r="B133" s="455"/>
      <c r="C133" s="361"/>
      <c r="D133" s="436" t="s">
        <v>994</v>
      </c>
      <c r="E133" s="330"/>
      <c r="F133" s="330"/>
      <c r="G133" s="331"/>
      <c r="H133" s="762"/>
      <c r="I133" s="778"/>
      <c r="J133" s="772"/>
      <c r="K133" s="330">
        <v>295</v>
      </c>
      <c r="L133" s="330"/>
      <c r="M133" s="330">
        <v>39705</v>
      </c>
      <c r="N133" s="772"/>
      <c r="O133" s="555">
        <f>SUM(I133:N133)</f>
        <v>40000</v>
      </c>
      <c r="P133" s="551"/>
    </row>
    <row r="134" spans="1:16" ht="18" customHeight="1">
      <c r="A134" s="561">
        <v>125</v>
      </c>
      <c r="B134" s="455"/>
      <c r="C134" s="361"/>
      <c r="D134" s="987" t="s">
        <v>1035</v>
      </c>
      <c r="E134" s="330"/>
      <c r="F134" s="330"/>
      <c r="G134" s="331"/>
      <c r="H134" s="762"/>
      <c r="I134" s="760"/>
      <c r="J134" s="330"/>
      <c r="K134" s="1151">
        <v>0</v>
      </c>
      <c r="L134" s="330"/>
      <c r="M134" s="1151">
        <v>1680</v>
      </c>
      <c r="N134" s="330"/>
      <c r="O134" s="1241">
        <f>SUM(I134:N134)</f>
        <v>1680</v>
      </c>
      <c r="P134" s="551"/>
    </row>
    <row r="135" spans="1:16" ht="53.25" customHeight="1">
      <c r="A135" s="561">
        <v>126</v>
      </c>
      <c r="B135" s="455"/>
      <c r="C135" s="322">
        <v>32</v>
      </c>
      <c r="D135" s="780" t="s">
        <v>616</v>
      </c>
      <c r="E135" s="330"/>
      <c r="F135" s="330"/>
      <c r="G135" s="331"/>
      <c r="H135" s="762" t="s">
        <v>24</v>
      </c>
      <c r="I135" s="778"/>
      <c r="J135" s="772"/>
      <c r="K135" s="772"/>
      <c r="L135" s="772"/>
      <c r="M135" s="772"/>
      <c r="N135" s="772"/>
      <c r="O135" s="779"/>
      <c r="P135" s="551"/>
    </row>
    <row r="136" spans="1:16" ht="18" customHeight="1">
      <c r="A136" s="561">
        <v>127</v>
      </c>
      <c r="B136" s="455"/>
      <c r="C136" s="361"/>
      <c r="D136" s="755" t="s">
        <v>303</v>
      </c>
      <c r="E136" s="330">
        <f>F136+G136+O137+P136</f>
        <v>19985</v>
      </c>
      <c r="F136" s="330"/>
      <c r="G136" s="331"/>
      <c r="H136" s="762"/>
      <c r="I136" s="778"/>
      <c r="J136" s="772"/>
      <c r="K136" s="772">
        <v>19985</v>
      </c>
      <c r="L136" s="772"/>
      <c r="M136" s="772"/>
      <c r="N136" s="772"/>
      <c r="O136" s="745">
        <f>SUM(I136:N136)</f>
        <v>19985</v>
      </c>
      <c r="P136" s="551"/>
    </row>
    <row r="137" spans="1:16" ht="18" customHeight="1">
      <c r="A137" s="561">
        <v>128</v>
      </c>
      <c r="B137" s="455"/>
      <c r="C137" s="361"/>
      <c r="D137" s="436" t="s">
        <v>994</v>
      </c>
      <c r="E137" s="330"/>
      <c r="F137" s="330"/>
      <c r="G137" s="331"/>
      <c r="H137" s="762"/>
      <c r="I137" s="778"/>
      <c r="J137" s="772"/>
      <c r="K137" s="330">
        <v>19985</v>
      </c>
      <c r="L137" s="772"/>
      <c r="M137" s="772"/>
      <c r="N137" s="772"/>
      <c r="O137" s="555">
        <f>SUM(I137:N137)</f>
        <v>19985</v>
      </c>
      <c r="P137" s="551"/>
    </row>
    <row r="138" spans="1:16" ht="18" customHeight="1">
      <c r="A138" s="561">
        <v>129</v>
      </c>
      <c r="B138" s="455"/>
      <c r="C138" s="361"/>
      <c r="D138" s="987" t="s">
        <v>1036</v>
      </c>
      <c r="E138" s="330"/>
      <c r="F138" s="330"/>
      <c r="G138" s="331"/>
      <c r="H138" s="762"/>
      <c r="I138" s="760"/>
      <c r="J138" s="330"/>
      <c r="K138" s="1151">
        <v>0</v>
      </c>
      <c r="L138" s="330"/>
      <c r="M138" s="330"/>
      <c r="N138" s="330"/>
      <c r="O138" s="1175">
        <f>SUM(I138:N138)</f>
        <v>0</v>
      </c>
      <c r="P138" s="551"/>
    </row>
    <row r="139" spans="1:16" ht="22.5" customHeight="1">
      <c r="A139" s="561">
        <v>130</v>
      </c>
      <c r="B139" s="455"/>
      <c r="C139" s="361">
        <v>33</v>
      </c>
      <c r="D139" s="796" t="s">
        <v>617</v>
      </c>
      <c r="E139" s="330"/>
      <c r="F139" s="330"/>
      <c r="G139" s="331"/>
      <c r="H139" s="762" t="s">
        <v>24</v>
      </c>
      <c r="I139" s="778"/>
      <c r="J139" s="772"/>
      <c r="K139" s="772"/>
      <c r="L139" s="772"/>
      <c r="M139" s="772"/>
      <c r="N139" s="772"/>
      <c r="O139" s="779"/>
      <c r="P139" s="551"/>
    </row>
    <row r="140" spans="1:16" ht="18" customHeight="1">
      <c r="A140" s="561">
        <v>131</v>
      </c>
      <c r="B140" s="455"/>
      <c r="C140" s="361"/>
      <c r="D140" s="755" t="s">
        <v>303</v>
      </c>
      <c r="E140" s="330">
        <f>F140+G140+O141+P140</f>
        <v>0</v>
      </c>
      <c r="F140" s="330"/>
      <c r="G140" s="331"/>
      <c r="H140" s="762"/>
      <c r="I140" s="778"/>
      <c r="J140" s="772"/>
      <c r="K140" s="772">
        <v>52500</v>
      </c>
      <c r="L140" s="772"/>
      <c r="M140" s="772"/>
      <c r="N140" s="772"/>
      <c r="O140" s="745">
        <f>SUM(I140:N140)</f>
        <v>52500</v>
      </c>
      <c r="P140" s="551"/>
    </row>
    <row r="141" spans="1:16" ht="18" customHeight="1">
      <c r="A141" s="561">
        <v>132</v>
      </c>
      <c r="B141" s="455"/>
      <c r="C141" s="361"/>
      <c r="D141" s="436" t="s">
        <v>994</v>
      </c>
      <c r="E141" s="330"/>
      <c r="F141" s="330"/>
      <c r="G141" s="331"/>
      <c r="H141" s="762"/>
      <c r="I141" s="778"/>
      <c r="J141" s="772"/>
      <c r="K141" s="330">
        <v>0</v>
      </c>
      <c r="L141" s="772"/>
      <c r="M141" s="772"/>
      <c r="N141" s="772"/>
      <c r="O141" s="555">
        <f>SUM(I141:N141)</f>
        <v>0</v>
      </c>
      <c r="P141" s="551"/>
    </row>
    <row r="142" spans="1:16" ht="18" customHeight="1">
      <c r="A142" s="561">
        <v>133</v>
      </c>
      <c r="B142" s="455"/>
      <c r="C142" s="361"/>
      <c r="D142" s="987" t="s">
        <v>1035</v>
      </c>
      <c r="E142" s="330"/>
      <c r="F142" s="330"/>
      <c r="G142" s="331"/>
      <c r="H142" s="762"/>
      <c r="I142" s="760"/>
      <c r="J142" s="330"/>
      <c r="K142" s="1151">
        <v>0</v>
      </c>
      <c r="L142" s="330"/>
      <c r="M142" s="330"/>
      <c r="N142" s="330"/>
      <c r="O142" s="1175">
        <f>SUM(I142:N142)</f>
        <v>0</v>
      </c>
      <c r="P142" s="551"/>
    </row>
    <row r="143" spans="1:16" ht="22.5" customHeight="1">
      <c r="A143" s="561">
        <v>134</v>
      </c>
      <c r="B143" s="455"/>
      <c r="C143" s="361">
        <v>34</v>
      </c>
      <c r="D143" s="323" t="s">
        <v>619</v>
      </c>
      <c r="E143" s="330"/>
      <c r="F143" s="330"/>
      <c r="G143" s="331"/>
      <c r="H143" s="762" t="s">
        <v>24</v>
      </c>
      <c r="I143" s="778"/>
      <c r="J143" s="772"/>
      <c r="K143" s="772"/>
      <c r="L143" s="772"/>
      <c r="M143" s="772"/>
      <c r="N143" s="772"/>
      <c r="O143" s="779"/>
      <c r="P143" s="551"/>
    </row>
    <row r="144" spans="1:16" ht="18" customHeight="1">
      <c r="A144" s="561">
        <v>135</v>
      </c>
      <c r="B144" s="455"/>
      <c r="C144" s="361"/>
      <c r="D144" s="755" t="s">
        <v>303</v>
      </c>
      <c r="E144" s="330">
        <f>F144+G144+O145+P144</f>
        <v>555</v>
      </c>
      <c r="F144" s="330"/>
      <c r="G144" s="331"/>
      <c r="H144" s="762"/>
      <c r="I144" s="778"/>
      <c r="J144" s="772"/>
      <c r="K144" s="772">
        <v>150</v>
      </c>
      <c r="L144" s="772"/>
      <c r="M144" s="772"/>
      <c r="N144" s="772"/>
      <c r="O144" s="745">
        <f>SUM(I144:N144)</f>
        <v>150</v>
      </c>
      <c r="P144" s="551"/>
    </row>
    <row r="145" spans="1:16" ht="18" customHeight="1">
      <c r="A145" s="561">
        <v>136</v>
      </c>
      <c r="B145" s="455"/>
      <c r="C145" s="361"/>
      <c r="D145" s="436" t="s">
        <v>994</v>
      </c>
      <c r="E145" s="330"/>
      <c r="F145" s="330"/>
      <c r="G145" s="331"/>
      <c r="H145" s="762"/>
      <c r="I145" s="778"/>
      <c r="J145" s="772"/>
      <c r="K145" s="330">
        <v>155</v>
      </c>
      <c r="L145" s="330">
        <v>400</v>
      </c>
      <c r="M145" s="772"/>
      <c r="N145" s="772"/>
      <c r="O145" s="555">
        <f>SUM(I145:N145)</f>
        <v>555</v>
      </c>
      <c r="P145" s="551"/>
    </row>
    <row r="146" spans="1:16" ht="18" customHeight="1">
      <c r="A146" s="561">
        <v>137</v>
      </c>
      <c r="B146" s="455"/>
      <c r="C146" s="361"/>
      <c r="D146" s="987" t="s">
        <v>1035</v>
      </c>
      <c r="E146" s="330"/>
      <c r="F146" s="330"/>
      <c r="G146" s="331"/>
      <c r="H146" s="762"/>
      <c r="I146" s="760"/>
      <c r="J146" s="330"/>
      <c r="K146" s="1151">
        <v>0</v>
      </c>
      <c r="L146" s="1151">
        <v>0</v>
      </c>
      <c r="M146" s="330"/>
      <c r="N146" s="330"/>
      <c r="O146" s="1175">
        <f>SUM(I146:N146)</f>
        <v>0</v>
      </c>
      <c r="P146" s="551"/>
    </row>
    <row r="147" spans="1:256" s="546" customFormat="1" ht="36" customHeight="1">
      <c r="A147" s="561">
        <v>138</v>
      </c>
      <c r="B147" s="554"/>
      <c r="C147" s="322">
        <v>35</v>
      </c>
      <c r="D147" s="323" t="s">
        <v>426</v>
      </c>
      <c r="E147" s="330"/>
      <c r="F147" s="330"/>
      <c r="G147" s="331"/>
      <c r="H147" s="762" t="s">
        <v>24</v>
      </c>
      <c r="I147" s="778"/>
      <c r="J147" s="772"/>
      <c r="K147" s="772"/>
      <c r="L147" s="772"/>
      <c r="M147" s="772"/>
      <c r="N147" s="772"/>
      <c r="O147" s="745"/>
      <c r="P147" s="551"/>
      <c r="Q147" s="321"/>
      <c r="R147" s="321"/>
      <c r="S147" s="321"/>
      <c r="T147" s="321"/>
      <c r="U147" s="321"/>
      <c r="V147" s="321"/>
      <c r="W147" s="321"/>
      <c r="X147" s="321"/>
      <c r="Y147" s="321"/>
      <c r="Z147" s="321"/>
      <c r="AA147" s="321"/>
      <c r="AB147" s="321"/>
      <c r="AC147" s="321"/>
      <c r="AD147" s="321"/>
      <c r="AE147" s="321"/>
      <c r="AF147" s="321"/>
      <c r="AG147" s="321"/>
      <c r="AH147" s="321"/>
      <c r="AI147" s="321"/>
      <c r="AJ147" s="321"/>
      <c r="AK147" s="321"/>
      <c r="AL147" s="321"/>
      <c r="AM147" s="321"/>
      <c r="AN147" s="321"/>
      <c r="AO147" s="321"/>
      <c r="AP147" s="321"/>
      <c r="AQ147" s="321"/>
      <c r="AR147" s="321"/>
      <c r="AS147" s="321"/>
      <c r="AT147" s="321"/>
      <c r="AU147" s="321"/>
      <c r="AV147" s="321"/>
      <c r="AW147" s="321"/>
      <c r="AX147" s="321"/>
      <c r="AY147" s="321"/>
      <c r="AZ147" s="321"/>
      <c r="BA147" s="321"/>
      <c r="BB147" s="321"/>
      <c r="BC147" s="321"/>
      <c r="BD147" s="321"/>
      <c r="BE147" s="321"/>
      <c r="BF147" s="321"/>
      <c r="BG147" s="321"/>
      <c r="BH147" s="321"/>
      <c r="BI147" s="321"/>
      <c r="BJ147" s="321"/>
      <c r="BK147" s="321"/>
      <c r="BL147" s="321"/>
      <c r="BM147" s="321"/>
      <c r="BN147" s="321"/>
      <c r="BO147" s="321"/>
      <c r="BP147" s="321"/>
      <c r="BQ147" s="321"/>
      <c r="BR147" s="321"/>
      <c r="BS147" s="321"/>
      <c r="BT147" s="321"/>
      <c r="BU147" s="321"/>
      <c r="BV147" s="321"/>
      <c r="BW147" s="321"/>
      <c r="BX147" s="321"/>
      <c r="BY147" s="321"/>
      <c r="BZ147" s="321"/>
      <c r="CA147" s="321"/>
      <c r="CB147" s="321"/>
      <c r="CC147" s="321"/>
      <c r="CD147" s="321"/>
      <c r="CE147" s="321"/>
      <c r="CF147" s="321"/>
      <c r="CG147" s="321"/>
      <c r="CH147" s="321"/>
      <c r="CI147" s="321"/>
      <c r="CJ147" s="321"/>
      <c r="CK147" s="321"/>
      <c r="CL147" s="321"/>
      <c r="CM147" s="321"/>
      <c r="CN147" s="321"/>
      <c r="CO147" s="321"/>
      <c r="CP147" s="321"/>
      <c r="CQ147" s="321"/>
      <c r="CR147" s="321"/>
      <c r="CS147" s="321"/>
      <c r="CT147" s="321"/>
      <c r="CU147" s="321"/>
      <c r="CV147" s="321"/>
      <c r="CW147" s="321"/>
      <c r="CX147" s="321"/>
      <c r="CY147" s="321"/>
      <c r="CZ147" s="321"/>
      <c r="DA147" s="321"/>
      <c r="DB147" s="321"/>
      <c r="DC147" s="321"/>
      <c r="DD147" s="321"/>
      <c r="DE147" s="321"/>
      <c r="DF147" s="321"/>
      <c r="DG147" s="321"/>
      <c r="DH147" s="321"/>
      <c r="DI147" s="321"/>
      <c r="DJ147" s="321"/>
      <c r="DK147" s="321"/>
      <c r="DL147" s="321"/>
      <c r="DM147" s="321"/>
      <c r="DN147" s="321"/>
      <c r="DO147" s="321"/>
      <c r="DP147" s="321"/>
      <c r="DQ147" s="321"/>
      <c r="DR147" s="321"/>
      <c r="DS147" s="321"/>
      <c r="DT147" s="321"/>
      <c r="DU147" s="321"/>
      <c r="DV147" s="321"/>
      <c r="DW147" s="321"/>
      <c r="DX147" s="321"/>
      <c r="DY147" s="321"/>
      <c r="DZ147" s="321"/>
      <c r="EA147" s="321"/>
      <c r="EB147" s="321"/>
      <c r="EC147" s="321"/>
      <c r="ED147" s="321"/>
      <c r="EE147" s="321"/>
      <c r="EF147" s="321"/>
      <c r="EG147" s="321"/>
      <c r="EH147" s="321"/>
      <c r="EI147" s="321"/>
      <c r="EJ147" s="321"/>
      <c r="EK147" s="321"/>
      <c r="EL147" s="321"/>
      <c r="EM147" s="321"/>
      <c r="EN147" s="321"/>
      <c r="EO147" s="321"/>
      <c r="EP147" s="321"/>
      <c r="EQ147" s="321"/>
      <c r="ER147" s="321"/>
      <c r="ES147" s="321"/>
      <c r="ET147" s="321"/>
      <c r="EU147" s="321"/>
      <c r="EV147" s="321"/>
      <c r="EW147" s="321"/>
      <c r="EX147" s="321"/>
      <c r="EY147" s="321"/>
      <c r="EZ147" s="321"/>
      <c r="FA147" s="321"/>
      <c r="FB147" s="321"/>
      <c r="FC147" s="321"/>
      <c r="FD147" s="321"/>
      <c r="FE147" s="321"/>
      <c r="FF147" s="321"/>
      <c r="FG147" s="321"/>
      <c r="FH147" s="321"/>
      <c r="FI147" s="321"/>
      <c r="FJ147" s="321"/>
      <c r="FK147" s="321"/>
      <c r="FL147" s="321"/>
      <c r="FM147" s="321"/>
      <c r="FN147" s="321"/>
      <c r="FO147" s="321"/>
      <c r="FP147" s="321"/>
      <c r="FQ147" s="321"/>
      <c r="FR147" s="321"/>
      <c r="FS147" s="321"/>
      <c r="FT147" s="321"/>
      <c r="FU147" s="321"/>
      <c r="FV147" s="321"/>
      <c r="FW147" s="321"/>
      <c r="FX147" s="321"/>
      <c r="FY147" s="321"/>
      <c r="FZ147" s="321"/>
      <c r="GA147" s="321"/>
      <c r="GB147" s="321"/>
      <c r="GC147" s="321"/>
      <c r="GD147" s="321"/>
      <c r="GE147" s="321"/>
      <c r="GF147" s="321"/>
      <c r="GG147" s="321"/>
      <c r="GH147" s="321"/>
      <c r="GI147" s="321"/>
      <c r="GJ147" s="321"/>
      <c r="GK147" s="321"/>
      <c r="GL147" s="321"/>
      <c r="GM147" s="321"/>
      <c r="GN147" s="321"/>
      <c r="GO147" s="321"/>
      <c r="GP147" s="321"/>
      <c r="GQ147" s="321"/>
      <c r="GR147" s="321"/>
      <c r="GS147" s="321"/>
      <c r="GT147" s="321"/>
      <c r="GU147" s="321"/>
      <c r="GV147" s="321"/>
      <c r="GW147" s="321"/>
      <c r="GX147" s="321"/>
      <c r="GY147" s="321"/>
      <c r="GZ147" s="321"/>
      <c r="HA147" s="321"/>
      <c r="HB147" s="321"/>
      <c r="HC147" s="321"/>
      <c r="HD147" s="321"/>
      <c r="HE147" s="321"/>
      <c r="HF147" s="321"/>
      <c r="HG147" s="321"/>
      <c r="HH147" s="321"/>
      <c r="HI147" s="321"/>
      <c r="HJ147" s="321"/>
      <c r="HK147" s="321"/>
      <c r="HL147" s="321"/>
      <c r="HM147" s="321"/>
      <c r="HN147" s="321"/>
      <c r="HO147" s="321"/>
      <c r="HP147" s="321"/>
      <c r="HQ147" s="321"/>
      <c r="HR147" s="321"/>
      <c r="HS147" s="321"/>
      <c r="HT147" s="321"/>
      <c r="HU147" s="321"/>
      <c r="HV147" s="321"/>
      <c r="HW147" s="321"/>
      <c r="HX147" s="321"/>
      <c r="HY147" s="321"/>
      <c r="HZ147" s="321"/>
      <c r="IA147" s="321"/>
      <c r="IB147" s="321"/>
      <c r="IC147" s="321"/>
      <c r="ID147" s="321"/>
      <c r="IE147" s="321"/>
      <c r="IF147" s="321"/>
      <c r="IG147" s="321"/>
      <c r="IH147" s="321"/>
      <c r="II147" s="321"/>
      <c r="IJ147" s="321"/>
      <c r="IK147" s="321"/>
      <c r="IL147" s="321"/>
      <c r="IM147" s="321"/>
      <c r="IN147" s="321"/>
      <c r="IO147" s="321"/>
      <c r="IP147" s="321"/>
      <c r="IQ147" s="321"/>
      <c r="IR147" s="321"/>
      <c r="IS147" s="321"/>
      <c r="IT147" s="321"/>
      <c r="IU147" s="321"/>
      <c r="IV147" s="321"/>
    </row>
    <row r="148" spans="1:256" s="546" customFormat="1" ht="18" customHeight="1">
      <c r="A148" s="561">
        <v>139</v>
      </c>
      <c r="B148" s="554"/>
      <c r="C148" s="322"/>
      <c r="D148" s="755" t="s">
        <v>303</v>
      </c>
      <c r="E148" s="330">
        <f>F148+G148+O149+P148</f>
        <v>6520</v>
      </c>
      <c r="F148" s="330">
        <v>1582</v>
      </c>
      <c r="G148" s="331">
        <f>2107+2506</f>
        <v>4613</v>
      </c>
      <c r="H148" s="762"/>
      <c r="I148" s="778"/>
      <c r="J148" s="772"/>
      <c r="K148" s="772">
        <v>239</v>
      </c>
      <c r="L148" s="772"/>
      <c r="M148" s="772"/>
      <c r="N148" s="772"/>
      <c r="O148" s="745">
        <f>SUM(I148:N148)</f>
        <v>239</v>
      </c>
      <c r="P148" s="551"/>
      <c r="Q148" s="321"/>
      <c r="R148" s="321"/>
      <c r="S148" s="321"/>
      <c r="T148" s="321"/>
      <c r="U148" s="321"/>
      <c r="V148" s="321"/>
      <c r="W148" s="321"/>
      <c r="X148" s="321"/>
      <c r="Y148" s="321"/>
      <c r="Z148" s="321"/>
      <c r="AA148" s="321"/>
      <c r="AB148" s="321"/>
      <c r="AC148" s="321"/>
      <c r="AD148" s="321"/>
      <c r="AE148" s="321"/>
      <c r="AF148" s="321"/>
      <c r="AG148" s="321"/>
      <c r="AH148" s="321"/>
      <c r="AI148" s="321"/>
      <c r="AJ148" s="321"/>
      <c r="AK148" s="321"/>
      <c r="AL148" s="321"/>
      <c r="AM148" s="321"/>
      <c r="AN148" s="321"/>
      <c r="AO148" s="321"/>
      <c r="AP148" s="321"/>
      <c r="AQ148" s="321"/>
      <c r="AR148" s="321"/>
      <c r="AS148" s="321"/>
      <c r="AT148" s="321"/>
      <c r="AU148" s="321"/>
      <c r="AV148" s="321"/>
      <c r="AW148" s="321"/>
      <c r="AX148" s="321"/>
      <c r="AY148" s="321"/>
      <c r="AZ148" s="321"/>
      <c r="BA148" s="321"/>
      <c r="BB148" s="321"/>
      <c r="BC148" s="321"/>
      <c r="BD148" s="321"/>
      <c r="BE148" s="321"/>
      <c r="BF148" s="321"/>
      <c r="BG148" s="321"/>
      <c r="BH148" s="321"/>
      <c r="BI148" s="321"/>
      <c r="BJ148" s="321"/>
      <c r="BK148" s="321"/>
      <c r="BL148" s="321"/>
      <c r="BM148" s="321"/>
      <c r="BN148" s="321"/>
      <c r="BO148" s="321"/>
      <c r="BP148" s="321"/>
      <c r="BQ148" s="321"/>
      <c r="BR148" s="321"/>
      <c r="BS148" s="321"/>
      <c r="BT148" s="321"/>
      <c r="BU148" s="321"/>
      <c r="BV148" s="321"/>
      <c r="BW148" s="321"/>
      <c r="BX148" s="321"/>
      <c r="BY148" s="321"/>
      <c r="BZ148" s="321"/>
      <c r="CA148" s="321"/>
      <c r="CB148" s="321"/>
      <c r="CC148" s="321"/>
      <c r="CD148" s="321"/>
      <c r="CE148" s="321"/>
      <c r="CF148" s="321"/>
      <c r="CG148" s="321"/>
      <c r="CH148" s="321"/>
      <c r="CI148" s="321"/>
      <c r="CJ148" s="321"/>
      <c r="CK148" s="321"/>
      <c r="CL148" s="321"/>
      <c r="CM148" s="321"/>
      <c r="CN148" s="321"/>
      <c r="CO148" s="321"/>
      <c r="CP148" s="321"/>
      <c r="CQ148" s="321"/>
      <c r="CR148" s="321"/>
      <c r="CS148" s="321"/>
      <c r="CT148" s="321"/>
      <c r="CU148" s="321"/>
      <c r="CV148" s="321"/>
      <c r="CW148" s="321"/>
      <c r="CX148" s="321"/>
      <c r="CY148" s="321"/>
      <c r="CZ148" s="321"/>
      <c r="DA148" s="321"/>
      <c r="DB148" s="321"/>
      <c r="DC148" s="321"/>
      <c r="DD148" s="321"/>
      <c r="DE148" s="321"/>
      <c r="DF148" s="321"/>
      <c r="DG148" s="321"/>
      <c r="DH148" s="321"/>
      <c r="DI148" s="321"/>
      <c r="DJ148" s="321"/>
      <c r="DK148" s="321"/>
      <c r="DL148" s="321"/>
      <c r="DM148" s="321"/>
      <c r="DN148" s="321"/>
      <c r="DO148" s="321"/>
      <c r="DP148" s="321"/>
      <c r="DQ148" s="321"/>
      <c r="DR148" s="321"/>
      <c r="DS148" s="321"/>
      <c r="DT148" s="321"/>
      <c r="DU148" s="321"/>
      <c r="DV148" s="321"/>
      <c r="DW148" s="321"/>
      <c r="DX148" s="321"/>
      <c r="DY148" s="321"/>
      <c r="DZ148" s="321"/>
      <c r="EA148" s="321"/>
      <c r="EB148" s="321"/>
      <c r="EC148" s="321"/>
      <c r="ED148" s="321"/>
      <c r="EE148" s="321"/>
      <c r="EF148" s="321"/>
      <c r="EG148" s="321"/>
      <c r="EH148" s="321"/>
      <c r="EI148" s="321"/>
      <c r="EJ148" s="321"/>
      <c r="EK148" s="321"/>
      <c r="EL148" s="321"/>
      <c r="EM148" s="321"/>
      <c r="EN148" s="321"/>
      <c r="EO148" s="321"/>
      <c r="EP148" s="321"/>
      <c r="EQ148" s="321"/>
      <c r="ER148" s="321"/>
      <c r="ES148" s="321"/>
      <c r="ET148" s="321"/>
      <c r="EU148" s="321"/>
      <c r="EV148" s="321"/>
      <c r="EW148" s="321"/>
      <c r="EX148" s="321"/>
      <c r="EY148" s="321"/>
      <c r="EZ148" s="321"/>
      <c r="FA148" s="321"/>
      <c r="FB148" s="321"/>
      <c r="FC148" s="321"/>
      <c r="FD148" s="321"/>
      <c r="FE148" s="321"/>
      <c r="FF148" s="321"/>
      <c r="FG148" s="321"/>
      <c r="FH148" s="321"/>
      <c r="FI148" s="321"/>
      <c r="FJ148" s="321"/>
      <c r="FK148" s="321"/>
      <c r="FL148" s="321"/>
      <c r="FM148" s="321"/>
      <c r="FN148" s="321"/>
      <c r="FO148" s="321"/>
      <c r="FP148" s="321"/>
      <c r="FQ148" s="321"/>
      <c r="FR148" s="321"/>
      <c r="FS148" s="321"/>
      <c r="FT148" s="321"/>
      <c r="FU148" s="321"/>
      <c r="FV148" s="321"/>
      <c r="FW148" s="321"/>
      <c r="FX148" s="321"/>
      <c r="FY148" s="321"/>
      <c r="FZ148" s="321"/>
      <c r="GA148" s="321"/>
      <c r="GB148" s="321"/>
      <c r="GC148" s="321"/>
      <c r="GD148" s="321"/>
      <c r="GE148" s="321"/>
      <c r="GF148" s="321"/>
      <c r="GG148" s="321"/>
      <c r="GH148" s="321"/>
      <c r="GI148" s="321"/>
      <c r="GJ148" s="321"/>
      <c r="GK148" s="321"/>
      <c r="GL148" s="321"/>
      <c r="GM148" s="321"/>
      <c r="GN148" s="321"/>
      <c r="GO148" s="321"/>
      <c r="GP148" s="321"/>
      <c r="GQ148" s="321"/>
      <c r="GR148" s="321"/>
      <c r="GS148" s="321"/>
      <c r="GT148" s="321"/>
      <c r="GU148" s="321"/>
      <c r="GV148" s="321"/>
      <c r="GW148" s="321"/>
      <c r="GX148" s="321"/>
      <c r="GY148" s="321"/>
      <c r="GZ148" s="321"/>
      <c r="HA148" s="321"/>
      <c r="HB148" s="321"/>
      <c r="HC148" s="321"/>
      <c r="HD148" s="321"/>
      <c r="HE148" s="321"/>
      <c r="HF148" s="321"/>
      <c r="HG148" s="321"/>
      <c r="HH148" s="321"/>
      <c r="HI148" s="321"/>
      <c r="HJ148" s="321"/>
      <c r="HK148" s="321"/>
      <c r="HL148" s="321"/>
      <c r="HM148" s="321"/>
      <c r="HN148" s="321"/>
      <c r="HO148" s="321"/>
      <c r="HP148" s="321"/>
      <c r="HQ148" s="321"/>
      <c r="HR148" s="321"/>
      <c r="HS148" s="321"/>
      <c r="HT148" s="321"/>
      <c r="HU148" s="321"/>
      <c r="HV148" s="321"/>
      <c r="HW148" s="321"/>
      <c r="HX148" s="321"/>
      <c r="HY148" s="321"/>
      <c r="HZ148" s="321"/>
      <c r="IA148" s="321"/>
      <c r="IB148" s="321"/>
      <c r="IC148" s="321"/>
      <c r="ID148" s="321"/>
      <c r="IE148" s="321"/>
      <c r="IF148" s="321"/>
      <c r="IG148" s="321"/>
      <c r="IH148" s="321"/>
      <c r="II148" s="321"/>
      <c r="IJ148" s="321"/>
      <c r="IK148" s="321"/>
      <c r="IL148" s="321"/>
      <c r="IM148" s="321"/>
      <c r="IN148" s="321"/>
      <c r="IO148" s="321"/>
      <c r="IP148" s="321"/>
      <c r="IQ148" s="321"/>
      <c r="IR148" s="321"/>
      <c r="IS148" s="321"/>
      <c r="IT148" s="321"/>
      <c r="IU148" s="321"/>
      <c r="IV148" s="321"/>
    </row>
    <row r="149" spans="1:256" s="546" customFormat="1" ht="18" customHeight="1">
      <c r="A149" s="561">
        <v>140</v>
      </c>
      <c r="B149" s="554"/>
      <c r="C149" s="322"/>
      <c r="D149" s="436" t="s">
        <v>994</v>
      </c>
      <c r="E149" s="330"/>
      <c r="F149" s="330"/>
      <c r="G149" s="331"/>
      <c r="H149" s="762"/>
      <c r="I149" s="778"/>
      <c r="J149" s="772"/>
      <c r="K149" s="330">
        <v>0</v>
      </c>
      <c r="L149" s="330">
        <v>325</v>
      </c>
      <c r="M149" s="772"/>
      <c r="N149" s="772"/>
      <c r="O149" s="555">
        <f>SUM(I149:N149)</f>
        <v>325</v>
      </c>
      <c r="P149" s="551"/>
      <c r="Q149" s="321"/>
      <c r="R149" s="321"/>
      <c r="S149" s="321"/>
      <c r="T149" s="321"/>
      <c r="U149" s="321"/>
      <c r="V149" s="321"/>
      <c r="W149" s="321"/>
      <c r="X149" s="321"/>
      <c r="Y149" s="321"/>
      <c r="Z149" s="321"/>
      <c r="AA149" s="321"/>
      <c r="AB149" s="321"/>
      <c r="AC149" s="321"/>
      <c r="AD149" s="321"/>
      <c r="AE149" s="321"/>
      <c r="AF149" s="321"/>
      <c r="AG149" s="321"/>
      <c r="AH149" s="321"/>
      <c r="AI149" s="321"/>
      <c r="AJ149" s="321"/>
      <c r="AK149" s="321"/>
      <c r="AL149" s="321"/>
      <c r="AM149" s="321"/>
      <c r="AN149" s="321"/>
      <c r="AO149" s="321"/>
      <c r="AP149" s="321"/>
      <c r="AQ149" s="321"/>
      <c r="AR149" s="321"/>
      <c r="AS149" s="321"/>
      <c r="AT149" s="321"/>
      <c r="AU149" s="321"/>
      <c r="AV149" s="321"/>
      <c r="AW149" s="321"/>
      <c r="AX149" s="321"/>
      <c r="AY149" s="321"/>
      <c r="AZ149" s="321"/>
      <c r="BA149" s="321"/>
      <c r="BB149" s="321"/>
      <c r="BC149" s="321"/>
      <c r="BD149" s="321"/>
      <c r="BE149" s="321"/>
      <c r="BF149" s="321"/>
      <c r="BG149" s="321"/>
      <c r="BH149" s="321"/>
      <c r="BI149" s="321"/>
      <c r="BJ149" s="321"/>
      <c r="BK149" s="321"/>
      <c r="BL149" s="321"/>
      <c r="BM149" s="321"/>
      <c r="BN149" s="321"/>
      <c r="BO149" s="321"/>
      <c r="BP149" s="321"/>
      <c r="BQ149" s="321"/>
      <c r="BR149" s="321"/>
      <c r="BS149" s="321"/>
      <c r="BT149" s="321"/>
      <c r="BU149" s="321"/>
      <c r="BV149" s="321"/>
      <c r="BW149" s="321"/>
      <c r="BX149" s="321"/>
      <c r="BY149" s="321"/>
      <c r="BZ149" s="321"/>
      <c r="CA149" s="321"/>
      <c r="CB149" s="321"/>
      <c r="CC149" s="321"/>
      <c r="CD149" s="321"/>
      <c r="CE149" s="321"/>
      <c r="CF149" s="321"/>
      <c r="CG149" s="321"/>
      <c r="CH149" s="321"/>
      <c r="CI149" s="321"/>
      <c r="CJ149" s="321"/>
      <c r="CK149" s="321"/>
      <c r="CL149" s="321"/>
      <c r="CM149" s="321"/>
      <c r="CN149" s="321"/>
      <c r="CO149" s="321"/>
      <c r="CP149" s="321"/>
      <c r="CQ149" s="321"/>
      <c r="CR149" s="321"/>
      <c r="CS149" s="321"/>
      <c r="CT149" s="321"/>
      <c r="CU149" s="321"/>
      <c r="CV149" s="321"/>
      <c r="CW149" s="321"/>
      <c r="CX149" s="321"/>
      <c r="CY149" s="321"/>
      <c r="CZ149" s="321"/>
      <c r="DA149" s="321"/>
      <c r="DB149" s="321"/>
      <c r="DC149" s="321"/>
      <c r="DD149" s="321"/>
      <c r="DE149" s="321"/>
      <c r="DF149" s="321"/>
      <c r="DG149" s="321"/>
      <c r="DH149" s="321"/>
      <c r="DI149" s="321"/>
      <c r="DJ149" s="321"/>
      <c r="DK149" s="321"/>
      <c r="DL149" s="321"/>
      <c r="DM149" s="321"/>
      <c r="DN149" s="321"/>
      <c r="DO149" s="321"/>
      <c r="DP149" s="321"/>
      <c r="DQ149" s="321"/>
      <c r="DR149" s="321"/>
      <c r="DS149" s="321"/>
      <c r="DT149" s="321"/>
      <c r="DU149" s="321"/>
      <c r="DV149" s="321"/>
      <c r="DW149" s="321"/>
      <c r="DX149" s="321"/>
      <c r="DY149" s="321"/>
      <c r="DZ149" s="321"/>
      <c r="EA149" s="321"/>
      <c r="EB149" s="321"/>
      <c r="EC149" s="321"/>
      <c r="ED149" s="321"/>
      <c r="EE149" s="321"/>
      <c r="EF149" s="321"/>
      <c r="EG149" s="321"/>
      <c r="EH149" s="321"/>
      <c r="EI149" s="321"/>
      <c r="EJ149" s="321"/>
      <c r="EK149" s="321"/>
      <c r="EL149" s="321"/>
      <c r="EM149" s="321"/>
      <c r="EN149" s="321"/>
      <c r="EO149" s="321"/>
      <c r="EP149" s="321"/>
      <c r="EQ149" s="321"/>
      <c r="ER149" s="321"/>
      <c r="ES149" s="321"/>
      <c r="ET149" s="321"/>
      <c r="EU149" s="321"/>
      <c r="EV149" s="321"/>
      <c r="EW149" s="321"/>
      <c r="EX149" s="321"/>
      <c r="EY149" s="321"/>
      <c r="EZ149" s="321"/>
      <c r="FA149" s="321"/>
      <c r="FB149" s="321"/>
      <c r="FC149" s="321"/>
      <c r="FD149" s="321"/>
      <c r="FE149" s="321"/>
      <c r="FF149" s="321"/>
      <c r="FG149" s="321"/>
      <c r="FH149" s="321"/>
      <c r="FI149" s="321"/>
      <c r="FJ149" s="321"/>
      <c r="FK149" s="321"/>
      <c r="FL149" s="321"/>
      <c r="FM149" s="321"/>
      <c r="FN149" s="321"/>
      <c r="FO149" s="321"/>
      <c r="FP149" s="321"/>
      <c r="FQ149" s="321"/>
      <c r="FR149" s="321"/>
      <c r="FS149" s="321"/>
      <c r="FT149" s="321"/>
      <c r="FU149" s="321"/>
      <c r="FV149" s="321"/>
      <c r="FW149" s="321"/>
      <c r="FX149" s="321"/>
      <c r="FY149" s="321"/>
      <c r="FZ149" s="321"/>
      <c r="GA149" s="321"/>
      <c r="GB149" s="321"/>
      <c r="GC149" s="321"/>
      <c r="GD149" s="321"/>
      <c r="GE149" s="321"/>
      <c r="GF149" s="321"/>
      <c r="GG149" s="321"/>
      <c r="GH149" s="321"/>
      <c r="GI149" s="321"/>
      <c r="GJ149" s="321"/>
      <c r="GK149" s="321"/>
      <c r="GL149" s="321"/>
      <c r="GM149" s="321"/>
      <c r="GN149" s="321"/>
      <c r="GO149" s="321"/>
      <c r="GP149" s="321"/>
      <c r="GQ149" s="321"/>
      <c r="GR149" s="321"/>
      <c r="GS149" s="321"/>
      <c r="GT149" s="321"/>
      <c r="GU149" s="321"/>
      <c r="GV149" s="321"/>
      <c r="GW149" s="321"/>
      <c r="GX149" s="321"/>
      <c r="GY149" s="321"/>
      <c r="GZ149" s="321"/>
      <c r="HA149" s="321"/>
      <c r="HB149" s="321"/>
      <c r="HC149" s="321"/>
      <c r="HD149" s="321"/>
      <c r="HE149" s="321"/>
      <c r="HF149" s="321"/>
      <c r="HG149" s="321"/>
      <c r="HH149" s="321"/>
      <c r="HI149" s="321"/>
      <c r="HJ149" s="321"/>
      <c r="HK149" s="321"/>
      <c r="HL149" s="321"/>
      <c r="HM149" s="321"/>
      <c r="HN149" s="321"/>
      <c r="HO149" s="321"/>
      <c r="HP149" s="321"/>
      <c r="HQ149" s="321"/>
      <c r="HR149" s="321"/>
      <c r="HS149" s="321"/>
      <c r="HT149" s="321"/>
      <c r="HU149" s="321"/>
      <c r="HV149" s="321"/>
      <c r="HW149" s="321"/>
      <c r="HX149" s="321"/>
      <c r="HY149" s="321"/>
      <c r="HZ149" s="321"/>
      <c r="IA149" s="321"/>
      <c r="IB149" s="321"/>
      <c r="IC149" s="321"/>
      <c r="ID149" s="321"/>
      <c r="IE149" s="321"/>
      <c r="IF149" s="321"/>
      <c r="IG149" s="321"/>
      <c r="IH149" s="321"/>
      <c r="II149" s="321"/>
      <c r="IJ149" s="321"/>
      <c r="IK149" s="321"/>
      <c r="IL149" s="321"/>
      <c r="IM149" s="321"/>
      <c r="IN149" s="321"/>
      <c r="IO149" s="321"/>
      <c r="IP149" s="321"/>
      <c r="IQ149" s="321"/>
      <c r="IR149" s="321"/>
      <c r="IS149" s="321"/>
      <c r="IT149" s="321"/>
      <c r="IU149" s="321"/>
      <c r="IV149" s="321"/>
    </row>
    <row r="150" spans="1:256" s="546" customFormat="1" ht="18" customHeight="1">
      <c r="A150" s="561">
        <v>141</v>
      </c>
      <c r="B150" s="554"/>
      <c r="C150" s="322"/>
      <c r="D150" s="987" t="s">
        <v>1035</v>
      </c>
      <c r="E150" s="330"/>
      <c r="F150" s="330"/>
      <c r="G150" s="331"/>
      <c r="H150" s="762"/>
      <c r="I150" s="760"/>
      <c r="J150" s="330"/>
      <c r="K150" s="1151">
        <v>0</v>
      </c>
      <c r="L150" s="1151">
        <v>328</v>
      </c>
      <c r="M150" s="330"/>
      <c r="N150" s="330"/>
      <c r="O150" s="1175">
        <f>SUM(I150:N150)</f>
        <v>328</v>
      </c>
      <c r="P150" s="551"/>
      <c r="Q150" s="321"/>
      <c r="R150" s="321"/>
      <c r="S150" s="321"/>
      <c r="T150" s="321"/>
      <c r="U150" s="321"/>
      <c r="V150" s="321"/>
      <c r="W150" s="321"/>
      <c r="X150" s="321"/>
      <c r="Y150" s="321"/>
      <c r="Z150" s="321"/>
      <c r="AA150" s="321"/>
      <c r="AB150" s="321"/>
      <c r="AC150" s="321"/>
      <c r="AD150" s="321"/>
      <c r="AE150" s="321"/>
      <c r="AF150" s="321"/>
      <c r="AG150" s="321"/>
      <c r="AH150" s="321"/>
      <c r="AI150" s="321"/>
      <c r="AJ150" s="321"/>
      <c r="AK150" s="321"/>
      <c r="AL150" s="321"/>
      <c r="AM150" s="321"/>
      <c r="AN150" s="321"/>
      <c r="AO150" s="321"/>
      <c r="AP150" s="321"/>
      <c r="AQ150" s="321"/>
      <c r="AR150" s="321"/>
      <c r="AS150" s="321"/>
      <c r="AT150" s="321"/>
      <c r="AU150" s="321"/>
      <c r="AV150" s="321"/>
      <c r="AW150" s="321"/>
      <c r="AX150" s="321"/>
      <c r="AY150" s="321"/>
      <c r="AZ150" s="321"/>
      <c r="BA150" s="321"/>
      <c r="BB150" s="321"/>
      <c r="BC150" s="321"/>
      <c r="BD150" s="321"/>
      <c r="BE150" s="321"/>
      <c r="BF150" s="321"/>
      <c r="BG150" s="321"/>
      <c r="BH150" s="321"/>
      <c r="BI150" s="321"/>
      <c r="BJ150" s="321"/>
      <c r="BK150" s="321"/>
      <c r="BL150" s="321"/>
      <c r="BM150" s="321"/>
      <c r="BN150" s="321"/>
      <c r="BO150" s="321"/>
      <c r="BP150" s="321"/>
      <c r="BQ150" s="321"/>
      <c r="BR150" s="321"/>
      <c r="BS150" s="321"/>
      <c r="BT150" s="321"/>
      <c r="BU150" s="321"/>
      <c r="BV150" s="321"/>
      <c r="BW150" s="321"/>
      <c r="BX150" s="321"/>
      <c r="BY150" s="321"/>
      <c r="BZ150" s="321"/>
      <c r="CA150" s="321"/>
      <c r="CB150" s="321"/>
      <c r="CC150" s="321"/>
      <c r="CD150" s="321"/>
      <c r="CE150" s="321"/>
      <c r="CF150" s="321"/>
      <c r="CG150" s="321"/>
      <c r="CH150" s="321"/>
      <c r="CI150" s="321"/>
      <c r="CJ150" s="321"/>
      <c r="CK150" s="321"/>
      <c r="CL150" s="321"/>
      <c r="CM150" s="321"/>
      <c r="CN150" s="321"/>
      <c r="CO150" s="321"/>
      <c r="CP150" s="321"/>
      <c r="CQ150" s="321"/>
      <c r="CR150" s="321"/>
      <c r="CS150" s="321"/>
      <c r="CT150" s="321"/>
      <c r="CU150" s="321"/>
      <c r="CV150" s="321"/>
      <c r="CW150" s="321"/>
      <c r="CX150" s="321"/>
      <c r="CY150" s="321"/>
      <c r="CZ150" s="321"/>
      <c r="DA150" s="321"/>
      <c r="DB150" s="321"/>
      <c r="DC150" s="321"/>
      <c r="DD150" s="321"/>
      <c r="DE150" s="321"/>
      <c r="DF150" s="321"/>
      <c r="DG150" s="321"/>
      <c r="DH150" s="321"/>
      <c r="DI150" s="321"/>
      <c r="DJ150" s="321"/>
      <c r="DK150" s="321"/>
      <c r="DL150" s="321"/>
      <c r="DM150" s="321"/>
      <c r="DN150" s="321"/>
      <c r="DO150" s="321"/>
      <c r="DP150" s="321"/>
      <c r="DQ150" s="321"/>
      <c r="DR150" s="321"/>
      <c r="DS150" s="321"/>
      <c r="DT150" s="321"/>
      <c r="DU150" s="321"/>
      <c r="DV150" s="321"/>
      <c r="DW150" s="321"/>
      <c r="DX150" s="321"/>
      <c r="DY150" s="321"/>
      <c r="DZ150" s="321"/>
      <c r="EA150" s="321"/>
      <c r="EB150" s="321"/>
      <c r="EC150" s="321"/>
      <c r="ED150" s="321"/>
      <c r="EE150" s="321"/>
      <c r="EF150" s="321"/>
      <c r="EG150" s="321"/>
      <c r="EH150" s="321"/>
      <c r="EI150" s="321"/>
      <c r="EJ150" s="321"/>
      <c r="EK150" s="321"/>
      <c r="EL150" s="321"/>
      <c r="EM150" s="321"/>
      <c r="EN150" s="321"/>
      <c r="EO150" s="321"/>
      <c r="EP150" s="321"/>
      <c r="EQ150" s="321"/>
      <c r="ER150" s="321"/>
      <c r="ES150" s="321"/>
      <c r="ET150" s="321"/>
      <c r="EU150" s="321"/>
      <c r="EV150" s="321"/>
      <c r="EW150" s="321"/>
      <c r="EX150" s="321"/>
      <c r="EY150" s="321"/>
      <c r="EZ150" s="321"/>
      <c r="FA150" s="321"/>
      <c r="FB150" s="321"/>
      <c r="FC150" s="321"/>
      <c r="FD150" s="321"/>
      <c r="FE150" s="321"/>
      <c r="FF150" s="321"/>
      <c r="FG150" s="321"/>
      <c r="FH150" s="321"/>
      <c r="FI150" s="321"/>
      <c r="FJ150" s="321"/>
      <c r="FK150" s="321"/>
      <c r="FL150" s="321"/>
      <c r="FM150" s="321"/>
      <c r="FN150" s="321"/>
      <c r="FO150" s="321"/>
      <c r="FP150" s="321"/>
      <c r="FQ150" s="321"/>
      <c r="FR150" s="321"/>
      <c r="FS150" s="321"/>
      <c r="FT150" s="321"/>
      <c r="FU150" s="321"/>
      <c r="FV150" s="321"/>
      <c r="FW150" s="321"/>
      <c r="FX150" s="321"/>
      <c r="FY150" s="321"/>
      <c r="FZ150" s="321"/>
      <c r="GA150" s="321"/>
      <c r="GB150" s="321"/>
      <c r="GC150" s="321"/>
      <c r="GD150" s="321"/>
      <c r="GE150" s="321"/>
      <c r="GF150" s="321"/>
      <c r="GG150" s="321"/>
      <c r="GH150" s="321"/>
      <c r="GI150" s="321"/>
      <c r="GJ150" s="321"/>
      <c r="GK150" s="321"/>
      <c r="GL150" s="321"/>
      <c r="GM150" s="321"/>
      <c r="GN150" s="321"/>
      <c r="GO150" s="321"/>
      <c r="GP150" s="321"/>
      <c r="GQ150" s="321"/>
      <c r="GR150" s="321"/>
      <c r="GS150" s="321"/>
      <c r="GT150" s="321"/>
      <c r="GU150" s="321"/>
      <c r="GV150" s="321"/>
      <c r="GW150" s="321"/>
      <c r="GX150" s="321"/>
      <c r="GY150" s="321"/>
      <c r="GZ150" s="321"/>
      <c r="HA150" s="321"/>
      <c r="HB150" s="321"/>
      <c r="HC150" s="321"/>
      <c r="HD150" s="321"/>
      <c r="HE150" s="321"/>
      <c r="HF150" s="321"/>
      <c r="HG150" s="321"/>
      <c r="HH150" s="321"/>
      <c r="HI150" s="321"/>
      <c r="HJ150" s="321"/>
      <c r="HK150" s="321"/>
      <c r="HL150" s="321"/>
      <c r="HM150" s="321"/>
      <c r="HN150" s="321"/>
      <c r="HO150" s="321"/>
      <c r="HP150" s="321"/>
      <c r="HQ150" s="321"/>
      <c r="HR150" s="321"/>
      <c r="HS150" s="321"/>
      <c r="HT150" s="321"/>
      <c r="HU150" s="321"/>
      <c r="HV150" s="321"/>
      <c r="HW150" s="321"/>
      <c r="HX150" s="321"/>
      <c r="HY150" s="321"/>
      <c r="HZ150" s="321"/>
      <c r="IA150" s="321"/>
      <c r="IB150" s="321"/>
      <c r="IC150" s="321"/>
      <c r="ID150" s="321"/>
      <c r="IE150" s="321"/>
      <c r="IF150" s="321"/>
      <c r="IG150" s="321"/>
      <c r="IH150" s="321"/>
      <c r="II150" s="321"/>
      <c r="IJ150" s="321"/>
      <c r="IK150" s="321"/>
      <c r="IL150" s="321"/>
      <c r="IM150" s="321"/>
      <c r="IN150" s="321"/>
      <c r="IO150" s="321"/>
      <c r="IP150" s="321"/>
      <c r="IQ150" s="321"/>
      <c r="IR150" s="321"/>
      <c r="IS150" s="321"/>
      <c r="IT150" s="321"/>
      <c r="IU150" s="321"/>
      <c r="IV150" s="321"/>
    </row>
    <row r="151" spans="1:256" s="546" customFormat="1" ht="51.75" customHeight="1">
      <c r="A151" s="561">
        <v>142</v>
      </c>
      <c r="B151" s="554"/>
      <c r="C151" s="322">
        <v>36</v>
      </c>
      <c r="D151" s="323" t="s">
        <v>637</v>
      </c>
      <c r="E151" s="330"/>
      <c r="F151" s="330"/>
      <c r="G151" s="331"/>
      <c r="H151" s="762" t="s">
        <v>24</v>
      </c>
      <c r="I151" s="778"/>
      <c r="J151" s="772"/>
      <c r="K151" s="772"/>
      <c r="L151" s="772"/>
      <c r="M151" s="772"/>
      <c r="N151" s="772"/>
      <c r="O151" s="745"/>
      <c r="P151" s="551"/>
      <c r="Q151" s="321"/>
      <c r="R151" s="321"/>
      <c r="S151" s="321"/>
      <c r="T151" s="321"/>
      <c r="U151" s="321"/>
      <c r="V151" s="321"/>
      <c r="W151" s="321"/>
      <c r="X151" s="321"/>
      <c r="Y151" s="321"/>
      <c r="Z151" s="321"/>
      <c r="AA151" s="321"/>
      <c r="AB151" s="321"/>
      <c r="AC151" s="321"/>
      <c r="AD151" s="321"/>
      <c r="AE151" s="321"/>
      <c r="AF151" s="321"/>
      <c r="AG151" s="321"/>
      <c r="AH151" s="321"/>
      <c r="AI151" s="321"/>
      <c r="AJ151" s="321"/>
      <c r="AK151" s="321"/>
      <c r="AL151" s="321"/>
      <c r="AM151" s="321"/>
      <c r="AN151" s="321"/>
      <c r="AO151" s="321"/>
      <c r="AP151" s="321"/>
      <c r="AQ151" s="321"/>
      <c r="AR151" s="321"/>
      <c r="AS151" s="321"/>
      <c r="AT151" s="321"/>
      <c r="AU151" s="321"/>
      <c r="AV151" s="321"/>
      <c r="AW151" s="321"/>
      <c r="AX151" s="321"/>
      <c r="AY151" s="321"/>
      <c r="AZ151" s="321"/>
      <c r="BA151" s="321"/>
      <c r="BB151" s="321"/>
      <c r="BC151" s="321"/>
      <c r="BD151" s="321"/>
      <c r="BE151" s="321"/>
      <c r="BF151" s="321"/>
      <c r="BG151" s="321"/>
      <c r="BH151" s="321"/>
      <c r="BI151" s="321"/>
      <c r="BJ151" s="321"/>
      <c r="BK151" s="321"/>
      <c r="BL151" s="321"/>
      <c r="BM151" s="321"/>
      <c r="BN151" s="321"/>
      <c r="BO151" s="321"/>
      <c r="BP151" s="321"/>
      <c r="BQ151" s="321"/>
      <c r="BR151" s="321"/>
      <c r="BS151" s="321"/>
      <c r="BT151" s="321"/>
      <c r="BU151" s="321"/>
      <c r="BV151" s="321"/>
      <c r="BW151" s="321"/>
      <c r="BX151" s="321"/>
      <c r="BY151" s="321"/>
      <c r="BZ151" s="321"/>
      <c r="CA151" s="321"/>
      <c r="CB151" s="321"/>
      <c r="CC151" s="321"/>
      <c r="CD151" s="321"/>
      <c r="CE151" s="321"/>
      <c r="CF151" s="321"/>
      <c r="CG151" s="321"/>
      <c r="CH151" s="321"/>
      <c r="CI151" s="321"/>
      <c r="CJ151" s="321"/>
      <c r="CK151" s="321"/>
      <c r="CL151" s="321"/>
      <c r="CM151" s="321"/>
      <c r="CN151" s="321"/>
      <c r="CO151" s="321"/>
      <c r="CP151" s="321"/>
      <c r="CQ151" s="321"/>
      <c r="CR151" s="321"/>
      <c r="CS151" s="321"/>
      <c r="CT151" s="321"/>
      <c r="CU151" s="321"/>
      <c r="CV151" s="321"/>
      <c r="CW151" s="321"/>
      <c r="CX151" s="321"/>
      <c r="CY151" s="321"/>
      <c r="CZ151" s="321"/>
      <c r="DA151" s="321"/>
      <c r="DB151" s="321"/>
      <c r="DC151" s="321"/>
      <c r="DD151" s="321"/>
      <c r="DE151" s="321"/>
      <c r="DF151" s="321"/>
      <c r="DG151" s="321"/>
      <c r="DH151" s="321"/>
      <c r="DI151" s="321"/>
      <c r="DJ151" s="321"/>
      <c r="DK151" s="321"/>
      <c r="DL151" s="321"/>
      <c r="DM151" s="321"/>
      <c r="DN151" s="321"/>
      <c r="DO151" s="321"/>
      <c r="DP151" s="321"/>
      <c r="DQ151" s="321"/>
      <c r="DR151" s="321"/>
      <c r="DS151" s="321"/>
      <c r="DT151" s="321"/>
      <c r="DU151" s="321"/>
      <c r="DV151" s="321"/>
      <c r="DW151" s="321"/>
      <c r="DX151" s="321"/>
      <c r="DY151" s="321"/>
      <c r="DZ151" s="321"/>
      <c r="EA151" s="321"/>
      <c r="EB151" s="321"/>
      <c r="EC151" s="321"/>
      <c r="ED151" s="321"/>
      <c r="EE151" s="321"/>
      <c r="EF151" s="321"/>
      <c r="EG151" s="321"/>
      <c r="EH151" s="321"/>
      <c r="EI151" s="321"/>
      <c r="EJ151" s="321"/>
      <c r="EK151" s="321"/>
      <c r="EL151" s="321"/>
      <c r="EM151" s="321"/>
      <c r="EN151" s="321"/>
      <c r="EO151" s="321"/>
      <c r="EP151" s="321"/>
      <c r="EQ151" s="321"/>
      <c r="ER151" s="321"/>
      <c r="ES151" s="321"/>
      <c r="ET151" s="321"/>
      <c r="EU151" s="321"/>
      <c r="EV151" s="321"/>
      <c r="EW151" s="321"/>
      <c r="EX151" s="321"/>
      <c r="EY151" s="321"/>
      <c r="EZ151" s="321"/>
      <c r="FA151" s="321"/>
      <c r="FB151" s="321"/>
      <c r="FC151" s="321"/>
      <c r="FD151" s="321"/>
      <c r="FE151" s="321"/>
      <c r="FF151" s="321"/>
      <c r="FG151" s="321"/>
      <c r="FH151" s="321"/>
      <c r="FI151" s="321"/>
      <c r="FJ151" s="321"/>
      <c r="FK151" s="321"/>
      <c r="FL151" s="321"/>
      <c r="FM151" s="321"/>
      <c r="FN151" s="321"/>
      <c r="FO151" s="321"/>
      <c r="FP151" s="321"/>
      <c r="FQ151" s="321"/>
      <c r="FR151" s="321"/>
      <c r="FS151" s="321"/>
      <c r="FT151" s="321"/>
      <c r="FU151" s="321"/>
      <c r="FV151" s="321"/>
      <c r="FW151" s="321"/>
      <c r="FX151" s="321"/>
      <c r="FY151" s="321"/>
      <c r="FZ151" s="321"/>
      <c r="GA151" s="321"/>
      <c r="GB151" s="321"/>
      <c r="GC151" s="321"/>
      <c r="GD151" s="321"/>
      <c r="GE151" s="321"/>
      <c r="GF151" s="321"/>
      <c r="GG151" s="321"/>
      <c r="GH151" s="321"/>
      <c r="GI151" s="321"/>
      <c r="GJ151" s="321"/>
      <c r="GK151" s="321"/>
      <c r="GL151" s="321"/>
      <c r="GM151" s="321"/>
      <c r="GN151" s="321"/>
      <c r="GO151" s="321"/>
      <c r="GP151" s="321"/>
      <c r="GQ151" s="321"/>
      <c r="GR151" s="321"/>
      <c r="GS151" s="321"/>
      <c r="GT151" s="321"/>
      <c r="GU151" s="321"/>
      <c r="GV151" s="321"/>
      <c r="GW151" s="321"/>
      <c r="GX151" s="321"/>
      <c r="GY151" s="321"/>
      <c r="GZ151" s="321"/>
      <c r="HA151" s="321"/>
      <c r="HB151" s="321"/>
      <c r="HC151" s="321"/>
      <c r="HD151" s="321"/>
      <c r="HE151" s="321"/>
      <c r="HF151" s="321"/>
      <c r="HG151" s="321"/>
      <c r="HH151" s="321"/>
      <c r="HI151" s="321"/>
      <c r="HJ151" s="321"/>
      <c r="HK151" s="321"/>
      <c r="HL151" s="321"/>
      <c r="HM151" s="321"/>
      <c r="HN151" s="321"/>
      <c r="HO151" s="321"/>
      <c r="HP151" s="321"/>
      <c r="HQ151" s="321"/>
      <c r="HR151" s="321"/>
      <c r="HS151" s="321"/>
      <c r="HT151" s="321"/>
      <c r="HU151" s="321"/>
      <c r="HV151" s="321"/>
      <c r="HW151" s="321"/>
      <c r="HX151" s="321"/>
      <c r="HY151" s="321"/>
      <c r="HZ151" s="321"/>
      <c r="IA151" s="321"/>
      <c r="IB151" s="321"/>
      <c r="IC151" s="321"/>
      <c r="ID151" s="321"/>
      <c r="IE151" s="321"/>
      <c r="IF151" s="321"/>
      <c r="IG151" s="321"/>
      <c r="IH151" s="321"/>
      <c r="II151" s="321"/>
      <c r="IJ151" s="321"/>
      <c r="IK151" s="321"/>
      <c r="IL151" s="321"/>
      <c r="IM151" s="321"/>
      <c r="IN151" s="321"/>
      <c r="IO151" s="321"/>
      <c r="IP151" s="321"/>
      <c r="IQ151" s="321"/>
      <c r="IR151" s="321"/>
      <c r="IS151" s="321"/>
      <c r="IT151" s="321"/>
      <c r="IU151" s="321"/>
      <c r="IV151" s="321"/>
    </row>
    <row r="152" spans="1:256" s="546" customFormat="1" ht="18" customHeight="1">
      <c r="A152" s="561">
        <v>143</v>
      </c>
      <c r="B152" s="554"/>
      <c r="C152" s="322"/>
      <c r="D152" s="755" t="s">
        <v>303</v>
      </c>
      <c r="E152" s="330">
        <f>F152+G152+O153+P152</f>
        <v>4006</v>
      </c>
      <c r="F152" s="330"/>
      <c r="G152" s="331"/>
      <c r="H152" s="762"/>
      <c r="I152" s="778"/>
      <c r="J152" s="772"/>
      <c r="K152" s="772">
        <v>500</v>
      </c>
      <c r="L152" s="772">
        <v>3506</v>
      </c>
      <c r="M152" s="772"/>
      <c r="N152" s="772"/>
      <c r="O152" s="745">
        <f>SUM(I152:N152)</f>
        <v>4006</v>
      </c>
      <c r="P152" s="551"/>
      <c r="Q152" s="321"/>
      <c r="R152" s="321"/>
      <c r="S152" s="321"/>
      <c r="T152" s="321"/>
      <c r="U152" s="321"/>
      <c r="V152" s="321"/>
      <c r="W152" s="321"/>
      <c r="X152" s="321"/>
      <c r="Y152" s="321"/>
      <c r="Z152" s="321"/>
      <c r="AA152" s="321"/>
      <c r="AB152" s="321"/>
      <c r="AC152" s="321"/>
      <c r="AD152" s="321"/>
      <c r="AE152" s="321"/>
      <c r="AF152" s="321"/>
      <c r="AG152" s="321"/>
      <c r="AH152" s="321"/>
      <c r="AI152" s="321"/>
      <c r="AJ152" s="321"/>
      <c r="AK152" s="321"/>
      <c r="AL152" s="321"/>
      <c r="AM152" s="321"/>
      <c r="AN152" s="321"/>
      <c r="AO152" s="321"/>
      <c r="AP152" s="321"/>
      <c r="AQ152" s="321"/>
      <c r="AR152" s="321"/>
      <c r="AS152" s="321"/>
      <c r="AT152" s="321"/>
      <c r="AU152" s="321"/>
      <c r="AV152" s="321"/>
      <c r="AW152" s="321"/>
      <c r="AX152" s="321"/>
      <c r="AY152" s="321"/>
      <c r="AZ152" s="321"/>
      <c r="BA152" s="321"/>
      <c r="BB152" s="321"/>
      <c r="BC152" s="321"/>
      <c r="BD152" s="321"/>
      <c r="BE152" s="321"/>
      <c r="BF152" s="321"/>
      <c r="BG152" s="321"/>
      <c r="BH152" s="321"/>
      <c r="BI152" s="321"/>
      <c r="BJ152" s="321"/>
      <c r="BK152" s="321"/>
      <c r="BL152" s="321"/>
      <c r="BM152" s="321"/>
      <c r="BN152" s="321"/>
      <c r="BO152" s="321"/>
      <c r="BP152" s="321"/>
      <c r="BQ152" s="321"/>
      <c r="BR152" s="321"/>
      <c r="BS152" s="321"/>
      <c r="BT152" s="321"/>
      <c r="BU152" s="321"/>
      <c r="BV152" s="321"/>
      <c r="BW152" s="321"/>
      <c r="BX152" s="321"/>
      <c r="BY152" s="321"/>
      <c r="BZ152" s="321"/>
      <c r="CA152" s="321"/>
      <c r="CB152" s="321"/>
      <c r="CC152" s="321"/>
      <c r="CD152" s="321"/>
      <c r="CE152" s="321"/>
      <c r="CF152" s="321"/>
      <c r="CG152" s="321"/>
      <c r="CH152" s="321"/>
      <c r="CI152" s="321"/>
      <c r="CJ152" s="321"/>
      <c r="CK152" s="321"/>
      <c r="CL152" s="321"/>
      <c r="CM152" s="321"/>
      <c r="CN152" s="321"/>
      <c r="CO152" s="321"/>
      <c r="CP152" s="321"/>
      <c r="CQ152" s="321"/>
      <c r="CR152" s="321"/>
      <c r="CS152" s="321"/>
      <c r="CT152" s="321"/>
      <c r="CU152" s="321"/>
      <c r="CV152" s="321"/>
      <c r="CW152" s="321"/>
      <c r="CX152" s="321"/>
      <c r="CY152" s="321"/>
      <c r="CZ152" s="321"/>
      <c r="DA152" s="321"/>
      <c r="DB152" s="321"/>
      <c r="DC152" s="321"/>
      <c r="DD152" s="321"/>
      <c r="DE152" s="321"/>
      <c r="DF152" s="321"/>
      <c r="DG152" s="321"/>
      <c r="DH152" s="321"/>
      <c r="DI152" s="321"/>
      <c r="DJ152" s="321"/>
      <c r="DK152" s="321"/>
      <c r="DL152" s="321"/>
      <c r="DM152" s="321"/>
      <c r="DN152" s="321"/>
      <c r="DO152" s="321"/>
      <c r="DP152" s="321"/>
      <c r="DQ152" s="321"/>
      <c r="DR152" s="321"/>
      <c r="DS152" s="321"/>
      <c r="DT152" s="321"/>
      <c r="DU152" s="321"/>
      <c r="DV152" s="321"/>
      <c r="DW152" s="321"/>
      <c r="DX152" s="321"/>
      <c r="DY152" s="321"/>
      <c r="DZ152" s="321"/>
      <c r="EA152" s="321"/>
      <c r="EB152" s="321"/>
      <c r="EC152" s="321"/>
      <c r="ED152" s="321"/>
      <c r="EE152" s="321"/>
      <c r="EF152" s="321"/>
      <c r="EG152" s="321"/>
      <c r="EH152" s="321"/>
      <c r="EI152" s="321"/>
      <c r="EJ152" s="321"/>
      <c r="EK152" s="321"/>
      <c r="EL152" s="321"/>
      <c r="EM152" s="321"/>
      <c r="EN152" s="321"/>
      <c r="EO152" s="321"/>
      <c r="EP152" s="321"/>
      <c r="EQ152" s="321"/>
      <c r="ER152" s="321"/>
      <c r="ES152" s="321"/>
      <c r="ET152" s="321"/>
      <c r="EU152" s="321"/>
      <c r="EV152" s="321"/>
      <c r="EW152" s="321"/>
      <c r="EX152" s="321"/>
      <c r="EY152" s="321"/>
      <c r="EZ152" s="321"/>
      <c r="FA152" s="321"/>
      <c r="FB152" s="321"/>
      <c r="FC152" s="321"/>
      <c r="FD152" s="321"/>
      <c r="FE152" s="321"/>
      <c r="FF152" s="321"/>
      <c r="FG152" s="321"/>
      <c r="FH152" s="321"/>
      <c r="FI152" s="321"/>
      <c r="FJ152" s="321"/>
      <c r="FK152" s="321"/>
      <c r="FL152" s="321"/>
      <c r="FM152" s="321"/>
      <c r="FN152" s="321"/>
      <c r="FO152" s="321"/>
      <c r="FP152" s="321"/>
      <c r="FQ152" s="321"/>
      <c r="FR152" s="321"/>
      <c r="FS152" s="321"/>
      <c r="FT152" s="321"/>
      <c r="FU152" s="321"/>
      <c r="FV152" s="321"/>
      <c r="FW152" s="321"/>
      <c r="FX152" s="321"/>
      <c r="FY152" s="321"/>
      <c r="FZ152" s="321"/>
      <c r="GA152" s="321"/>
      <c r="GB152" s="321"/>
      <c r="GC152" s="321"/>
      <c r="GD152" s="321"/>
      <c r="GE152" s="321"/>
      <c r="GF152" s="321"/>
      <c r="GG152" s="321"/>
      <c r="GH152" s="321"/>
      <c r="GI152" s="321"/>
      <c r="GJ152" s="321"/>
      <c r="GK152" s="321"/>
      <c r="GL152" s="321"/>
      <c r="GM152" s="321"/>
      <c r="GN152" s="321"/>
      <c r="GO152" s="321"/>
      <c r="GP152" s="321"/>
      <c r="GQ152" s="321"/>
      <c r="GR152" s="321"/>
      <c r="GS152" s="321"/>
      <c r="GT152" s="321"/>
      <c r="GU152" s="321"/>
      <c r="GV152" s="321"/>
      <c r="GW152" s="321"/>
      <c r="GX152" s="321"/>
      <c r="GY152" s="321"/>
      <c r="GZ152" s="321"/>
      <c r="HA152" s="321"/>
      <c r="HB152" s="321"/>
      <c r="HC152" s="321"/>
      <c r="HD152" s="321"/>
      <c r="HE152" s="321"/>
      <c r="HF152" s="321"/>
      <c r="HG152" s="321"/>
      <c r="HH152" s="321"/>
      <c r="HI152" s="321"/>
      <c r="HJ152" s="321"/>
      <c r="HK152" s="321"/>
      <c r="HL152" s="321"/>
      <c r="HM152" s="321"/>
      <c r="HN152" s="321"/>
      <c r="HO152" s="321"/>
      <c r="HP152" s="321"/>
      <c r="HQ152" s="321"/>
      <c r="HR152" s="321"/>
      <c r="HS152" s="321"/>
      <c r="HT152" s="321"/>
      <c r="HU152" s="321"/>
      <c r="HV152" s="321"/>
      <c r="HW152" s="321"/>
      <c r="HX152" s="321"/>
      <c r="HY152" s="321"/>
      <c r="HZ152" s="321"/>
      <c r="IA152" s="321"/>
      <c r="IB152" s="321"/>
      <c r="IC152" s="321"/>
      <c r="ID152" s="321"/>
      <c r="IE152" s="321"/>
      <c r="IF152" s="321"/>
      <c r="IG152" s="321"/>
      <c r="IH152" s="321"/>
      <c r="II152" s="321"/>
      <c r="IJ152" s="321"/>
      <c r="IK152" s="321"/>
      <c r="IL152" s="321"/>
      <c r="IM152" s="321"/>
      <c r="IN152" s="321"/>
      <c r="IO152" s="321"/>
      <c r="IP152" s="321"/>
      <c r="IQ152" s="321"/>
      <c r="IR152" s="321"/>
      <c r="IS152" s="321"/>
      <c r="IT152" s="321"/>
      <c r="IU152" s="321"/>
      <c r="IV152" s="321"/>
    </row>
    <row r="153" spans="1:256" s="546" customFormat="1" ht="18" customHeight="1">
      <c r="A153" s="561">
        <v>144</v>
      </c>
      <c r="B153" s="554"/>
      <c r="C153" s="322"/>
      <c r="D153" s="436" t="s">
        <v>994</v>
      </c>
      <c r="E153" s="330"/>
      <c r="F153" s="330"/>
      <c r="G153" s="331"/>
      <c r="H153" s="762"/>
      <c r="I153" s="778"/>
      <c r="J153" s="772"/>
      <c r="K153" s="330">
        <v>500</v>
      </c>
      <c r="L153" s="330">
        <v>3506</v>
      </c>
      <c r="M153" s="772"/>
      <c r="N153" s="772"/>
      <c r="O153" s="555">
        <f>SUM(I153:N153)</f>
        <v>4006</v>
      </c>
      <c r="P153" s="551"/>
      <c r="Q153" s="321"/>
      <c r="R153" s="321"/>
      <c r="S153" s="321"/>
      <c r="T153" s="321"/>
      <c r="U153" s="321"/>
      <c r="V153" s="321"/>
      <c r="W153" s="321"/>
      <c r="X153" s="321"/>
      <c r="Y153" s="321"/>
      <c r="Z153" s="321"/>
      <c r="AA153" s="321"/>
      <c r="AB153" s="321"/>
      <c r="AC153" s="321"/>
      <c r="AD153" s="321"/>
      <c r="AE153" s="321"/>
      <c r="AF153" s="321"/>
      <c r="AG153" s="321"/>
      <c r="AH153" s="321"/>
      <c r="AI153" s="321"/>
      <c r="AJ153" s="321"/>
      <c r="AK153" s="321"/>
      <c r="AL153" s="321"/>
      <c r="AM153" s="321"/>
      <c r="AN153" s="321"/>
      <c r="AO153" s="321"/>
      <c r="AP153" s="321"/>
      <c r="AQ153" s="321"/>
      <c r="AR153" s="321"/>
      <c r="AS153" s="321"/>
      <c r="AT153" s="321"/>
      <c r="AU153" s="321"/>
      <c r="AV153" s="321"/>
      <c r="AW153" s="321"/>
      <c r="AX153" s="321"/>
      <c r="AY153" s="321"/>
      <c r="AZ153" s="321"/>
      <c r="BA153" s="321"/>
      <c r="BB153" s="321"/>
      <c r="BC153" s="321"/>
      <c r="BD153" s="321"/>
      <c r="BE153" s="321"/>
      <c r="BF153" s="321"/>
      <c r="BG153" s="321"/>
      <c r="BH153" s="321"/>
      <c r="BI153" s="321"/>
      <c r="BJ153" s="321"/>
      <c r="BK153" s="321"/>
      <c r="BL153" s="321"/>
      <c r="BM153" s="321"/>
      <c r="BN153" s="321"/>
      <c r="BO153" s="321"/>
      <c r="BP153" s="321"/>
      <c r="BQ153" s="321"/>
      <c r="BR153" s="321"/>
      <c r="BS153" s="321"/>
      <c r="BT153" s="321"/>
      <c r="BU153" s="321"/>
      <c r="BV153" s="321"/>
      <c r="BW153" s="321"/>
      <c r="BX153" s="321"/>
      <c r="BY153" s="321"/>
      <c r="BZ153" s="321"/>
      <c r="CA153" s="321"/>
      <c r="CB153" s="321"/>
      <c r="CC153" s="321"/>
      <c r="CD153" s="321"/>
      <c r="CE153" s="321"/>
      <c r="CF153" s="321"/>
      <c r="CG153" s="321"/>
      <c r="CH153" s="321"/>
      <c r="CI153" s="321"/>
      <c r="CJ153" s="321"/>
      <c r="CK153" s="321"/>
      <c r="CL153" s="321"/>
      <c r="CM153" s="321"/>
      <c r="CN153" s="321"/>
      <c r="CO153" s="321"/>
      <c r="CP153" s="321"/>
      <c r="CQ153" s="321"/>
      <c r="CR153" s="321"/>
      <c r="CS153" s="321"/>
      <c r="CT153" s="321"/>
      <c r="CU153" s="321"/>
      <c r="CV153" s="321"/>
      <c r="CW153" s="321"/>
      <c r="CX153" s="321"/>
      <c r="CY153" s="321"/>
      <c r="CZ153" s="321"/>
      <c r="DA153" s="321"/>
      <c r="DB153" s="321"/>
      <c r="DC153" s="321"/>
      <c r="DD153" s="321"/>
      <c r="DE153" s="321"/>
      <c r="DF153" s="321"/>
      <c r="DG153" s="321"/>
      <c r="DH153" s="321"/>
      <c r="DI153" s="321"/>
      <c r="DJ153" s="321"/>
      <c r="DK153" s="321"/>
      <c r="DL153" s="321"/>
      <c r="DM153" s="321"/>
      <c r="DN153" s="321"/>
      <c r="DO153" s="321"/>
      <c r="DP153" s="321"/>
      <c r="DQ153" s="321"/>
      <c r="DR153" s="321"/>
      <c r="DS153" s="321"/>
      <c r="DT153" s="321"/>
      <c r="DU153" s="321"/>
      <c r="DV153" s="321"/>
      <c r="DW153" s="321"/>
      <c r="DX153" s="321"/>
      <c r="DY153" s="321"/>
      <c r="DZ153" s="321"/>
      <c r="EA153" s="321"/>
      <c r="EB153" s="321"/>
      <c r="EC153" s="321"/>
      <c r="ED153" s="321"/>
      <c r="EE153" s="321"/>
      <c r="EF153" s="321"/>
      <c r="EG153" s="321"/>
      <c r="EH153" s="321"/>
      <c r="EI153" s="321"/>
      <c r="EJ153" s="321"/>
      <c r="EK153" s="321"/>
      <c r="EL153" s="321"/>
      <c r="EM153" s="321"/>
      <c r="EN153" s="321"/>
      <c r="EO153" s="321"/>
      <c r="EP153" s="321"/>
      <c r="EQ153" s="321"/>
      <c r="ER153" s="321"/>
      <c r="ES153" s="321"/>
      <c r="ET153" s="321"/>
      <c r="EU153" s="321"/>
      <c r="EV153" s="321"/>
      <c r="EW153" s="321"/>
      <c r="EX153" s="321"/>
      <c r="EY153" s="321"/>
      <c r="EZ153" s="321"/>
      <c r="FA153" s="321"/>
      <c r="FB153" s="321"/>
      <c r="FC153" s="321"/>
      <c r="FD153" s="321"/>
      <c r="FE153" s="321"/>
      <c r="FF153" s="321"/>
      <c r="FG153" s="321"/>
      <c r="FH153" s="321"/>
      <c r="FI153" s="321"/>
      <c r="FJ153" s="321"/>
      <c r="FK153" s="321"/>
      <c r="FL153" s="321"/>
      <c r="FM153" s="321"/>
      <c r="FN153" s="321"/>
      <c r="FO153" s="321"/>
      <c r="FP153" s="321"/>
      <c r="FQ153" s="321"/>
      <c r="FR153" s="321"/>
      <c r="FS153" s="321"/>
      <c r="FT153" s="321"/>
      <c r="FU153" s="321"/>
      <c r="FV153" s="321"/>
      <c r="FW153" s="321"/>
      <c r="FX153" s="321"/>
      <c r="FY153" s="321"/>
      <c r="FZ153" s="321"/>
      <c r="GA153" s="321"/>
      <c r="GB153" s="321"/>
      <c r="GC153" s="321"/>
      <c r="GD153" s="321"/>
      <c r="GE153" s="321"/>
      <c r="GF153" s="321"/>
      <c r="GG153" s="321"/>
      <c r="GH153" s="321"/>
      <c r="GI153" s="321"/>
      <c r="GJ153" s="321"/>
      <c r="GK153" s="321"/>
      <c r="GL153" s="321"/>
      <c r="GM153" s="321"/>
      <c r="GN153" s="321"/>
      <c r="GO153" s="321"/>
      <c r="GP153" s="321"/>
      <c r="GQ153" s="321"/>
      <c r="GR153" s="321"/>
      <c r="GS153" s="321"/>
      <c r="GT153" s="321"/>
      <c r="GU153" s="321"/>
      <c r="GV153" s="321"/>
      <c r="GW153" s="321"/>
      <c r="GX153" s="321"/>
      <c r="GY153" s="321"/>
      <c r="GZ153" s="321"/>
      <c r="HA153" s="321"/>
      <c r="HB153" s="321"/>
      <c r="HC153" s="321"/>
      <c r="HD153" s="321"/>
      <c r="HE153" s="321"/>
      <c r="HF153" s="321"/>
      <c r="HG153" s="321"/>
      <c r="HH153" s="321"/>
      <c r="HI153" s="321"/>
      <c r="HJ153" s="321"/>
      <c r="HK153" s="321"/>
      <c r="HL153" s="321"/>
      <c r="HM153" s="321"/>
      <c r="HN153" s="321"/>
      <c r="HO153" s="321"/>
      <c r="HP153" s="321"/>
      <c r="HQ153" s="321"/>
      <c r="HR153" s="321"/>
      <c r="HS153" s="321"/>
      <c r="HT153" s="321"/>
      <c r="HU153" s="321"/>
      <c r="HV153" s="321"/>
      <c r="HW153" s="321"/>
      <c r="HX153" s="321"/>
      <c r="HY153" s="321"/>
      <c r="HZ153" s="321"/>
      <c r="IA153" s="321"/>
      <c r="IB153" s="321"/>
      <c r="IC153" s="321"/>
      <c r="ID153" s="321"/>
      <c r="IE153" s="321"/>
      <c r="IF153" s="321"/>
      <c r="IG153" s="321"/>
      <c r="IH153" s="321"/>
      <c r="II153" s="321"/>
      <c r="IJ153" s="321"/>
      <c r="IK153" s="321"/>
      <c r="IL153" s="321"/>
      <c r="IM153" s="321"/>
      <c r="IN153" s="321"/>
      <c r="IO153" s="321"/>
      <c r="IP153" s="321"/>
      <c r="IQ153" s="321"/>
      <c r="IR153" s="321"/>
      <c r="IS153" s="321"/>
      <c r="IT153" s="321"/>
      <c r="IU153" s="321"/>
      <c r="IV153" s="321"/>
    </row>
    <row r="154" spans="1:256" s="546" customFormat="1" ht="18" customHeight="1">
      <c r="A154" s="561">
        <v>145</v>
      </c>
      <c r="B154" s="554"/>
      <c r="C154" s="322"/>
      <c r="D154" s="987" t="s">
        <v>1036</v>
      </c>
      <c r="E154" s="330"/>
      <c r="F154" s="330"/>
      <c r="G154" s="331"/>
      <c r="H154" s="762"/>
      <c r="I154" s="760"/>
      <c r="J154" s="330"/>
      <c r="K154" s="1151">
        <v>311</v>
      </c>
      <c r="L154" s="1151">
        <v>3505</v>
      </c>
      <c r="M154" s="330"/>
      <c r="N154" s="330"/>
      <c r="O154" s="1175">
        <f>SUM(I154:N154)</f>
        <v>3816</v>
      </c>
      <c r="P154" s="551"/>
      <c r="Q154" s="321"/>
      <c r="R154" s="321"/>
      <c r="S154" s="321"/>
      <c r="T154" s="321"/>
      <c r="U154" s="321"/>
      <c r="V154" s="321"/>
      <c r="W154" s="321"/>
      <c r="X154" s="321"/>
      <c r="Y154" s="321"/>
      <c r="Z154" s="321"/>
      <c r="AA154" s="321"/>
      <c r="AB154" s="321"/>
      <c r="AC154" s="321"/>
      <c r="AD154" s="321"/>
      <c r="AE154" s="321"/>
      <c r="AF154" s="321"/>
      <c r="AG154" s="321"/>
      <c r="AH154" s="321"/>
      <c r="AI154" s="321"/>
      <c r="AJ154" s="321"/>
      <c r="AK154" s="321"/>
      <c r="AL154" s="321"/>
      <c r="AM154" s="321"/>
      <c r="AN154" s="321"/>
      <c r="AO154" s="321"/>
      <c r="AP154" s="321"/>
      <c r="AQ154" s="321"/>
      <c r="AR154" s="321"/>
      <c r="AS154" s="321"/>
      <c r="AT154" s="321"/>
      <c r="AU154" s="321"/>
      <c r="AV154" s="321"/>
      <c r="AW154" s="321"/>
      <c r="AX154" s="321"/>
      <c r="AY154" s="321"/>
      <c r="AZ154" s="321"/>
      <c r="BA154" s="321"/>
      <c r="BB154" s="321"/>
      <c r="BC154" s="321"/>
      <c r="BD154" s="321"/>
      <c r="BE154" s="321"/>
      <c r="BF154" s="321"/>
      <c r="BG154" s="321"/>
      <c r="BH154" s="321"/>
      <c r="BI154" s="321"/>
      <c r="BJ154" s="321"/>
      <c r="BK154" s="321"/>
      <c r="BL154" s="321"/>
      <c r="BM154" s="321"/>
      <c r="BN154" s="321"/>
      <c r="BO154" s="321"/>
      <c r="BP154" s="321"/>
      <c r="BQ154" s="321"/>
      <c r="BR154" s="321"/>
      <c r="BS154" s="321"/>
      <c r="BT154" s="321"/>
      <c r="BU154" s="321"/>
      <c r="BV154" s="321"/>
      <c r="BW154" s="321"/>
      <c r="BX154" s="321"/>
      <c r="BY154" s="321"/>
      <c r="BZ154" s="321"/>
      <c r="CA154" s="321"/>
      <c r="CB154" s="321"/>
      <c r="CC154" s="321"/>
      <c r="CD154" s="321"/>
      <c r="CE154" s="321"/>
      <c r="CF154" s="321"/>
      <c r="CG154" s="321"/>
      <c r="CH154" s="321"/>
      <c r="CI154" s="321"/>
      <c r="CJ154" s="321"/>
      <c r="CK154" s="321"/>
      <c r="CL154" s="321"/>
      <c r="CM154" s="321"/>
      <c r="CN154" s="321"/>
      <c r="CO154" s="321"/>
      <c r="CP154" s="321"/>
      <c r="CQ154" s="321"/>
      <c r="CR154" s="321"/>
      <c r="CS154" s="321"/>
      <c r="CT154" s="321"/>
      <c r="CU154" s="321"/>
      <c r="CV154" s="321"/>
      <c r="CW154" s="321"/>
      <c r="CX154" s="321"/>
      <c r="CY154" s="321"/>
      <c r="CZ154" s="321"/>
      <c r="DA154" s="321"/>
      <c r="DB154" s="321"/>
      <c r="DC154" s="321"/>
      <c r="DD154" s="321"/>
      <c r="DE154" s="321"/>
      <c r="DF154" s="321"/>
      <c r="DG154" s="321"/>
      <c r="DH154" s="321"/>
      <c r="DI154" s="321"/>
      <c r="DJ154" s="321"/>
      <c r="DK154" s="321"/>
      <c r="DL154" s="321"/>
      <c r="DM154" s="321"/>
      <c r="DN154" s="321"/>
      <c r="DO154" s="321"/>
      <c r="DP154" s="321"/>
      <c r="DQ154" s="321"/>
      <c r="DR154" s="321"/>
      <c r="DS154" s="321"/>
      <c r="DT154" s="321"/>
      <c r="DU154" s="321"/>
      <c r="DV154" s="321"/>
      <c r="DW154" s="321"/>
      <c r="DX154" s="321"/>
      <c r="DY154" s="321"/>
      <c r="DZ154" s="321"/>
      <c r="EA154" s="321"/>
      <c r="EB154" s="321"/>
      <c r="EC154" s="321"/>
      <c r="ED154" s="321"/>
      <c r="EE154" s="321"/>
      <c r="EF154" s="321"/>
      <c r="EG154" s="321"/>
      <c r="EH154" s="321"/>
      <c r="EI154" s="321"/>
      <c r="EJ154" s="321"/>
      <c r="EK154" s="321"/>
      <c r="EL154" s="321"/>
      <c r="EM154" s="321"/>
      <c r="EN154" s="321"/>
      <c r="EO154" s="321"/>
      <c r="EP154" s="321"/>
      <c r="EQ154" s="321"/>
      <c r="ER154" s="321"/>
      <c r="ES154" s="321"/>
      <c r="ET154" s="321"/>
      <c r="EU154" s="321"/>
      <c r="EV154" s="321"/>
      <c r="EW154" s="321"/>
      <c r="EX154" s="321"/>
      <c r="EY154" s="321"/>
      <c r="EZ154" s="321"/>
      <c r="FA154" s="321"/>
      <c r="FB154" s="321"/>
      <c r="FC154" s="321"/>
      <c r="FD154" s="321"/>
      <c r="FE154" s="321"/>
      <c r="FF154" s="321"/>
      <c r="FG154" s="321"/>
      <c r="FH154" s="321"/>
      <c r="FI154" s="321"/>
      <c r="FJ154" s="321"/>
      <c r="FK154" s="321"/>
      <c r="FL154" s="321"/>
      <c r="FM154" s="321"/>
      <c r="FN154" s="321"/>
      <c r="FO154" s="321"/>
      <c r="FP154" s="321"/>
      <c r="FQ154" s="321"/>
      <c r="FR154" s="321"/>
      <c r="FS154" s="321"/>
      <c r="FT154" s="321"/>
      <c r="FU154" s="321"/>
      <c r="FV154" s="321"/>
      <c r="FW154" s="321"/>
      <c r="FX154" s="321"/>
      <c r="FY154" s="321"/>
      <c r="FZ154" s="321"/>
      <c r="GA154" s="321"/>
      <c r="GB154" s="321"/>
      <c r="GC154" s="321"/>
      <c r="GD154" s="321"/>
      <c r="GE154" s="321"/>
      <c r="GF154" s="321"/>
      <c r="GG154" s="321"/>
      <c r="GH154" s="321"/>
      <c r="GI154" s="321"/>
      <c r="GJ154" s="321"/>
      <c r="GK154" s="321"/>
      <c r="GL154" s="321"/>
      <c r="GM154" s="321"/>
      <c r="GN154" s="321"/>
      <c r="GO154" s="321"/>
      <c r="GP154" s="321"/>
      <c r="GQ154" s="321"/>
      <c r="GR154" s="321"/>
      <c r="GS154" s="321"/>
      <c r="GT154" s="321"/>
      <c r="GU154" s="321"/>
      <c r="GV154" s="321"/>
      <c r="GW154" s="321"/>
      <c r="GX154" s="321"/>
      <c r="GY154" s="321"/>
      <c r="GZ154" s="321"/>
      <c r="HA154" s="321"/>
      <c r="HB154" s="321"/>
      <c r="HC154" s="321"/>
      <c r="HD154" s="321"/>
      <c r="HE154" s="321"/>
      <c r="HF154" s="321"/>
      <c r="HG154" s="321"/>
      <c r="HH154" s="321"/>
      <c r="HI154" s="321"/>
      <c r="HJ154" s="321"/>
      <c r="HK154" s="321"/>
      <c r="HL154" s="321"/>
      <c r="HM154" s="321"/>
      <c r="HN154" s="321"/>
      <c r="HO154" s="321"/>
      <c r="HP154" s="321"/>
      <c r="HQ154" s="321"/>
      <c r="HR154" s="321"/>
      <c r="HS154" s="321"/>
      <c r="HT154" s="321"/>
      <c r="HU154" s="321"/>
      <c r="HV154" s="321"/>
      <c r="HW154" s="321"/>
      <c r="HX154" s="321"/>
      <c r="HY154" s="321"/>
      <c r="HZ154" s="321"/>
      <c r="IA154" s="321"/>
      <c r="IB154" s="321"/>
      <c r="IC154" s="321"/>
      <c r="ID154" s="321"/>
      <c r="IE154" s="321"/>
      <c r="IF154" s="321"/>
      <c r="IG154" s="321"/>
      <c r="IH154" s="321"/>
      <c r="II154" s="321"/>
      <c r="IJ154" s="321"/>
      <c r="IK154" s="321"/>
      <c r="IL154" s="321"/>
      <c r="IM154" s="321"/>
      <c r="IN154" s="321"/>
      <c r="IO154" s="321"/>
      <c r="IP154" s="321"/>
      <c r="IQ154" s="321"/>
      <c r="IR154" s="321"/>
      <c r="IS154" s="321"/>
      <c r="IT154" s="321"/>
      <c r="IU154" s="321"/>
      <c r="IV154" s="321"/>
    </row>
    <row r="155" spans="1:256" s="546" customFormat="1" ht="22.5" customHeight="1">
      <c r="A155" s="561">
        <v>146</v>
      </c>
      <c r="B155" s="554"/>
      <c r="C155" s="361">
        <v>37</v>
      </c>
      <c r="D155" s="796" t="s">
        <v>638</v>
      </c>
      <c r="E155" s="330"/>
      <c r="F155" s="330"/>
      <c r="G155" s="331"/>
      <c r="H155" s="762" t="s">
        <v>24</v>
      </c>
      <c r="I155" s="778"/>
      <c r="J155" s="772"/>
      <c r="K155" s="772"/>
      <c r="L155" s="772"/>
      <c r="M155" s="772"/>
      <c r="N155" s="772"/>
      <c r="O155" s="745"/>
      <c r="P155" s="551"/>
      <c r="Q155" s="321"/>
      <c r="R155" s="321"/>
      <c r="S155" s="321"/>
      <c r="T155" s="321"/>
      <c r="U155" s="321"/>
      <c r="V155" s="321"/>
      <c r="W155" s="321"/>
      <c r="X155" s="321"/>
      <c r="Y155" s="321"/>
      <c r="Z155" s="321"/>
      <c r="AA155" s="321"/>
      <c r="AB155" s="321"/>
      <c r="AC155" s="321"/>
      <c r="AD155" s="321"/>
      <c r="AE155" s="321"/>
      <c r="AF155" s="321"/>
      <c r="AG155" s="321"/>
      <c r="AH155" s="321"/>
      <c r="AI155" s="321"/>
      <c r="AJ155" s="321"/>
      <c r="AK155" s="321"/>
      <c r="AL155" s="321"/>
      <c r="AM155" s="321"/>
      <c r="AN155" s="321"/>
      <c r="AO155" s="321"/>
      <c r="AP155" s="321"/>
      <c r="AQ155" s="321"/>
      <c r="AR155" s="321"/>
      <c r="AS155" s="321"/>
      <c r="AT155" s="321"/>
      <c r="AU155" s="321"/>
      <c r="AV155" s="321"/>
      <c r="AW155" s="321"/>
      <c r="AX155" s="321"/>
      <c r="AY155" s="321"/>
      <c r="AZ155" s="321"/>
      <c r="BA155" s="321"/>
      <c r="BB155" s="321"/>
      <c r="BC155" s="321"/>
      <c r="BD155" s="321"/>
      <c r="BE155" s="321"/>
      <c r="BF155" s="321"/>
      <c r="BG155" s="321"/>
      <c r="BH155" s="321"/>
      <c r="BI155" s="321"/>
      <c r="BJ155" s="321"/>
      <c r="BK155" s="321"/>
      <c r="BL155" s="321"/>
      <c r="BM155" s="321"/>
      <c r="BN155" s="321"/>
      <c r="BO155" s="321"/>
      <c r="BP155" s="321"/>
      <c r="BQ155" s="321"/>
      <c r="BR155" s="321"/>
      <c r="BS155" s="321"/>
      <c r="BT155" s="321"/>
      <c r="BU155" s="321"/>
      <c r="BV155" s="321"/>
      <c r="BW155" s="321"/>
      <c r="BX155" s="321"/>
      <c r="BY155" s="321"/>
      <c r="BZ155" s="321"/>
      <c r="CA155" s="321"/>
      <c r="CB155" s="321"/>
      <c r="CC155" s="321"/>
      <c r="CD155" s="321"/>
      <c r="CE155" s="321"/>
      <c r="CF155" s="321"/>
      <c r="CG155" s="321"/>
      <c r="CH155" s="321"/>
      <c r="CI155" s="321"/>
      <c r="CJ155" s="321"/>
      <c r="CK155" s="321"/>
      <c r="CL155" s="321"/>
      <c r="CM155" s="321"/>
      <c r="CN155" s="321"/>
      <c r="CO155" s="321"/>
      <c r="CP155" s="321"/>
      <c r="CQ155" s="321"/>
      <c r="CR155" s="321"/>
      <c r="CS155" s="321"/>
      <c r="CT155" s="321"/>
      <c r="CU155" s="321"/>
      <c r="CV155" s="321"/>
      <c r="CW155" s="321"/>
      <c r="CX155" s="321"/>
      <c r="CY155" s="321"/>
      <c r="CZ155" s="321"/>
      <c r="DA155" s="321"/>
      <c r="DB155" s="321"/>
      <c r="DC155" s="321"/>
      <c r="DD155" s="321"/>
      <c r="DE155" s="321"/>
      <c r="DF155" s="321"/>
      <c r="DG155" s="321"/>
      <c r="DH155" s="321"/>
      <c r="DI155" s="321"/>
      <c r="DJ155" s="321"/>
      <c r="DK155" s="321"/>
      <c r="DL155" s="321"/>
      <c r="DM155" s="321"/>
      <c r="DN155" s="321"/>
      <c r="DO155" s="321"/>
      <c r="DP155" s="321"/>
      <c r="DQ155" s="321"/>
      <c r="DR155" s="321"/>
      <c r="DS155" s="321"/>
      <c r="DT155" s="321"/>
      <c r="DU155" s="321"/>
      <c r="DV155" s="321"/>
      <c r="DW155" s="321"/>
      <c r="DX155" s="321"/>
      <c r="DY155" s="321"/>
      <c r="DZ155" s="321"/>
      <c r="EA155" s="321"/>
      <c r="EB155" s="321"/>
      <c r="EC155" s="321"/>
      <c r="ED155" s="321"/>
      <c r="EE155" s="321"/>
      <c r="EF155" s="321"/>
      <c r="EG155" s="321"/>
      <c r="EH155" s="321"/>
      <c r="EI155" s="321"/>
      <c r="EJ155" s="321"/>
      <c r="EK155" s="321"/>
      <c r="EL155" s="321"/>
      <c r="EM155" s="321"/>
      <c r="EN155" s="321"/>
      <c r="EO155" s="321"/>
      <c r="EP155" s="321"/>
      <c r="EQ155" s="321"/>
      <c r="ER155" s="321"/>
      <c r="ES155" s="321"/>
      <c r="ET155" s="321"/>
      <c r="EU155" s="321"/>
      <c r="EV155" s="321"/>
      <c r="EW155" s="321"/>
      <c r="EX155" s="321"/>
      <c r="EY155" s="321"/>
      <c r="EZ155" s="321"/>
      <c r="FA155" s="321"/>
      <c r="FB155" s="321"/>
      <c r="FC155" s="321"/>
      <c r="FD155" s="321"/>
      <c r="FE155" s="321"/>
      <c r="FF155" s="321"/>
      <c r="FG155" s="321"/>
      <c r="FH155" s="321"/>
      <c r="FI155" s="321"/>
      <c r="FJ155" s="321"/>
      <c r="FK155" s="321"/>
      <c r="FL155" s="321"/>
      <c r="FM155" s="321"/>
      <c r="FN155" s="321"/>
      <c r="FO155" s="321"/>
      <c r="FP155" s="321"/>
      <c r="FQ155" s="321"/>
      <c r="FR155" s="321"/>
      <c r="FS155" s="321"/>
      <c r="FT155" s="321"/>
      <c r="FU155" s="321"/>
      <c r="FV155" s="321"/>
      <c r="FW155" s="321"/>
      <c r="FX155" s="321"/>
      <c r="FY155" s="321"/>
      <c r="FZ155" s="321"/>
      <c r="GA155" s="321"/>
      <c r="GB155" s="321"/>
      <c r="GC155" s="321"/>
      <c r="GD155" s="321"/>
      <c r="GE155" s="321"/>
      <c r="GF155" s="321"/>
      <c r="GG155" s="321"/>
      <c r="GH155" s="321"/>
      <c r="GI155" s="321"/>
      <c r="GJ155" s="321"/>
      <c r="GK155" s="321"/>
      <c r="GL155" s="321"/>
      <c r="GM155" s="321"/>
      <c r="GN155" s="321"/>
      <c r="GO155" s="321"/>
      <c r="GP155" s="321"/>
      <c r="GQ155" s="321"/>
      <c r="GR155" s="321"/>
      <c r="GS155" s="321"/>
      <c r="GT155" s="321"/>
      <c r="GU155" s="321"/>
      <c r="GV155" s="321"/>
      <c r="GW155" s="321"/>
      <c r="GX155" s="321"/>
      <c r="GY155" s="321"/>
      <c r="GZ155" s="321"/>
      <c r="HA155" s="321"/>
      <c r="HB155" s="321"/>
      <c r="HC155" s="321"/>
      <c r="HD155" s="321"/>
      <c r="HE155" s="321"/>
      <c r="HF155" s="321"/>
      <c r="HG155" s="321"/>
      <c r="HH155" s="321"/>
      <c r="HI155" s="321"/>
      <c r="HJ155" s="321"/>
      <c r="HK155" s="321"/>
      <c r="HL155" s="321"/>
      <c r="HM155" s="321"/>
      <c r="HN155" s="321"/>
      <c r="HO155" s="321"/>
      <c r="HP155" s="321"/>
      <c r="HQ155" s="321"/>
      <c r="HR155" s="321"/>
      <c r="HS155" s="321"/>
      <c r="HT155" s="321"/>
      <c r="HU155" s="321"/>
      <c r="HV155" s="321"/>
      <c r="HW155" s="321"/>
      <c r="HX155" s="321"/>
      <c r="HY155" s="321"/>
      <c r="HZ155" s="321"/>
      <c r="IA155" s="321"/>
      <c r="IB155" s="321"/>
      <c r="IC155" s="321"/>
      <c r="ID155" s="321"/>
      <c r="IE155" s="321"/>
      <c r="IF155" s="321"/>
      <c r="IG155" s="321"/>
      <c r="IH155" s="321"/>
      <c r="II155" s="321"/>
      <c r="IJ155" s="321"/>
      <c r="IK155" s="321"/>
      <c r="IL155" s="321"/>
      <c r="IM155" s="321"/>
      <c r="IN155" s="321"/>
      <c r="IO155" s="321"/>
      <c r="IP155" s="321"/>
      <c r="IQ155" s="321"/>
      <c r="IR155" s="321"/>
      <c r="IS155" s="321"/>
      <c r="IT155" s="321"/>
      <c r="IU155" s="321"/>
      <c r="IV155" s="321"/>
    </row>
    <row r="156" spans="1:256" s="546" customFormat="1" ht="18" customHeight="1">
      <c r="A156" s="561">
        <v>147</v>
      </c>
      <c r="B156" s="554"/>
      <c r="C156" s="322"/>
      <c r="D156" s="755" t="s">
        <v>303</v>
      </c>
      <c r="E156" s="330">
        <f>F156+G156+O157+P156</f>
        <v>0</v>
      </c>
      <c r="F156" s="330"/>
      <c r="G156" s="331"/>
      <c r="H156" s="762"/>
      <c r="I156" s="778"/>
      <c r="J156" s="772"/>
      <c r="K156" s="772">
        <v>2628</v>
      </c>
      <c r="L156" s="772"/>
      <c r="M156" s="772"/>
      <c r="N156" s="772"/>
      <c r="O156" s="745">
        <f>SUM(I156:N156)</f>
        <v>2628</v>
      </c>
      <c r="P156" s="551"/>
      <c r="Q156" s="321"/>
      <c r="R156" s="321"/>
      <c r="S156" s="321"/>
      <c r="T156" s="321"/>
      <c r="U156" s="321"/>
      <c r="V156" s="321"/>
      <c r="W156" s="321"/>
      <c r="X156" s="321"/>
      <c r="Y156" s="321"/>
      <c r="Z156" s="321"/>
      <c r="AA156" s="321"/>
      <c r="AB156" s="321"/>
      <c r="AC156" s="321"/>
      <c r="AD156" s="321"/>
      <c r="AE156" s="321"/>
      <c r="AF156" s="321"/>
      <c r="AG156" s="321"/>
      <c r="AH156" s="321"/>
      <c r="AI156" s="321"/>
      <c r="AJ156" s="321"/>
      <c r="AK156" s="321"/>
      <c r="AL156" s="321"/>
      <c r="AM156" s="321"/>
      <c r="AN156" s="321"/>
      <c r="AO156" s="321"/>
      <c r="AP156" s="321"/>
      <c r="AQ156" s="321"/>
      <c r="AR156" s="321"/>
      <c r="AS156" s="321"/>
      <c r="AT156" s="321"/>
      <c r="AU156" s="321"/>
      <c r="AV156" s="321"/>
      <c r="AW156" s="321"/>
      <c r="AX156" s="321"/>
      <c r="AY156" s="321"/>
      <c r="AZ156" s="321"/>
      <c r="BA156" s="321"/>
      <c r="BB156" s="321"/>
      <c r="BC156" s="321"/>
      <c r="BD156" s="321"/>
      <c r="BE156" s="321"/>
      <c r="BF156" s="321"/>
      <c r="BG156" s="321"/>
      <c r="BH156" s="321"/>
      <c r="BI156" s="321"/>
      <c r="BJ156" s="321"/>
      <c r="BK156" s="321"/>
      <c r="BL156" s="321"/>
      <c r="BM156" s="321"/>
      <c r="BN156" s="321"/>
      <c r="BO156" s="321"/>
      <c r="BP156" s="321"/>
      <c r="BQ156" s="321"/>
      <c r="BR156" s="321"/>
      <c r="BS156" s="321"/>
      <c r="BT156" s="321"/>
      <c r="BU156" s="321"/>
      <c r="BV156" s="321"/>
      <c r="BW156" s="321"/>
      <c r="BX156" s="321"/>
      <c r="BY156" s="321"/>
      <c r="BZ156" s="321"/>
      <c r="CA156" s="321"/>
      <c r="CB156" s="321"/>
      <c r="CC156" s="321"/>
      <c r="CD156" s="321"/>
      <c r="CE156" s="321"/>
      <c r="CF156" s="321"/>
      <c r="CG156" s="321"/>
      <c r="CH156" s="321"/>
      <c r="CI156" s="321"/>
      <c r="CJ156" s="321"/>
      <c r="CK156" s="321"/>
      <c r="CL156" s="321"/>
      <c r="CM156" s="321"/>
      <c r="CN156" s="321"/>
      <c r="CO156" s="321"/>
      <c r="CP156" s="321"/>
      <c r="CQ156" s="321"/>
      <c r="CR156" s="321"/>
      <c r="CS156" s="321"/>
      <c r="CT156" s="321"/>
      <c r="CU156" s="321"/>
      <c r="CV156" s="321"/>
      <c r="CW156" s="321"/>
      <c r="CX156" s="321"/>
      <c r="CY156" s="321"/>
      <c r="CZ156" s="321"/>
      <c r="DA156" s="321"/>
      <c r="DB156" s="321"/>
      <c r="DC156" s="321"/>
      <c r="DD156" s="321"/>
      <c r="DE156" s="321"/>
      <c r="DF156" s="321"/>
      <c r="DG156" s="321"/>
      <c r="DH156" s="321"/>
      <c r="DI156" s="321"/>
      <c r="DJ156" s="321"/>
      <c r="DK156" s="321"/>
      <c r="DL156" s="321"/>
      <c r="DM156" s="321"/>
      <c r="DN156" s="321"/>
      <c r="DO156" s="321"/>
      <c r="DP156" s="321"/>
      <c r="DQ156" s="321"/>
      <c r="DR156" s="321"/>
      <c r="DS156" s="321"/>
      <c r="DT156" s="321"/>
      <c r="DU156" s="321"/>
      <c r="DV156" s="321"/>
      <c r="DW156" s="321"/>
      <c r="DX156" s="321"/>
      <c r="DY156" s="321"/>
      <c r="DZ156" s="321"/>
      <c r="EA156" s="321"/>
      <c r="EB156" s="321"/>
      <c r="EC156" s="321"/>
      <c r="ED156" s="321"/>
      <c r="EE156" s="321"/>
      <c r="EF156" s="321"/>
      <c r="EG156" s="321"/>
      <c r="EH156" s="321"/>
      <c r="EI156" s="321"/>
      <c r="EJ156" s="321"/>
      <c r="EK156" s="321"/>
      <c r="EL156" s="321"/>
      <c r="EM156" s="321"/>
      <c r="EN156" s="321"/>
      <c r="EO156" s="321"/>
      <c r="EP156" s="321"/>
      <c r="EQ156" s="321"/>
      <c r="ER156" s="321"/>
      <c r="ES156" s="321"/>
      <c r="ET156" s="321"/>
      <c r="EU156" s="321"/>
      <c r="EV156" s="321"/>
      <c r="EW156" s="321"/>
      <c r="EX156" s="321"/>
      <c r="EY156" s="321"/>
      <c r="EZ156" s="321"/>
      <c r="FA156" s="321"/>
      <c r="FB156" s="321"/>
      <c r="FC156" s="321"/>
      <c r="FD156" s="321"/>
      <c r="FE156" s="321"/>
      <c r="FF156" s="321"/>
      <c r="FG156" s="321"/>
      <c r="FH156" s="321"/>
      <c r="FI156" s="321"/>
      <c r="FJ156" s="321"/>
      <c r="FK156" s="321"/>
      <c r="FL156" s="321"/>
      <c r="FM156" s="321"/>
      <c r="FN156" s="321"/>
      <c r="FO156" s="321"/>
      <c r="FP156" s="321"/>
      <c r="FQ156" s="321"/>
      <c r="FR156" s="321"/>
      <c r="FS156" s="321"/>
      <c r="FT156" s="321"/>
      <c r="FU156" s="321"/>
      <c r="FV156" s="321"/>
      <c r="FW156" s="321"/>
      <c r="FX156" s="321"/>
      <c r="FY156" s="321"/>
      <c r="FZ156" s="321"/>
      <c r="GA156" s="321"/>
      <c r="GB156" s="321"/>
      <c r="GC156" s="321"/>
      <c r="GD156" s="321"/>
      <c r="GE156" s="321"/>
      <c r="GF156" s="321"/>
      <c r="GG156" s="321"/>
      <c r="GH156" s="321"/>
      <c r="GI156" s="321"/>
      <c r="GJ156" s="321"/>
      <c r="GK156" s="321"/>
      <c r="GL156" s="321"/>
      <c r="GM156" s="321"/>
      <c r="GN156" s="321"/>
      <c r="GO156" s="321"/>
      <c r="GP156" s="321"/>
      <c r="GQ156" s="321"/>
      <c r="GR156" s="321"/>
      <c r="GS156" s="321"/>
      <c r="GT156" s="321"/>
      <c r="GU156" s="321"/>
      <c r="GV156" s="321"/>
      <c r="GW156" s="321"/>
      <c r="GX156" s="321"/>
      <c r="GY156" s="321"/>
      <c r="GZ156" s="321"/>
      <c r="HA156" s="321"/>
      <c r="HB156" s="321"/>
      <c r="HC156" s="321"/>
      <c r="HD156" s="321"/>
      <c r="HE156" s="321"/>
      <c r="HF156" s="321"/>
      <c r="HG156" s="321"/>
      <c r="HH156" s="321"/>
      <c r="HI156" s="321"/>
      <c r="HJ156" s="321"/>
      <c r="HK156" s="321"/>
      <c r="HL156" s="321"/>
      <c r="HM156" s="321"/>
      <c r="HN156" s="321"/>
      <c r="HO156" s="321"/>
      <c r="HP156" s="321"/>
      <c r="HQ156" s="321"/>
      <c r="HR156" s="321"/>
      <c r="HS156" s="321"/>
      <c r="HT156" s="321"/>
      <c r="HU156" s="321"/>
      <c r="HV156" s="321"/>
      <c r="HW156" s="321"/>
      <c r="HX156" s="321"/>
      <c r="HY156" s="321"/>
      <c r="HZ156" s="321"/>
      <c r="IA156" s="321"/>
      <c r="IB156" s="321"/>
      <c r="IC156" s="321"/>
      <c r="ID156" s="321"/>
      <c r="IE156" s="321"/>
      <c r="IF156" s="321"/>
      <c r="IG156" s="321"/>
      <c r="IH156" s="321"/>
      <c r="II156" s="321"/>
      <c r="IJ156" s="321"/>
      <c r="IK156" s="321"/>
      <c r="IL156" s="321"/>
      <c r="IM156" s="321"/>
      <c r="IN156" s="321"/>
      <c r="IO156" s="321"/>
      <c r="IP156" s="321"/>
      <c r="IQ156" s="321"/>
      <c r="IR156" s="321"/>
      <c r="IS156" s="321"/>
      <c r="IT156" s="321"/>
      <c r="IU156" s="321"/>
      <c r="IV156" s="321"/>
    </row>
    <row r="157" spans="1:256" s="546" customFormat="1" ht="18" customHeight="1">
      <c r="A157" s="561">
        <v>148</v>
      </c>
      <c r="B157" s="554"/>
      <c r="C157" s="322"/>
      <c r="D157" s="436" t="s">
        <v>994</v>
      </c>
      <c r="E157" s="330"/>
      <c r="F157" s="330"/>
      <c r="G157" s="331"/>
      <c r="H157" s="762"/>
      <c r="I157" s="778"/>
      <c r="J157" s="772"/>
      <c r="K157" s="330">
        <v>0</v>
      </c>
      <c r="L157" s="772"/>
      <c r="M157" s="772"/>
      <c r="N157" s="772"/>
      <c r="O157" s="555">
        <f>SUM(I157:N157)</f>
        <v>0</v>
      </c>
      <c r="P157" s="551"/>
      <c r="Q157" s="321"/>
      <c r="R157" s="321"/>
      <c r="S157" s="321"/>
      <c r="T157" s="321"/>
      <c r="U157" s="321"/>
      <c r="V157" s="321"/>
      <c r="W157" s="321"/>
      <c r="X157" s="321"/>
      <c r="Y157" s="321"/>
      <c r="Z157" s="321"/>
      <c r="AA157" s="321"/>
      <c r="AB157" s="321"/>
      <c r="AC157" s="321"/>
      <c r="AD157" s="321"/>
      <c r="AE157" s="321"/>
      <c r="AF157" s="321"/>
      <c r="AG157" s="321"/>
      <c r="AH157" s="321"/>
      <c r="AI157" s="321"/>
      <c r="AJ157" s="321"/>
      <c r="AK157" s="321"/>
      <c r="AL157" s="321"/>
      <c r="AM157" s="321"/>
      <c r="AN157" s="321"/>
      <c r="AO157" s="321"/>
      <c r="AP157" s="321"/>
      <c r="AQ157" s="321"/>
      <c r="AR157" s="321"/>
      <c r="AS157" s="321"/>
      <c r="AT157" s="321"/>
      <c r="AU157" s="321"/>
      <c r="AV157" s="321"/>
      <c r="AW157" s="321"/>
      <c r="AX157" s="321"/>
      <c r="AY157" s="321"/>
      <c r="AZ157" s="321"/>
      <c r="BA157" s="321"/>
      <c r="BB157" s="321"/>
      <c r="BC157" s="321"/>
      <c r="BD157" s="321"/>
      <c r="BE157" s="321"/>
      <c r="BF157" s="321"/>
      <c r="BG157" s="321"/>
      <c r="BH157" s="321"/>
      <c r="BI157" s="321"/>
      <c r="BJ157" s="321"/>
      <c r="BK157" s="321"/>
      <c r="BL157" s="321"/>
      <c r="BM157" s="321"/>
      <c r="BN157" s="321"/>
      <c r="BO157" s="321"/>
      <c r="BP157" s="321"/>
      <c r="BQ157" s="321"/>
      <c r="BR157" s="321"/>
      <c r="BS157" s="321"/>
      <c r="BT157" s="321"/>
      <c r="BU157" s="321"/>
      <c r="BV157" s="321"/>
      <c r="BW157" s="321"/>
      <c r="BX157" s="321"/>
      <c r="BY157" s="321"/>
      <c r="BZ157" s="321"/>
      <c r="CA157" s="321"/>
      <c r="CB157" s="321"/>
      <c r="CC157" s="321"/>
      <c r="CD157" s="321"/>
      <c r="CE157" s="321"/>
      <c r="CF157" s="321"/>
      <c r="CG157" s="321"/>
      <c r="CH157" s="321"/>
      <c r="CI157" s="321"/>
      <c r="CJ157" s="321"/>
      <c r="CK157" s="321"/>
      <c r="CL157" s="321"/>
      <c r="CM157" s="321"/>
      <c r="CN157" s="321"/>
      <c r="CO157" s="321"/>
      <c r="CP157" s="321"/>
      <c r="CQ157" s="321"/>
      <c r="CR157" s="321"/>
      <c r="CS157" s="321"/>
      <c r="CT157" s="321"/>
      <c r="CU157" s="321"/>
      <c r="CV157" s="321"/>
      <c r="CW157" s="321"/>
      <c r="CX157" s="321"/>
      <c r="CY157" s="321"/>
      <c r="CZ157" s="321"/>
      <c r="DA157" s="321"/>
      <c r="DB157" s="321"/>
      <c r="DC157" s="321"/>
      <c r="DD157" s="321"/>
      <c r="DE157" s="321"/>
      <c r="DF157" s="321"/>
      <c r="DG157" s="321"/>
      <c r="DH157" s="321"/>
      <c r="DI157" s="321"/>
      <c r="DJ157" s="321"/>
      <c r="DK157" s="321"/>
      <c r="DL157" s="321"/>
      <c r="DM157" s="321"/>
      <c r="DN157" s="321"/>
      <c r="DO157" s="321"/>
      <c r="DP157" s="321"/>
      <c r="DQ157" s="321"/>
      <c r="DR157" s="321"/>
      <c r="DS157" s="321"/>
      <c r="DT157" s="321"/>
      <c r="DU157" s="321"/>
      <c r="DV157" s="321"/>
      <c r="DW157" s="321"/>
      <c r="DX157" s="321"/>
      <c r="DY157" s="321"/>
      <c r="DZ157" s="321"/>
      <c r="EA157" s="321"/>
      <c r="EB157" s="321"/>
      <c r="EC157" s="321"/>
      <c r="ED157" s="321"/>
      <c r="EE157" s="321"/>
      <c r="EF157" s="321"/>
      <c r="EG157" s="321"/>
      <c r="EH157" s="321"/>
      <c r="EI157" s="321"/>
      <c r="EJ157" s="321"/>
      <c r="EK157" s="321"/>
      <c r="EL157" s="321"/>
      <c r="EM157" s="321"/>
      <c r="EN157" s="321"/>
      <c r="EO157" s="321"/>
      <c r="EP157" s="321"/>
      <c r="EQ157" s="321"/>
      <c r="ER157" s="321"/>
      <c r="ES157" s="321"/>
      <c r="ET157" s="321"/>
      <c r="EU157" s="321"/>
      <c r="EV157" s="321"/>
      <c r="EW157" s="321"/>
      <c r="EX157" s="321"/>
      <c r="EY157" s="321"/>
      <c r="EZ157" s="321"/>
      <c r="FA157" s="321"/>
      <c r="FB157" s="321"/>
      <c r="FC157" s="321"/>
      <c r="FD157" s="321"/>
      <c r="FE157" s="321"/>
      <c r="FF157" s="321"/>
      <c r="FG157" s="321"/>
      <c r="FH157" s="321"/>
      <c r="FI157" s="321"/>
      <c r="FJ157" s="321"/>
      <c r="FK157" s="321"/>
      <c r="FL157" s="321"/>
      <c r="FM157" s="321"/>
      <c r="FN157" s="321"/>
      <c r="FO157" s="321"/>
      <c r="FP157" s="321"/>
      <c r="FQ157" s="321"/>
      <c r="FR157" s="321"/>
      <c r="FS157" s="321"/>
      <c r="FT157" s="321"/>
      <c r="FU157" s="321"/>
      <c r="FV157" s="321"/>
      <c r="FW157" s="321"/>
      <c r="FX157" s="321"/>
      <c r="FY157" s="321"/>
      <c r="FZ157" s="321"/>
      <c r="GA157" s="321"/>
      <c r="GB157" s="321"/>
      <c r="GC157" s="321"/>
      <c r="GD157" s="321"/>
      <c r="GE157" s="321"/>
      <c r="GF157" s="321"/>
      <c r="GG157" s="321"/>
      <c r="GH157" s="321"/>
      <c r="GI157" s="321"/>
      <c r="GJ157" s="321"/>
      <c r="GK157" s="321"/>
      <c r="GL157" s="321"/>
      <c r="GM157" s="321"/>
      <c r="GN157" s="321"/>
      <c r="GO157" s="321"/>
      <c r="GP157" s="321"/>
      <c r="GQ157" s="321"/>
      <c r="GR157" s="321"/>
      <c r="GS157" s="321"/>
      <c r="GT157" s="321"/>
      <c r="GU157" s="321"/>
      <c r="GV157" s="321"/>
      <c r="GW157" s="321"/>
      <c r="GX157" s="321"/>
      <c r="GY157" s="321"/>
      <c r="GZ157" s="321"/>
      <c r="HA157" s="321"/>
      <c r="HB157" s="321"/>
      <c r="HC157" s="321"/>
      <c r="HD157" s="321"/>
      <c r="HE157" s="321"/>
      <c r="HF157" s="321"/>
      <c r="HG157" s="321"/>
      <c r="HH157" s="321"/>
      <c r="HI157" s="321"/>
      <c r="HJ157" s="321"/>
      <c r="HK157" s="321"/>
      <c r="HL157" s="321"/>
      <c r="HM157" s="321"/>
      <c r="HN157" s="321"/>
      <c r="HO157" s="321"/>
      <c r="HP157" s="321"/>
      <c r="HQ157" s="321"/>
      <c r="HR157" s="321"/>
      <c r="HS157" s="321"/>
      <c r="HT157" s="321"/>
      <c r="HU157" s="321"/>
      <c r="HV157" s="321"/>
      <c r="HW157" s="321"/>
      <c r="HX157" s="321"/>
      <c r="HY157" s="321"/>
      <c r="HZ157" s="321"/>
      <c r="IA157" s="321"/>
      <c r="IB157" s="321"/>
      <c r="IC157" s="321"/>
      <c r="ID157" s="321"/>
      <c r="IE157" s="321"/>
      <c r="IF157" s="321"/>
      <c r="IG157" s="321"/>
      <c r="IH157" s="321"/>
      <c r="II157" s="321"/>
      <c r="IJ157" s="321"/>
      <c r="IK157" s="321"/>
      <c r="IL157" s="321"/>
      <c r="IM157" s="321"/>
      <c r="IN157" s="321"/>
      <c r="IO157" s="321"/>
      <c r="IP157" s="321"/>
      <c r="IQ157" s="321"/>
      <c r="IR157" s="321"/>
      <c r="IS157" s="321"/>
      <c r="IT157" s="321"/>
      <c r="IU157" s="321"/>
      <c r="IV157" s="321"/>
    </row>
    <row r="158" spans="1:256" s="546" customFormat="1" ht="18" customHeight="1">
      <c r="A158" s="561">
        <v>149</v>
      </c>
      <c r="B158" s="554"/>
      <c r="C158" s="322"/>
      <c r="D158" s="987" t="s">
        <v>1036</v>
      </c>
      <c r="E158" s="330"/>
      <c r="F158" s="330"/>
      <c r="G158" s="331"/>
      <c r="H158" s="762"/>
      <c r="I158" s="760"/>
      <c r="J158" s="330"/>
      <c r="K158" s="1151">
        <v>0</v>
      </c>
      <c r="L158" s="330"/>
      <c r="M158" s="330"/>
      <c r="N158" s="330"/>
      <c r="O158" s="1175">
        <f>SUM(I158:N158)</f>
        <v>0</v>
      </c>
      <c r="P158" s="551"/>
      <c r="Q158" s="321"/>
      <c r="R158" s="321"/>
      <c r="S158" s="321"/>
      <c r="T158" s="321"/>
      <c r="U158" s="321"/>
      <c r="V158" s="321"/>
      <c r="W158" s="321"/>
      <c r="X158" s="321"/>
      <c r="Y158" s="321"/>
      <c r="Z158" s="321"/>
      <c r="AA158" s="321"/>
      <c r="AB158" s="321"/>
      <c r="AC158" s="321"/>
      <c r="AD158" s="321"/>
      <c r="AE158" s="321"/>
      <c r="AF158" s="321"/>
      <c r="AG158" s="321"/>
      <c r="AH158" s="321"/>
      <c r="AI158" s="321"/>
      <c r="AJ158" s="321"/>
      <c r="AK158" s="321"/>
      <c r="AL158" s="321"/>
      <c r="AM158" s="321"/>
      <c r="AN158" s="321"/>
      <c r="AO158" s="321"/>
      <c r="AP158" s="321"/>
      <c r="AQ158" s="321"/>
      <c r="AR158" s="321"/>
      <c r="AS158" s="321"/>
      <c r="AT158" s="321"/>
      <c r="AU158" s="321"/>
      <c r="AV158" s="321"/>
      <c r="AW158" s="321"/>
      <c r="AX158" s="321"/>
      <c r="AY158" s="321"/>
      <c r="AZ158" s="321"/>
      <c r="BA158" s="321"/>
      <c r="BB158" s="321"/>
      <c r="BC158" s="321"/>
      <c r="BD158" s="321"/>
      <c r="BE158" s="321"/>
      <c r="BF158" s="321"/>
      <c r="BG158" s="321"/>
      <c r="BH158" s="321"/>
      <c r="BI158" s="321"/>
      <c r="BJ158" s="321"/>
      <c r="BK158" s="321"/>
      <c r="BL158" s="321"/>
      <c r="BM158" s="321"/>
      <c r="BN158" s="321"/>
      <c r="BO158" s="321"/>
      <c r="BP158" s="321"/>
      <c r="BQ158" s="321"/>
      <c r="BR158" s="321"/>
      <c r="BS158" s="321"/>
      <c r="BT158" s="321"/>
      <c r="BU158" s="321"/>
      <c r="BV158" s="321"/>
      <c r="BW158" s="321"/>
      <c r="BX158" s="321"/>
      <c r="BY158" s="321"/>
      <c r="BZ158" s="321"/>
      <c r="CA158" s="321"/>
      <c r="CB158" s="321"/>
      <c r="CC158" s="321"/>
      <c r="CD158" s="321"/>
      <c r="CE158" s="321"/>
      <c r="CF158" s="321"/>
      <c r="CG158" s="321"/>
      <c r="CH158" s="321"/>
      <c r="CI158" s="321"/>
      <c r="CJ158" s="321"/>
      <c r="CK158" s="321"/>
      <c r="CL158" s="321"/>
      <c r="CM158" s="321"/>
      <c r="CN158" s="321"/>
      <c r="CO158" s="321"/>
      <c r="CP158" s="321"/>
      <c r="CQ158" s="321"/>
      <c r="CR158" s="321"/>
      <c r="CS158" s="321"/>
      <c r="CT158" s="321"/>
      <c r="CU158" s="321"/>
      <c r="CV158" s="321"/>
      <c r="CW158" s="321"/>
      <c r="CX158" s="321"/>
      <c r="CY158" s="321"/>
      <c r="CZ158" s="321"/>
      <c r="DA158" s="321"/>
      <c r="DB158" s="321"/>
      <c r="DC158" s="321"/>
      <c r="DD158" s="321"/>
      <c r="DE158" s="321"/>
      <c r="DF158" s="321"/>
      <c r="DG158" s="321"/>
      <c r="DH158" s="321"/>
      <c r="DI158" s="321"/>
      <c r="DJ158" s="321"/>
      <c r="DK158" s="321"/>
      <c r="DL158" s="321"/>
      <c r="DM158" s="321"/>
      <c r="DN158" s="321"/>
      <c r="DO158" s="321"/>
      <c r="DP158" s="321"/>
      <c r="DQ158" s="321"/>
      <c r="DR158" s="321"/>
      <c r="DS158" s="321"/>
      <c r="DT158" s="321"/>
      <c r="DU158" s="321"/>
      <c r="DV158" s="321"/>
      <c r="DW158" s="321"/>
      <c r="DX158" s="321"/>
      <c r="DY158" s="321"/>
      <c r="DZ158" s="321"/>
      <c r="EA158" s="321"/>
      <c r="EB158" s="321"/>
      <c r="EC158" s="321"/>
      <c r="ED158" s="321"/>
      <c r="EE158" s="321"/>
      <c r="EF158" s="321"/>
      <c r="EG158" s="321"/>
      <c r="EH158" s="321"/>
      <c r="EI158" s="321"/>
      <c r="EJ158" s="321"/>
      <c r="EK158" s="321"/>
      <c r="EL158" s="321"/>
      <c r="EM158" s="321"/>
      <c r="EN158" s="321"/>
      <c r="EO158" s="321"/>
      <c r="EP158" s="321"/>
      <c r="EQ158" s="321"/>
      <c r="ER158" s="321"/>
      <c r="ES158" s="321"/>
      <c r="ET158" s="321"/>
      <c r="EU158" s="321"/>
      <c r="EV158" s="321"/>
      <c r="EW158" s="321"/>
      <c r="EX158" s="321"/>
      <c r="EY158" s="321"/>
      <c r="EZ158" s="321"/>
      <c r="FA158" s="321"/>
      <c r="FB158" s="321"/>
      <c r="FC158" s="321"/>
      <c r="FD158" s="321"/>
      <c r="FE158" s="321"/>
      <c r="FF158" s="321"/>
      <c r="FG158" s="321"/>
      <c r="FH158" s="321"/>
      <c r="FI158" s="321"/>
      <c r="FJ158" s="321"/>
      <c r="FK158" s="321"/>
      <c r="FL158" s="321"/>
      <c r="FM158" s="321"/>
      <c r="FN158" s="321"/>
      <c r="FO158" s="321"/>
      <c r="FP158" s="321"/>
      <c r="FQ158" s="321"/>
      <c r="FR158" s="321"/>
      <c r="FS158" s="321"/>
      <c r="FT158" s="321"/>
      <c r="FU158" s="321"/>
      <c r="FV158" s="321"/>
      <c r="FW158" s="321"/>
      <c r="FX158" s="321"/>
      <c r="FY158" s="321"/>
      <c r="FZ158" s="321"/>
      <c r="GA158" s="321"/>
      <c r="GB158" s="321"/>
      <c r="GC158" s="321"/>
      <c r="GD158" s="321"/>
      <c r="GE158" s="321"/>
      <c r="GF158" s="321"/>
      <c r="GG158" s="321"/>
      <c r="GH158" s="321"/>
      <c r="GI158" s="321"/>
      <c r="GJ158" s="321"/>
      <c r="GK158" s="321"/>
      <c r="GL158" s="321"/>
      <c r="GM158" s="321"/>
      <c r="GN158" s="321"/>
      <c r="GO158" s="321"/>
      <c r="GP158" s="321"/>
      <c r="GQ158" s="321"/>
      <c r="GR158" s="321"/>
      <c r="GS158" s="321"/>
      <c r="GT158" s="321"/>
      <c r="GU158" s="321"/>
      <c r="GV158" s="321"/>
      <c r="GW158" s="321"/>
      <c r="GX158" s="321"/>
      <c r="GY158" s="321"/>
      <c r="GZ158" s="321"/>
      <c r="HA158" s="321"/>
      <c r="HB158" s="321"/>
      <c r="HC158" s="321"/>
      <c r="HD158" s="321"/>
      <c r="HE158" s="321"/>
      <c r="HF158" s="321"/>
      <c r="HG158" s="321"/>
      <c r="HH158" s="321"/>
      <c r="HI158" s="321"/>
      <c r="HJ158" s="321"/>
      <c r="HK158" s="321"/>
      <c r="HL158" s="321"/>
      <c r="HM158" s="321"/>
      <c r="HN158" s="321"/>
      <c r="HO158" s="321"/>
      <c r="HP158" s="321"/>
      <c r="HQ158" s="321"/>
      <c r="HR158" s="321"/>
      <c r="HS158" s="321"/>
      <c r="HT158" s="321"/>
      <c r="HU158" s="321"/>
      <c r="HV158" s="321"/>
      <c r="HW158" s="321"/>
      <c r="HX158" s="321"/>
      <c r="HY158" s="321"/>
      <c r="HZ158" s="321"/>
      <c r="IA158" s="321"/>
      <c r="IB158" s="321"/>
      <c r="IC158" s="321"/>
      <c r="ID158" s="321"/>
      <c r="IE158" s="321"/>
      <c r="IF158" s="321"/>
      <c r="IG158" s="321"/>
      <c r="IH158" s="321"/>
      <c r="II158" s="321"/>
      <c r="IJ158" s="321"/>
      <c r="IK158" s="321"/>
      <c r="IL158" s="321"/>
      <c r="IM158" s="321"/>
      <c r="IN158" s="321"/>
      <c r="IO158" s="321"/>
      <c r="IP158" s="321"/>
      <c r="IQ158" s="321"/>
      <c r="IR158" s="321"/>
      <c r="IS158" s="321"/>
      <c r="IT158" s="321"/>
      <c r="IU158" s="321"/>
      <c r="IV158" s="321"/>
    </row>
    <row r="159" spans="1:256" s="546" customFormat="1" ht="22.5" customHeight="1">
      <c r="A159" s="561">
        <v>150</v>
      </c>
      <c r="B159" s="554"/>
      <c r="C159" s="361">
        <v>38</v>
      </c>
      <c r="D159" s="323" t="s">
        <v>618</v>
      </c>
      <c r="E159" s="330"/>
      <c r="F159" s="330"/>
      <c r="G159" s="331"/>
      <c r="H159" s="762" t="s">
        <v>24</v>
      </c>
      <c r="I159" s="760"/>
      <c r="J159" s="330"/>
      <c r="K159" s="330"/>
      <c r="L159" s="330"/>
      <c r="M159" s="330"/>
      <c r="N159" s="330"/>
      <c r="O159" s="555"/>
      <c r="P159" s="551"/>
      <c r="Q159" s="321"/>
      <c r="R159" s="321"/>
      <c r="S159" s="321"/>
      <c r="T159" s="321"/>
      <c r="U159" s="321"/>
      <c r="V159" s="321"/>
      <c r="W159" s="321"/>
      <c r="X159" s="321"/>
      <c r="Y159" s="321"/>
      <c r="Z159" s="321"/>
      <c r="AA159" s="321"/>
      <c r="AB159" s="321"/>
      <c r="AC159" s="321"/>
      <c r="AD159" s="321"/>
      <c r="AE159" s="321"/>
      <c r="AF159" s="321"/>
      <c r="AG159" s="321"/>
      <c r="AH159" s="321"/>
      <c r="AI159" s="321"/>
      <c r="AJ159" s="321"/>
      <c r="AK159" s="321"/>
      <c r="AL159" s="321"/>
      <c r="AM159" s="321"/>
      <c r="AN159" s="321"/>
      <c r="AO159" s="321"/>
      <c r="AP159" s="321"/>
      <c r="AQ159" s="321"/>
      <c r="AR159" s="321"/>
      <c r="AS159" s="321"/>
      <c r="AT159" s="321"/>
      <c r="AU159" s="321"/>
      <c r="AV159" s="321"/>
      <c r="AW159" s="321"/>
      <c r="AX159" s="321"/>
      <c r="AY159" s="321"/>
      <c r="AZ159" s="321"/>
      <c r="BA159" s="321"/>
      <c r="BB159" s="321"/>
      <c r="BC159" s="321"/>
      <c r="BD159" s="321"/>
      <c r="BE159" s="321"/>
      <c r="BF159" s="321"/>
      <c r="BG159" s="321"/>
      <c r="BH159" s="321"/>
      <c r="BI159" s="321"/>
      <c r="BJ159" s="321"/>
      <c r="BK159" s="321"/>
      <c r="BL159" s="321"/>
      <c r="BM159" s="321"/>
      <c r="BN159" s="321"/>
      <c r="BO159" s="321"/>
      <c r="BP159" s="321"/>
      <c r="BQ159" s="321"/>
      <c r="BR159" s="321"/>
      <c r="BS159" s="321"/>
      <c r="BT159" s="321"/>
      <c r="BU159" s="321"/>
      <c r="BV159" s="321"/>
      <c r="BW159" s="321"/>
      <c r="BX159" s="321"/>
      <c r="BY159" s="321"/>
      <c r="BZ159" s="321"/>
      <c r="CA159" s="321"/>
      <c r="CB159" s="321"/>
      <c r="CC159" s="321"/>
      <c r="CD159" s="321"/>
      <c r="CE159" s="321"/>
      <c r="CF159" s="321"/>
      <c r="CG159" s="321"/>
      <c r="CH159" s="321"/>
      <c r="CI159" s="321"/>
      <c r="CJ159" s="321"/>
      <c r="CK159" s="321"/>
      <c r="CL159" s="321"/>
      <c r="CM159" s="321"/>
      <c r="CN159" s="321"/>
      <c r="CO159" s="321"/>
      <c r="CP159" s="321"/>
      <c r="CQ159" s="321"/>
      <c r="CR159" s="321"/>
      <c r="CS159" s="321"/>
      <c r="CT159" s="321"/>
      <c r="CU159" s="321"/>
      <c r="CV159" s="321"/>
      <c r="CW159" s="321"/>
      <c r="CX159" s="321"/>
      <c r="CY159" s="321"/>
      <c r="CZ159" s="321"/>
      <c r="DA159" s="321"/>
      <c r="DB159" s="321"/>
      <c r="DC159" s="321"/>
      <c r="DD159" s="321"/>
      <c r="DE159" s="321"/>
      <c r="DF159" s="321"/>
      <c r="DG159" s="321"/>
      <c r="DH159" s="321"/>
      <c r="DI159" s="321"/>
      <c r="DJ159" s="321"/>
      <c r="DK159" s="321"/>
      <c r="DL159" s="321"/>
      <c r="DM159" s="321"/>
      <c r="DN159" s="321"/>
      <c r="DO159" s="321"/>
      <c r="DP159" s="321"/>
      <c r="DQ159" s="321"/>
      <c r="DR159" s="321"/>
      <c r="DS159" s="321"/>
      <c r="DT159" s="321"/>
      <c r="DU159" s="321"/>
      <c r="DV159" s="321"/>
      <c r="DW159" s="321"/>
      <c r="DX159" s="321"/>
      <c r="DY159" s="321"/>
      <c r="DZ159" s="321"/>
      <c r="EA159" s="321"/>
      <c r="EB159" s="321"/>
      <c r="EC159" s="321"/>
      <c r="ED159" s="321"/>
      <c r="EE159" s="321"/>
      <c r="EF159" s="321"/>
      <c r="EG159" s="321"/>
      <c r="EH159" s="321"/>
      <c r="EI159" s="321"/>
      <c r="EJ159" s="321"/>
      <c r="EK159" s="321"/>
      <c r="EL159" s="321"/>
      <c r="EM159" s="321"/>
      <c r="EN159" s="321"/>
      <c r="EO159" s="321"/>
      <c r="EP159" s="321"/>
      <c r="EQ159" s="321"/>
      <c r="ER159" s="321"/>
      <c r="ES159" s="321"/>
      <c r="ET159" s="321"/>
      <c r="EU159" s="321"/>
      <c r="EV159" s="321"/>
      <c r="EW159" s="321"/>
      <c r="EX159" s="321"/>
      <c r="EY159" s="321"/>
      <c r="EZ159" s="321"/>
      <c r="FA159" s="321"/>
      <c r="FB159" s="321"/>
      <c r="FC159" s="321"/>
      <c r="FD159" s="321"/>
      <c r="FE159" s="321"/>
      <c r="FF159" s="321"/>
      <c r="FG159" s="321"/>
      <c r="FH159" s="321"/>
      <c r="FI159" s="321"/>
      <c r="FJ159" s="321"/>
      <c r="FK159" s="321"/>
      <c r="FL159" s="321"/>
      <c r="FM159" s="321"/>
      <c r="FN159" s="321"/>
      <c r="FO159" s="321"/>
      <c r="FP159" s="321"/>
      <c r="FQ159" s="321"/>
      <c r="FR159" s="321"/>
      <c r="FS159" s="321"/>
      <c r="FT159" s="321"/>
      <c r="FU159" s="321"/>
      <c r="FV159" s="321"/>
      <c r="FW159" s="321"/>
      <c r="FX159" s="321"/>
      <c r="FY159" s="321"/>
      <c r="FZ159" s="321"/>
      <c r="GA159" s="321"/>
      <c r="GB159" s="321"/>
      <c r="GC159" s="321"/>
      <c r="GD159" s="321"/>
      <c r="GE159" s="321"/>
      <c r="GF159" s="321"/>
      <c r="GG159" s="321"/>
      <c r="GH159" s="321"/>
      <c r="GI159" s="321"/>
      <c r="GJ159" s="321"/>
      <c r="GK159" s="321"/>
      <c r="GL159" s="321"/>
      <c r="GM159" s="321"/>
      <c r="GN159" s="321"/>
      <c r="GO159" s="321"/>
      <c r="GP159" s="321"/>
      <c r="GQ159" s="321"/>
      <c r="GR159" s="321"/>
      <c r="GS159" s="321"/>
      <c r="GT159" s="321"/>
      <c r="GU159" s="321"/>
      <c r="GV159" s="321"/>
      <c r="GW159" s="321"/>
      <c r="GX159" s="321"/>
      <c r="GY159" s="321"/>
      <c r="GZ159" s="321"/>
      <c r="HA159" s="321"/>
      <c r="HB159" s="321"/>
      <c r="HC159" s="321"/>
      <c r="HD159" s="321"/>
      <c r="HE159" s="321"/>
      <c r="HF159" s="321"/>
      <c r="HG159" s="321"/>
      <c r="HH159" s="321"/>
      <c r="HI159" s="321"/>
      <c r="HJ159" s="321"/>
      <c r="HK159" s="321"/>
      <c r="HL159" s="321"/>
      <c r="HM159" s="321"/>
      <c r="HN159" s="321"/>
      <c r="HO159" s="321"/>
      <c r="HP159" s="321"/>
      <c r="HQ159" s="321"/>
      <c r="HR159" s="321"/>
      <c r="HS159" s="321"/>
      <c r="HT159" s="321"/>
      <c r="HU159" s="321"/>
      <c r="HV159" s="321"/>
      <c r="HW159" s="321"/>
      <c r="HX159" s="321"/>
      <c r="HY159" s="321"/>
      <c r="HZ159" s="321"/>
      <c r="IA159" s="321"/>
      <c r="IB159" s="321"/>
      <c r="IC159" s="321"/>
      <c r="ID159" s="321"/>
      <c r="IE159" s="321"/>
      <c r="IF159" s="321"/>
      <c r="IG159" s="321"/>
      <c r="IH159" s="321"/>
      <c r="II159" s="321"/>
      <c r="IJ159" s="321"/>
      <c r="IK159" s="321"/>
      <c r="IL159" s="321"/>
      <c r="IM159" s="321"/>
      <c r="IN159" s="321"/>
      <c r="IO159" s="321"/>
      <c r="IP159" s="321"/>
      <c r="IQ159" s="321"/>
      <c r="IR159" s="321"/>
      <c r="IS159" s="321"/>
      <c r="IT159" s="321"/>
      <c r="IU159" s="321"/>
      <c r="IV159" s="321"/>
    </row>
    <row r="160" spans="1:256" s="546" customFormat="1" ht="18" customHeight="1">
      <c r="A160" s="561">
        <v>151</v>
      </c>
      <c r="B160" s="554"/>
      <c r="C160" s="322"/>
      <c r="D160" s="755" t="s">
        <v>303</v>
      </c>
      <c r="E160" s="330">
        <f>F160+G160+O161+P160</f>
        <v>2500</v>
      </c>
      <c r="F160" s="330"/>
      <c r="G160" s="331"/>
      <c r="H160" s="762"/>
      <c r="I160" s="760"/>
      <c r="J160" s="330"/>
      <c r="K160" s="330"/>
      <c r="L160" s="330"/>
      <c r="M160" s="772">
        <v>2500</v>
      </c>
      <c r="N160" s="330"/>
      <c r="O160" s="745">
        <f>SUM(I160:N160)</f>
        <v>2500</v>
      </c>
      <c r="P160" s="551"/>
      <c r="Q160" s="321"/>
      <c r="R160" s="321"/>
      <c r="S160" s="321"/>
      <c r="T160" s="321"/>
      <c r="U160" s="321"/>
      <c r="V160" s="321"/>
      <c r="W160" s="321"/>
      <c r="X160" s="321"/>
      <c r="Y160" s="321"/>
      <c r="Z160" s="321"/>
      <c r="AA160" s="321"/>
      <c r="AB160" s="321"/>
      <c r="AC160" s="321"/>
      <c r="AD160" s="321"/>
      <c r="AE160" s="321"/>
      <c r="AF160" s="321"/>
      <c r="AG160" s="321"/>
      <c r="AH160" s="321"/>
      <c r="AI160" s="321"/>
      <c r="AJ160" s="321"/>
      <c r="AK160" s="321"/>
      <c r="AL160" s="321"/>
      <c r="AM160" s="321"/>
      <c r="AN160" s="321"/>
      <c r="AO160" s="321"/>
      <c r="AP160" s="321"/>
      <c r="AQ160" s="321"/>
      <c r="AR160" s="321"/>
      <c r="AS160" s="321"/>
      <c r="AT160" s="321"/>
      <c r="AU160" s="321"/>
      <c r="AV160" s="321"/>
      <c r="AW160" s="321"/>
      <c r="AX160" s="321"/>
      <c r="AY160" s="321"/>
      <c r="AZ160" s="321"/>
      <c r="BA160" s="321"/>
      <c r="BB160" s="321"/>
      <c r="BC160" s="321"/>
      <c r="BD160" s="321"/>
      <c r="BE160" s="321"/>
      <c r="BF160" s="321"/>
      <c r="BG160" s="321"/>
      <c r="BH160" s="321"/>
      <c r="BI160" s="321"/>
      <c r="BJ160" s="321"/>
      <c r="BK160" s="321"/>
      <c r="BL160" s="321"/>
      <c r="BM160" s="321"/>
      <c r="BN160" s="321"/>
      <c r="BO160" s="321"/>
      <c r="BP160" s="321"/>
      <c r="BQ160" s="321"/>
      <c r="BR160" s="321"/>
      <c r="BS160" s="321"/>
      <c r="BT160" s="321"/>
      <c r="BU160" s="321"/>
      <c r="BV160" s="321"/>
      <c r="BW160" s="321"/>
      <c r="BX160" s="321"/>
      <c r="BY160" s="321"/>
      <c r="BZ160" s="321"/>
      <c r="CA160" s="321"/>
      <c r="CB160" s="321"/>
      <c r="CC160" s="321"/>
      <c r="CD160" s="321"/>
      <c r="CE160" s="321"/>
      <c r="CF160" s="321"/>
      <c r="CG160" s="321"/>
      <c r="CH160" s="321"/>
      <c r="CI160" s="321"/>
      <c r="CJ160" s="321"/>
      <c r="CK160" s="321"/>
      <c r="CL160" s="321"/>
      <c r="CM160" s="321"/>
      <c r="CN160" s="321"/>
      <c r="CO160" s="321"/>
      <c r="CP160" s="321"/>
      <c r="CQ160" s="321"/>
      <c r="CR160" s="321"/>
      <c r="CS160" s="321"/>
      <c r="CT160" s="321"/>
      <c r="CU160" s="321"/>
      <c r="CV160" s="321"/>
      <c r="CW160" s="321"/>
      <c r="CX160" s="321"/>
      <c r="CY160" s="321"/>
      <c r="CZ160" s="321"/>
      <c r="DA160" s="321"/>
      <c r="DB160" s="321"/>
      <c r="DC160" s="321"/>
      <c r="DD160" s="321"/>
      <c r="DE160" s="321"/>
      <c r="DF160" s="321"/>
      <c r="DG160" s="321"/>
      <c r="DH160" s="321"/>
      <c r="DI160" s="321"/>
      <c r="DJ160" s="321"/>
      <c r="DK160" s="321"/>
      <c r="DL160" s="321"/>
      <c r="DM160" s="321"/>
      <c r="DN160" s="321"/>
      <c r="DO160" s="321"/>
      <c r="DP160" s="321"/>
      <c r="DQ160" s="321"/>
      <c r="DR160" s="321"/>
      <c r="DS160" s="321"/>
      <c r="DT160" s="321"/>
      <c r="DU160" s="321"/>
      <c r="DV160" s="321"/>
      <c r="DW160" s="321"/>
      <c r="DX160" s="321"/>
      <c r="DY160" s="321"/>
      <c r="DZ160" s="321"/>
      <c r="EA160" s="321"/>
      <c r="EB160" s="321"/>
      <c r="EC160" s="321"/>
      <c r="ED160" s="321"/>
      <c r="EE160" s="321"/>
      <c r="EF160" s="321"/>
      <c r="EG160" s="321"/>
      <c r="EH160" s="321"/>
      <c r="EI160" s="321"/>
      <c r="EJ160" s="321"/>
      <c r="EK160" s="321"/>
      <c r="EL160" s="321"/>
      <c r="EM160" s="321"/>
      <c r="EN160" s="321"/>
      <c r="EO160" s="321"/>
      <c r="EP160" s="321"/>
      <c r="EQ160" s="321"/>
      <c r="ER160" s="321"/>
      <c r="ES160" s="321"/>
      <c r="ET160" s="321"/>
      <c r="EU160" s="321"/>
      <c r="EV160" s="321"/>
      <c r="EW160" s="321"/>
      <c r="EX160" s="321"/>
      <c r="EY160" s="321"/>
      <c r="EZ160" s="321"/>
      <c r="FA160" s="321"/>
      <c r="FB160" s="321"/>
      <c r="FC160" s="321"/>
      <c r="FD160" s="321"/>
      <c r="FE160" s="321"/>
      <c r="FF160" s="321"/>
      <c r="FG160" s="321"/>
      <c r="FH160" s="321"/>
      <c r="FI160" s="321"/>
      <c r="FJ160" s="321"/>
      <c r="FK160" s="321"/>
      <c r="FL160" s="321"/>
      <c r="FM160" s="321"/>
      <c r="FN160" s="321"/>
      <c r="FO160" s="321"/>
      <c r="FP160" s="321"/>
      <c r="FQ160" s="321"/>
      <c r="FR160" s="321"/>
      <c r="FS160" s="321"/>
      <c r="FT160" s="321"/>
      <c r="FU160" s="321"/>
      <c r="FV160" s="321"/>
      <c r="FW160" s="321"/>
      <c r="FX160" s="321"/>
      <c r="FY160" s="321"/>
      <c r="FZ160" s="321"/>
      <c r="GA160" s="321"/>
      <c r="GB160" s="321"/>
      <c r="GC160" s="321"/>
      <c r="GD160" s="321"/>
      <c r="GE160" s="321"/>
      <c r="GF160" s="321"/>
      <c r="GG160" s="321"/>
      <c r="GH160" s="321"/>
      <c r="GI160" s="321"/>
      <c r="GJ160" s="321"/>
      <c r="GK160" s="321"/>
      <c r="GL160" s="321"/>
      <c r="GM160" s="321"/>
      <c r="GN160" s="321"/>
      <c r="GO160" s="321"/>
      <c r="GP160" s="321"/>
      <c r="GQ160" s="321"/>
      <c r="GR160" s="321"/>
      <c r="GS160" s="321"/>
      <c r="GT160" s="321"/>
      <c r="GU160" s="321"/>
      <c r="GV160" s="321"/>
      <c r="GW160" s="321"/>
      <c r="GX160" s="321"/>
      <c r="GY160" s="321"/>
      <c r="GZ160" s="321"/>
      <c r="HA160" s="321"/>
      <c r="HB160" s="321"/>
      <c r="HC160" s="321"/>
      <c r="HD160" s="321"/>
      <c r="HE160" s="321"/>
      <c r="HF160" s="321"/>
      <c r="HG160" s="321"/>
      <c r="HH160" s="321"/>
      <c r="HI160" s="321"/>
      <c r="HJ160" s="321"/>
      <c r="HK160" s="321"/>
      <c r="HL160" s="321"/>
      <c r="HM160" s="321"/>
      <c r="HN160" s="321"/>
      <c r="HO160" s="321"/>
      <c r="HP160" s="321"/>
      <c r="HQ160" s="321"/>
      <c r="HR160" s="321"/>
      <c r="HS160" s="321"/>
      <c r="HT160" s="321"/>
      <c r="HU160" s="321"/>
      <c r="HV160" s="321"/>
      <c r="HW160" s="321"/>
      <c r="HX160" s="321"/>
      <c r="HY160" s="321"/>
      <c r="HZ160" s="321"/>
      <c r="IA160" s="321"/>
      <c r="IB160" s="321"/>
      <c r="IC160" s="321"/>
      <c r="ID160" s="321"/>
      <c r="IE160" s="321"/>
      <c r="IF160" s="321"/>
      <c r="IG160" s="321"/>
      <c r="IH160" s="321"/>
      <c r="II160" s="321"/>
      <c r="IJ160" s="321"/>
      <c r="IK160" s="321"/>
      <c r="IL160" s="321"/>
      <c r="IM160" s="321"/>
      <c r="IN160" s="321"/>
      <c r="IO160" s="321"/>
      <c r="IP160" s="321"/>
      <c r="IQ160" s="321"/>
      <c r="IR160" s="321"/>
      <c r="IS160" s="321"/>
      <c r="IT160" s="321"/>
      <c r="IU160" s="321"/>
      <c r="IV160" s="321"/>
    </row>
    <row r="161" spans="1:256" s="546" customFormat="1" ht="18" customHeight="1">
      <c r="A161" s="561">
        <v>152</v>
      </c>
      <c r="B161" s="554"/>
      <c r="C161" s="322"/>
      <c r="D161" s="436" t="s">
        <v>994</v>
      </c>
      <c r="E161" s="330"/>
      <c r="F161" s="330"/>
      <c r="G161" s="331"/>
      <c r="H161" s="762"/>
      <c r="I161" s="760"/>
      <c r="J161" s="330"/>
      <c r="K161" s="330">
        <v>2500</v>
      </c>
      <c r="L161" s="330"/>
      <c r="M161" s="330">
        <v>0</v>
      </c>
      <c r="N161" s="330"/>
      <c r="O161" s="555">
        <f>SUM(I161:N161)</f>
        <v>2500</v>
      </c>
      <c r="P161" s="551"/>
      <c r="Q161" s="321"/>
      <c r="R161" s="321"/>
      <c r="S161" s="321"/>
      <c r="T161" s="321"/>
      <c r="U161" s="321"/>
      <c r="V161" s="321"/>
      <c r="W161" s="321"/>
      <c r="X161" s="321"/>
      <c r="Y161" s="321"/>
      <c r="Z161" s="321"/>
      <c r="AA161" s="321"/>
      <c r="AB161" s="321"/>
      <c r="AC161" s="321"/>
      <c r="AD161" s="321"/>
      <c r="AE161" s="321"/>
      <c r="AF161" s="321"/>
      <c r="AG161" s="321"/>
      <c r="AH161" s="321"/>
      <c r="AI161" s="321"/>
      <c r="AJ161" s="321"/>
      <c r="AK161" s="321"/>
      <c r="AL161" s="321"/>
      <c r="AM161" s="321"/>
      <c r="AN161" s="321"/>
      <c r="AO161" s="321"/>
      <c r="AP161" s="321"/>
      <c r="AQ161" s="321"/>
      <c r="AR161" s="321"/>
      <c r="AS161" s="321"/>
      <c r="AT161" s="321"/>
      <c r="AU161" s="321"/>
      <c r="AV161" s="321"/>
      <c r="AW161" s="321"/>
      <c r="AX161" s="321"/>
      <c r="AY161" s="321"/>
      <c r="AZ161" s="321"/>
      <c r="BA161" s="321"/>
      <c r="BB161" s="321"/>
      <c r="BC161" s="321"/>
      <c r="BD161" s="321"/>
      <c r="BE161" s="321"/>
      <c r="BF161" s="321"/>
      <c r="BG161" s="321"/>
      <c r="BH161" s="321"/>
      <c r="BI161" s="321"/>
      <c r="BJ161" s="321"/>
      <c r="BK161" s="321"/>
      <c r="BL161" s="321"/>
      <c r="BM161" s="321"/>
      <c r="BN161" s="321"/>
      <c r="BO161" s="321"/>
      <c r="BP161" s="321"/>
      <c r="BQ161" s="321"/>
      <c r="BR161" s="321"/>
      <c r="BS161" s="321"/>
      <c r="BT161" s="321"/>
      <c r="BU161" s="321"/>
      <c r="BV161" s="321"/>
      <c r="BW161" s="321"/>
      <c r="BX161" s="321"/>
      <c r="BY161" s="321"/>
      <c r="BZ161" s="321"/>
      <c r="CA161" s="321"/>
      <c r="CB161" s="321"/>
      <c r="CC161" s="321"/>
      <c r="CD161" s="321"/>
      <c r="CE161" s="321"/>
      <c r="CF161" s="321"/>
      <c r="CG161" s="321"/>
      <c r="CH161" s="321"/>
      <c r="CI161" s="321"/>
      <c r="CJ161" s="321"/>
      <c r="CK161" s="321"/>
      <c r="CL161" s="321"/>
      <c r="CM161" s="321"/>
      <c r="CN161" s="321"/>
      <c r="CO161" s="321"/>
      <c r="CP161" s="321"/>
      <c r="CQ161" s="321"/>
      <c r="CR161" s="321"/>
      <c r="CS161" s="321"/>
      <c r="CT161" s="321"/>
      <c r="CU161" s="321"/>
      <c r="CV161" s="321"/>
      <c r="CW161" s="321"/>
      <c r="CX161" s="321"/>
      <c r="CY161" s="321"/>
      <c r="CZ161" s="321"/>
      <c r="DA161" s="321"/>
      <c r="DB161" s="321"/>
      <c r="DC161" s="321"/>
      <c r="DD161" s="321"/>
      <c r="DE161" s="321"/>
      <c r="DF161" s="321"/>
      <c r="DG161" s="321"/>
      <c r="DH161" s="321"/>
      <c r="DI161" s="321"/>
      <c r="DJ161" s="321"/>
      <c r="DK161" s="321"/>
      <c r="DL161" s="321"/>
      <c r="DM161" s="321"/>
      <c r="DN161" s="321"/>
      <c r="DO161" s="321"/>
      <c r="DP161" s="321"/>
      <c r="DQ161" s="321"/>
      <c r="DR161" s="321"/>
      <c r="DS161" s="321"/>
      <c r="DT161" s="321"/>
      <c r="DU161" s="321"/>
      <c r="DV161" s="321"/>
      <c r="DW161" s="321"/>
      <c r="DX161" s="321"/>
      <c r="DY161" s="321"/>
      <c r="DZ161" s="321"/>
      <c r="EA161" s="321"/>
      <c r="EB161" s="321"/>
      <c r="EC161" s="321"/>
      <c r="ED161" s="321"/>
      <c r="EE161" s="321"/>
      <c r="EF161" s="321"/>
      <c r="EG161" s="321"/>
      <c r="EH161" s="321"/>
      <c r="EI161" s="321"/>
      <c r="EJ161" s="321"/>
      <c r="EK161" s="321"/>
      <c r="EL161" s="321"/>
      <c r="EM161" s="321"/>
      <c r="EN161" s="321"/>
      <c r="EO161" s="321"/>
      <c r="EP161" s="321"/>
      <c r="EQ161" s="321"/>
      <c r="ER161" s="321"/>
      <c r="ES161" s="321"/>
      <c r="ET161" s="321"/>
      <c r="EU161" s="321"/>
      <c r="EV161" s="321"/>
      <c r="EW161" s="321"/>
      <c r="EX161" s="321"/>
      <c r="EY161" s="321"/>
      <c r="EZ161" s="321"/>
      <c r="FA161" s="321"/>
      <c r="FB161" s="321"/>
      <c r="FC161" s="321"/>
      <c r="FD161" s="321"/>
      <c r="FE161" s="321"/>
      <c r="FF161" s="321"/>
      <c r="FG161" s="321"/>
      <c r="FH161" s="321"/>
      <c r="FI161" s="321"/>
      <c r="FJ161" s="321"/>
      <c r="FK161" s="321"/>
      <c r="FL161" s="321"/>
      <c r="FM161" s="321"/>
      <c r="FN161" s="321"/>
      <c r="FO161" s="321"/>
      <c r="FP161" s="321"/>
      <c r="FQ161" s="321"/>
      <c r="FR161" s="321"/>
      <c r="FS161" s="321"/>
      <c r="FT161" s="321"/>
      <c r="FU161" s="321"/>
      <c r="FV161" s="321"/>
      <c r="FW161" s="321"/>
      <c r="FX161" s="321"/>
      <c r="FY161" s="321"/>
      <c r="FZ161" s="321"/>
      <c r="GA161" s="321"/>
      <c r="GB161" s="321"/>
      <c r="GC161" s="321"/>
      <c r="GD161" s="321"/>
      <c r="GE161" s="321"/>
      <c r="GF161" s="321"/>
      <c r="GG161" s="321"/>
      <c r="GH161" s="321"/>
      <c r="GI161" s="321"/>
      <c r="GJ161" s="321"/>
      <c r="GK161" s="321"/>
      <c r="GL161" s="321"/>
      <c r="GM161" s="321"/>
      <c r="GN161" s="321"/>
      <c r="GO161" s="321"/>
      <c r="GP161" s="321"/>
      <c r="GQ161" s="321"/>
      <c r="GR161" s="321"/>
      <c r="GS161" s="321"/>
      <c r="GT161" s="321"/>
      <c r="GU161" s="321"/>
      <c r="GV161" s="321"/>
      <c r="GW161" s="321"/>
      <c r="GX161" s="321"/>
      <c r="GY161" s="321"/>
      <c r="GZ161" s="321"/>
      <c r="HA161" s="321"/>
      <c r="HB161" s="321"/>
      <c r="HC161" s="321"/>
      <c r="HD161" s="321"/>
      <c r="HE161" s="321"/>
      <c r="HF161" s="321"/>
      <c r="HG161" s="321"/>
      <c r="HH161" s="321"/>
      <c r="HI161" s="321"/>
      <c r="HJ161" s="321"/>
      <c r="HK161" s="321"/>
      <c r="HL161" s="321"/>
      <c r="HM161" s="321"/>
      <c r="HN161" s="321"/>
      <c r="HO161" s="321"/>
      <c r="HP161" s="321"/>
      <c r="HQ161" s="321"/>
      <c r="HR161" s="321"/>
      <c r="HS161" s="321"/>
      <c r="HT161" s="321"/>
      <c r="HU161" s="321"/>
      <c r="HV161" s="321"/>
      <c r="HW161" s="321"/>
      <c r="HX161" s="321"/>
      <c r="HY161" s="321"/>
      <c r="HZ161" s="321"/>
      <c r="IA161" s="321"/>
      <c r="IB161" s="321"/>
      <c r="IC161" s="321"/>
      <c r="ID161" s="321"/>
      <c r="IE161" s="321"/>
      <c r="IF161" s="321"/>
      <c r="IG161" s="321"/>
      <c r="IH161" s="321"/>
      <c r="II161" s="321"/>
      <c r="IJ161" s="321"/>
      <c r="IK161" s="321"/>
      <c r="IL161" s="321"/>
      <c r="IM161" s="321"/>
      <c r="IN161" s="321"/>
      <c r="IO161" s="321"/>
      <c r="IP161" s="321"/>
      <c r="IQ161" s="321"/>
      <c r="IR161" s="321"/>
      <c r="IS161" s="321"/>
      <c r="IT161" s="321"/>
      <c r="IU161" s="321"/>
      <c r="IV161" s="321"/>
    </row>
    <row r="162" spans="1:256" s="546" customFormat="1" ht="18" customHeight="1">
      <c r="A162" s="561">
        <v>153</v>
      </c>
      <c r="B162" s="554"/>
      <c r="C162" s="322"/>
      <c r="D162" s="987" t="s">
        <v>1035</v>
      </c>
      <c r="E162" s="330"/>
      <c r="F162" s="330"/>
      <c r="G162" s="331"/>
      <c r="H162" s="762"/>
      <c r="I162" s="760"/>
      <c r="J162" s="330"/>
      <c r="K162" s="1151">
        <v>2500</v>
      </c>
      <c r="L162" s="1151"/>
      <c r="M162" s="1151"/>
      <c r="N162" s="330"/>
      <c r="O162" s="1175">
        <f>SUM(I162:N162)</f>
        <v>2500</v>
      </c>
      <c r="P162" s="551"/>
      <c r="Q162" s="321"/>
      <c r="R162" s="321"/>
      <c r="S162" s="321"/>
      <c r="T162" s="321"/>
      <c r="U162" s="321"/>
      <c r="V162" s="321"/>
      <c r="W162" s="321"/>
      <c r="X162" s="321"/>
      <c r="Y162" s="321"/>
      <c r="Z162" s="321"/>
      <c r="AA162" s="321"/>
      <c r="AB162" s="321"/>
      <c r="AC162" s="321"/>
      <c r="AD162" s="321"/>
      <c r="AE162" s="321"/>
      <c r="AF162" s="321"/>
      <c r="AG162" s="321"/>
      <c r="AH162" s="321"/>
      <c r="AI162" s="321"/>
      <c r="AJ162" s="321"/>
      <c r="AK162" s="321"/>
      <c r="AL162" s="321"/>
      <c r="AM162" s="321"/>
      <c r="AN162" s="321"/>
      <c r="AO162" s="321"/>
      <c r="AP162" s="321"/>
      <c r="AQ162" s="321"/>
      <c r="AR162" s="321"/>
      <c r="AS162" s="321"/>
      <c r="AT162" s="321"/>
      <c r="AU162" s="321"/>
      <c r="AV162" s="321"/>
      <c r="AW162" s="321"/>
      <c r="AX162" s="321"/>
      <c r="AY162" s="321"/>
      <c r="AZ162" s="321"/>
      <c r="BA162" s="321"/>
      <c r="BB162" s="321"/>
      <c r="BC162" s="321"/>
      <c r="BD162" s="321"/>
      <c r="BE162" s="321"/>
      <c r="BF162" s="321"/>
      <c r="BG162" s="321"/>
      <c r="BH162" s="321"/>
      <c r="BI162" s="321"/>
      <c r="BJ162" s="321"/>
      <c r="BK162" s="321"/>
      <c r="BL162" s="321"/>
      <c r="BM162" s="321"/>
      <c r="BN162" s="321"/>
      <c r="BO162" s="321"/>
      <c r="BP162" s="321"/>
      <c r="BQ162" s="321"/>
      <c r="BR162" s="321"/>
      <c r="BS162" s="321"/>
      <c r="BT162" s="321"/>
      <c r="BU162" s="321"/>
      <c r="BV162" s="321"/>
      <c r="BW162" s="321"/>
      <c r="BX162" s="321"/>
      <c r="BY162" s="321"/>
      <c r="BZ162" s="321"/>
      <c r="CA162" s="321"/>
      <c r="CB162" s="321"/>
      <c r="CC162" s="321"/>
      <c r="CD162" s="321"/>
      <c r="CE162" s="321"/>
      <c r="CF162" s="321"/>
      <c r="CG162" s="321"/>
      <c r="CH162" s="321"/>
      <c r="CI162" s="321"/>
      <c r="CJ162" s="321"/>
      <c r="CK162" s="321"/>
      <c r="CL162" s="321"/>
      <c r="CM162" s="321"/>
      <c r="CN162" s="321"/>
      <c r="CO162" s="321"/>
      <c r="CP162" s="321"/>
      <c r="CQ162" s="321"/>
      <c r="CR162" s="321"/>
      <c r="CS162" s="321"/>
      <c r="CT162" s="321"/>
      <c r="CU162" s="321"/>
      <c r="CV162" s="321"/>
      <c r="CW162" s="321"/>
      <c r="CX162" s="321"/>
      <c r="CY162" s="321"/>
      <c r="CZ162" s="321"/>
      <c r="DA162" s="321"/>
      <c r="DB162" s="321"/>
      <c r="DC162" s="321"/>
      <c r="DD162" s="321"/>
      <c r="DE162" s="321"/>
      <c r="DF162" s="321"/>
      <c r="DG162" s="321"/>
      <c r="DH162" s="321"/>
      <c r="DI162" s="321"/>
      <c r="DJ162" s="321"/>
      <c r="DK162" s="321"/>
      <c r="DL162" s="321"/>
      <c r="DM162" s="321"/>
      <c r="DN162" s="321"/>
      <c r="DO162" s="321"/>
      <c r="DP162" s="321"/>
      <c r="DQ162" s="321"/>
      <c r="DR162" s="321"/>
      <c r="DS162" s="321"/>
      <c r="DT162" s="321"/>
      <c r="DU162" s="321"/>
      <c r="DV162" s="321"/>
      <c r="DW162" s="321"/>
      <c r="DX162" s="321"/>
      <c r="DY162" s="321"/>
      <c r="DZ162" s="321"/>
      <c r="EA162" s="321"/>
      <c r="EB162" s="321"/>
      <c r="EC162" s="321"/>
      <c r="ED162" s="321"/>
      <c r="EE162" s="321"/>
      <c r="EF162" s="321"/>
      <c r="EG162" s="321"/>
      <c r="EH162" s="321"/>
      <c r="EI162" s="321"/>
      <c r="EJ162" s="321"/>
      <c r="EK162" s="321"/>
      <c r="EL162" s="321"/>
      <c r="EM162" s="321"/>
      <c r="EN162" s="321"/>
      <c r="EO162" s="321"/>
      <c r="EP162" s="321"/>
      <c r="EQ162" s="321"/>
      <c r="ER162" s="321"/>
      <c r="ES162" s="321"/>
      <c r="ET162" s="321"/>
      <c r="EU162" s="321"/>
      <c r="EV162" s="321"/>
      <c r="EW162" s="321"/>
      <c r="EX162" s="321"/>
      <c r="EY162" s="321"/>
      <c r="EZ162" s="321"/>
      <c r="FA162" s="321"/>
      <c r="FB162" s="321"/>
      <c r="FC162" s="321"/>
      <c r="FD162" s="321"/>
      <c r="FE162" s="321"/>
      <c r="FF162" s="321"/>
      <c r="FG162" s="321"/>
      <c r="FH162" s="321"/>
      <c r="FI162" s="321"/>
      <c r="FJ162" s="321"/>
      <c r="FK162" s="321"/>
      <c r="FL162" s="321"/>
      <c r="FM162" s="321"/>
      <c r="FN162" s="321"/>
      <c r="FO162" s="321"/>
      <c r="FP162" s="321"/>
      <c r="FQ162" s="321"/>
      <c r="FR162" s="321"/>
      <c r="FS162" s="321"/>
      <c r="FT162" s="321"/>
      <c r="FU162" s="321"/>
      <c r="FV162" s="321"/>
      <c r="FW162" s="321"/>
      <c r="FX162" s="321"/>
      <c r="FY162" s="321"/>
      <c r="FZ162" s="321"/>
      <c r="GA162" s="321"/>
      <c r="GB162" s="321"/>
      <c r="GC162" s="321"/>
      <c r="GD162" s="321"/>
      <c r="GE162" s="321"/>
      <c r="GF162" s="321"/>
      <c r="GG162" s="321"/>
      <c r="GH162" s="321"/>
      <c r="GI162" s="321"/>
      <c r="GJ162" s="321"/>
      <c r="GK162" s="321"/>
      <c r="GL162" s="321"/>
      <c r="GM162" s="321"/>
      <c r="GN162" s="321"/>
      <c r="GO162" s="321"/>
      <c r="GP162" s="321"/>
      <c r="GQ162" s="321"/>
      <c r="GR162" s="321"/>
      <c r="GS162" s="321"/>
      <c r="GT162" s="321"/>
      <c r="GU162" s="321"/>
      <c r="GV162" s="321"/>
      <c r="GW162" s="321"/>
      <c r="GX162" s="321"/>
      <c r="GY162" s="321"/>
      <c r="GZ162" s="321"/>
      <c r="HA162" s="321"/>
      <c r="HB162" s="321"/>
      <c r="HC162" s="321"/>
      <c r="HD162" s="321"/>
      <c r="HE162" s="321"/>
      <c r="HF162" s="321"/>
      <c r="HG162" s="321"/>
      <c r="HH162" s="321"/>
      <c r="HI162" s="321"/>
      <c r="HJ162" s="321"/>
      <c r="HK162" s="321"/>
      <c r="HL162" s="321"/>
      <c r="HM162" s="321"/>
      <c r="HN162" s="321"/>
      <c r="HO162" s="321"/>
      <c r="HP162" s="321"/>
      <c r="HQ162" s="321"/>
      <c r="HR162" s="321"/>
      <c r="HS162" s="321"/>
      <c r="HT162" s="321"/>
      <c r="HU162" s="321"/>
      <c r="HV162" s="321"/>
      <c r="HW162" s="321"/>
      <c r="HX162" s="321"/>
      <c r="HY162" s="321"/>
      <c r="HZ162" s="321"/>
      <c r="IA162" s="321"/>
      <c r="IB162" s="321"/>
      <c r="IC162" s="321"/>
      <c r="ID162" s="321"/>
      <c r="IE162" s="321"/>
      <c r="IF162" s="321"/>
      <c r="IG162" s="321"/>
      <c r="IH162" s="321"/>
      <c r="II162" s="321"/>
      <c r="IJ162" s="321"/>
      <c r="IK162" s="321"/>
      <c r="IL162" s="321"/>
      <c r="IM162" s="321"/>
      <c r="IN162" s="321"/>
      <c r="IO162" s="321"/>
      <c r="IP162" s="321"/>
      <c r="IQ162" s="321"/>
      <c r="IR162" s="321"/>
      <c r="IS162" s="321"/>
      <c r="IT162" s="321"/>
      <c r="IU162" s="321"/>
      <c r="IV162" s="321"/>
    </row>
    <row r="163" spans="1:16" ht="53.25" customHeight="1">
      <c r="A163" s="561">
        <v>154</v>
      </c>
      <c r="B163" s="455"/>
      <c r="C163" s="322">
        <v>39</v>
      </c>
      <c r="D163" s="323" t="s">
        <v>848</v>
      </c>
      <c r="E163" s="330">
        <f>F163+G163+O164+P163</f>
        <v>307836</v>
      </c>
      <c r="F163" s="330">
        <f>984+40</f>
        <v>1024</v>
      </c>
      <c r="G163" s="331">
        <v>40</v>
      </c>
      <c r="H163" s="762" t="s">
        <v>24</v>
      </c>
      <c r="I163" s="778"/>
      <c r="J163" s="772"/>
      <c r="K163" s="772"/>
      <c r="L163" s="772"/>
      <c r="M163" s="811"/>
      <c r="N163" s="772"/>
      <c r="O163" s="779"/>
      <c r="P163" s="551"/>
    </row>
    <row r="164" spans="1:16" ht="18" customHeight="1">
      <c r="A164" s="561">
        <v>155</v>
      </c>
      <c r="B164" s="455"/>
      <c r="C164" s="322"/>
      <c r="D164" s="436" t="s">
        <v>994</v>
      </c>
      <c r="E164" s="330"/>
      <c r="F164" s="330"/>
      <c r="G164" s="331"/>
      <c r="H164" s="762"/>
      <c r="I164" s="778"/>
      <c r="J164" s="772"/>
      <c r="K164" s="330">
        <v>582</v>
      </c>
      <c r="L164" s="330"/>
      <c r="M164" s="328">
        <v>306190</v>
      </c>
      <c r="N164" s="330"/>
      <c r="O164" s="555">
        <f>SUM(I164:N164)</f>
        <v>306772</v>
      </c>
      <c r="P164" s="1144"/>
    </row>
    <row r="165" spans="1:256" s="546" customFormat="1" ht="18" customHeight="1" thickBot="1">
      <c r="A165" s="561">
        <v>156</v>
      </c>
      <c r="B165" s="554"/>
      <c r="C165" s="322"/>
      <c r="D165" s="987" t="s">
        <v>1036</v>
      </c>
      <c r="E165" s="330"/>
      <c r="F165" s="330"/>
      <c r="G165" s="331"/>
      <c r="H165" s="762"/>
      <c r="I165" s="330"/>
      <c r="J165" s="330"/>
      <c r="K165" s="1151">
        <v>108</v>
      </c>
      <c r="L165" s="1151"/>
      <c r="M165" s="1151">
        <v>800</v>
      </c>
      <c r="N165" s="330"/>
      <c r="O165" s="1175">
        <f>SUM(I165:N165)</f>
        <v>908</v>
      </c>
      <c r="P165" s="1144"/>
      <c r="Q165" s="321"/>
      <c r="R165" s="321"/>
      <c r="S165" s="321"/>
      <c r="T165" s="321"/>
      <c r="U165" s="321"/>
      <c r="V165" s="321"/>
      <c r="W165" s="321"/>
      <c r="X165" s="321"/>
      <c r="Y165" s="321"/>
      <c r="Z165" s="321"/>
      <c r="AA165" s="321"/>
      <c r="AB165" s="321"/>
      <c r="AC165" s="321"/>
      <c r="AD165" s="321"/>
      <c r="AE165" s="321"/>
      <c r="AF165" s="321"/>
      <c r="AG165" s="321"/>
      <c r="AH165" s="321"/>
      <c r="AI165" s="321"/>
      <c r="AJ165" s="321"/>
      <c r="AK165" s="321"/>
      <c r="AL165" s="321"/>
      <c r="AM165" s="321"/>
      <c r="AN165" s="321"/>
      <c r="AO165" s="321"/>
      <c r="AP165" s="321"/>
      <c r="AQ165" s="321"/>
      <c r="AR165" s="321"/>
      <c r="AS165" s="321"/>
      <c r="AT165" s="321"/>
      <c r="AU165" s="321"/>
      <c r="AV165" s="321"/>
      <c r="AW165" s="321"/>
      <c r="AX165" s="321"/>
      <c r="AY165" s="321"/>
      <c r="AZ165" s="321"/>
      <c r="BA165" s="321"/>
      <c r="BB165" s="321"/>
      <c r="BC165" s="321"/>
      <c r="BD165" s="321"/>
      <c r="BE165" s="321"/>
      <c r="BF165" s="321"/>
      <c r="BG165" s="321"/>
      <c r="BH165" s="321"/>
      <c r="BI165" s="321"/>
      <c r="BJ165" s="321"/>
      <c r="BK165" s="321"/>
      <c r="BL165" s="321"/>
      <c r="BM165" s="321"/>
      <c r="BN165" s="321"/>
      <c r="BO165" s="321"/>
      <c r="BP165" s="321"/>
      <c r="BQ165" s="321"/>
      <c r="BR165" s="321"/>
      <c r="BS165" s="321"/>
      <c r="BT165" s="321"/>
      <c r="BU165" s="321"/>
      <c r="BV165" s="321"/>
      <c r="BW165" s="321"/>
      <c r="BX165" s="321"/>
      <c r="BY165" s="321"/>
      <c r="BZ165" s="321"/>
      <c r="CA165" s="321"/>
      <c r="CB165" s="321"/>
      <c r="CC165" s="321"/>
      <c r="CD165" s="321"/>
      <c r="CE165" s="321"/>
      <c r="CF165" s="321"/>
      <c r="CG165" s="321"/>
      <c r="CH165" s="321"/>
      <c r="CI165" s="321"/>
      <c r="CJ165" s="321"/>
      <c r="CK165" s="321"/>
      <c r="CL165" s="321"/>
      <c r="CM165" s="321"/>
      <c r="CN165" s="321"/>
      <c r="CO165" s="321"/>
      <c r="CP165" s="321"/>
      <c r="CQ165" s="321"/>
      <c r="CR165" s="321"/>
      <c r="CS165" s="321"/>
      <c r="CT165" s="321"/>
      <c r="CU165" s="321"/>
      <c r="CV165" s="321"/>
      <c r="CW165" s="321"/>
      <c r="CX165" s="321"/>
      <c r="CY165" s="321"/>
      <c r="CZ165" s="321"/>
      <c r="DA165" s="321"/>
      <c r="DB165" s="321"/>
      <c r="DC165" s="321"/>
      <c r="DD165" s="321"/>
      <c r="DE165" s="321"/>
      <c r="DF165" s="321"/>
      <c r="DG165" s="321"/>
      <c r="DH165" s="321"/>
      <c r="DI165" s="321"/>
      <c r="DJ165" s="321"/>
      <c r="DK165" s="321"/>
      <c r="DL165" s="321"/>
      <c r="DM165" s="321"/>
      <c r="DN165" s="321"/>
      <c r="DO165" s="321"/>
      <c r="DP165" s="321"/>
      <c r="DQ165" s="321"/>
      <c r="DR165" s="321"/>
      <c r="DS165" s="321"/>
      <c r="DT165" s="321"/>
      <c r="DU165" s="321"/>
      <c r="DV165" s="321"/>
      <c r="DW165" s="321"/>
      <c r="DX165" s="321"/>
      <c r="DY165" s="321"/>
      <c r="DZ165" s="321"/>
      <c r="EA165" s="321"/>
      <c r="EB165" s="321"/>
      <c r="EC165" s="321"/>
      <c r="ED165" s="321"/>
      <c r="EE165" s="321"/>
      <c r="EF165" s="321"/>
      <c r="EG165" s="321"/>
      <c r="EH165" s="321"/>
      <c r="EI165" s="321"/>
      <c r="EJ165" s="321"/>
      <c r="EK165" s="321"/>
      <c r="EL165" s="321"/>
      <c r="EM165" s="321"/>
      <c r="EN165" s="321"/>
      <c r="EO165" s="321"/>
      <c r="EP165" s="321"/>
      <c r="EQ165" s="321"/>
      <c r="ER165" s="321"/>
      <c r="ES165" s="321"/>
      <c r="ET165" s="321"/>
      <c r="EU165" s="321"/>
      <c r="EV165" s="321"/>
      <c r="EW165" s="321"/>
      <c r="EX165" s="321"/>
      <c r="EY165" s="321"/>
      <c r="EZ165" s="321"/>
      <c r="FA165" s="321"/>
      <c r="FB165" s="321"/>
      <c r="FC165" s="321"/>
      <c r="FD165" s="321"/>
      <c r="FE165" s="321"/>
      <c r="FF165" s="321"/>
      <c r="FG165" s="321"/>
      <c r="FH165" s="321"/>
      <c r="FI165" s="321"/>
      <c r="FJ165" s="321"/>
      <c r="FK165" s="321"/>
      <c r="FL165" s="321"/>
      <c r="FM165" s="321"/>
      <c r="FN165" s="321"/>
      <c r="FO165" s="321"/>
      <c r="FP165" s="321"/>
      <c r="FQ165" s="321"/>
      <c r="FR165" s="321"/>
      <c r="FS165" s="321"/>
      <c r="FT165" s="321"/>
      <c r="FU165" s="321"/>
      <c r="FV165" s="321"/>
      <c r="FW165" s="321"/>
      <c r="FX165" s="321"/>
      <c r="FY165" s="321"/>
      <c r="FZ165" s="321"/>
      <c r="GA165" s="321"/>
      <c r="GB165" s="321"/>
      <c r="GC165" s="321"/>
      <c r="GD165" s="321"/>
      <c r="GE165" s="321"/>
      <c r="GF165" s="321"/>
      <c r="GG165" s="321"/>
      <c r="GH165" s="321"/>
      <c r="GI165" s="321"/>
      <c r="GJ165" s="321"/>
      <c r="GK165" s="321"/>
      <c r="GL165" s="321"/>
      <c r="GM165" s="321"/>
      <c r="GN165" s="321"/>
      <c r="GO165" s="321"/>
      <c r="GP165" s="321"/>
      <c r="GQ165" s="321"/>
      <c r="GR165" s="321"/>
      <c r="GS165" s="321"/>
      <c r="GT165" s="321"/>
      <c r="GU165" s="321"/>
      <c r="GV165" s="321"/>
      <c r="GW165" s="321"/>
      <c r="GX165" s="321"/>
      <c r="GY165" s="321"/>
      <c r="GZ165" s="321"/>
      <c r="HA165" s="321"/>
      <c r="HB165" s="321"/>
      <c r="HC165" s="321"/>
      <c r="HD165" s="321"/>
      <c r="HE165" s="321"/>
      <c r="HF165" s="321"/>
      <c r="HG165" s="321"/>
      <c r="HH165" s="321"/>
      <c r="HI165" s="321"/>
      <c r="HJ165" s="321"/>
      <c r="HK165" s="321"/>
      <c r="HL165" s="321"/>
      <c r="HM165" s="321"/>
      <c r="HN165" s="321"/>
      <c r="HO165" s="321"/>
      <c r="HP165" s="321"/>
      <c r="HQ165" s="321"/>
      <c r="HR165" s="321"/>
      <c r="HS165" s="321"/>
      <c r="HT165" s="321"/>
      <c r="HU165" s="321"/>
      <c r="HV165" s="321"/>
      <c r="HW165" s="321"/>
      <c r="HX165" s="321"/>
      <c r="HY165" s="321"/>
      <c r="HZ165" s="321"/>
      <c r="IA165" s="321"/>
      <c r="IB165" s="321"/>
      <c r="IC165" s="321"/>
      <c r="ID165" s="321"/>
      <c r="IE165" s="321"/>
      <c r="IF165" s="321"/>
      <c r="IG165" s="321"/>
      <c r="IH165" s="321"/>
      <c r="II165" s="321"/>
      <c r="IJ165" s="321"/>
      <c r="IK165" s="321"/>
      <c r="IL165" s="321"/>
      <c r="IM165" s="321"/>
      <c r="IN165" s="321"/>
      <c r="IO165" s="321"/>
      <c r="IP165" s="321"/>
      <c r="IQ165" s="321"/>
      <c r="IR165" s="321"/>
      <c r="IS165" s="321"/>
      <c r="IT165" s="321"/>
      <c r="IU165" s="321"/>
      <c r="IV165" s="321"/>
    </row>
    <row r="166" spans="1:16" s="325" customFormat="1" ht="19.5" customHeight="1">
      <c r="A166" s="561">
        <v>157</v>
      </c>
      <c r="B166" s="2218" t="s">
        <v>13</v>
      </c>
      <c r="C166" s="2219"/>
      <c r="D166" s="2219"/>
      <c r="E166" s="2219"/>
      <c r="F166" s="2219"/>
      <c r="G166" s="2220"/>
      <c r="H166" s="1146"/>
      <c r="I166" s="1374"/>
      <c r="J166" s="1374"/>
      <c r="K166" s="1374"/>
      <c r="L166" s="1374"/>
      <c r="M166" s="1374"/>
      <c r="N166" s="1374"/>
      <c r="O166" s="1374"/>
      <c r="P166" s="1147">
        <f>SUM(P10:P163)</f>
        <v>28736</v>
      </c>
    </row>
    <row r="167" spans="1:16" s="325" customFormat="1" ht="21.75" customHeight="1">
      <c r="A167" s="561">
        <v>158</v>
      </c>
      <c r="B167" s="1297"/>
      <c r="C167" s="1298"/>
      <c r="D167" s="2213" t="s">
        <v>303</v>
      </c>
      <c r="E167" s="2214"/>
      <c r="F167" s="2214"/>
      <c r="G167" s="2215"/>
      <c r="H167" s="1305"/>
      <c r="I167" s="1372">
        <f aca="true" t="shared" si="0" ref="I167:N167">I156+I152+I148+I144+I140+I136+I132+I128+I124+I120+I116+I112+I108+I104+I100+I96+I92+I88+I84+I80+I76+I72+I68+I64+I60+I56+I52+I48+I44+I40+I36+I32+I28+I24+I20+I16+I12+I160</f>
        <v>327</v>
      </c>
      <c r="J167" s="1372">
        <f t="shared" si="0"/>
        <v>169</v>
      </c>
      <c r="K167" s="1372">
        <f t="shared" si="0"/>
        <v>287241</v>
      </c>
      <c r="L167" s="1372">
        <f t="shared" si="0"/>
        <v>4529</v>
      </c>
      <c r="M167" s="1372">
        <f t="shared" si="0"/>
        <v>10258653</v>
      </c>
      <c r="N167" s="1372">
        <f t="shared" si="0"/>
        <v>5000</v>
      </c>
      <c r="O167" s="1373">
        <f>O156+O152+O148+O144+O140+O136+O132+O128+O124+O120+O116+O112+O108+O104+O100+O96+O92+O88+O84+O80+O76+O72+O68+O64+O60+O56+O52+O48+O44+O40+O36+O32+O28+O24+O20+O16+O12</f>
        <v>10553419</v>
      </c>
      <c r="P167" s="1306"/>
    </row>
    <row r="168" spans="1:16" s="325" customFormat="1" ht="21.75" customHeight="1">
      <c r="A168" s="561">
        <v>159</v>
      </c>
      <c r="B168" s="1297"/>
      <c r="C168" s="1298"/>
      <c r="D168" s="1307" t="s">
        <v>994</v>
      </c>
      <c r="E168" s="1480"/>
      <c r="F168" s="1480"/>
      <c r="G168" s="1481"/>
      <c r="H168" s="1305"/>
      <c r="I168" s="1308">
        <f aca="true" t="shared" si="1" ref="I168:N168">I157+I153+I149+I145+I141+I137+I133+I129+I125+I121+I117+I113+I109+I105+I101+I97+I93+I89+I85+I81+I77+I73+I69+I65+I61+I57+I53+I49+I45+I41+I37+I33+I29+I25+I21+I17+I13+I161+I164</f>
        <v>5997</v>
      </c>
      <c r="J168" s="1308">
        <f t="shared" si="1"/>
        <v>1261</v>
      </c>
      <c r="K168" s="1308">
        <f t="shared" si="1"/>
        <v>114120</v>
      </c>
      <c r="L168" s="1308">
        <f t="shared" si="1"/>
        <v>145952</v>
      </c>
      <c r="M168" s="1308">
        <f t="shared" si="1"/>
        <v>8094094</v>
      </c>
      <c r="N168" s="1308">
        <f t="shared" si="1"/>
        <v>2430730</v>
      </c>
      <c r="O168" s="555">
        <f>SUM(I168:N168)</f>
        <v>10792154</v>
      </c>
      <c r="P168" s="1306"/>
    </row>
    <row r="169" spans="1:16" s="325" customFormat="1" ht="21.75" customHeight="1" thickBot="1">
      <c r="A169" s="561">
        <v>160</v>
      </c>
      <c r="B169" s="1125"/>
      <c r="C169" s="1126"/>
      <c r="D169" s="2161" t="s">
        <v>1036</v>
      </c>
      <c r="E169" s="2216"/>
      <c r="F169" s="2216"/>
      <c r="G169" s="2217"/>
      <c r="H169" s="1124"/>
      <c r="I169" s="1535">
        <f aca="true" t="shared" si="2" ref="I169:N169">I165+I158+I154+I150+I146+I142+I138+I134+I130+I126+I122+I118+I114+I110+I106+I102+I98+I94+I90+I86+I82+I78+I74+I70+I66+I62+I58+I54+I50+I46+I42+I38+I34+I30+I26+I22+I18+I14+I162</f>
        <v>3216</v>
      </c>
      <c r="J169" s="1535">
        <f t="shared" si="2"/>
        <v>800</v>
      </c>
      <c r="K169" s="1535">
        <f t="shared" si="2"/>
        <v>19066</v>
      </c>
      <c r="L169" s="1535">
        <f t="shared" si="2"/>
        <v>127500</v>
      </c>
      <c r="M169" s="1535">
        <f t="shared" si="2"/>
        <v>2342583</v>
      </c>
      <c r="N169" s="1535">
        <f t="shared" si="2"/>
        <v>2430730</v>
      </c>
      <c r="O169" s="1552">
        <f>SUM(I169:N169)</f>
        <v>4923895</v>
      </c>
      <c r="P169" s="1127"/>
    </row>
    <row r="170" spans="2:15" ht="18" customHeight="1">
      <c r="B170" s="552" t="s">
        <v>27</v>
      </c>
      <c r="C170" s="553"/>
      <c r="D170" s="552"/>
      <c r="E170" s="332"/>
      <c r="F170" s="333"/>
      <c r="G170" s="332"/>
      <c r="H170" s="539"/>
      <c r="I170" s="332"/>
      <c r="J170" s="332"/>
      <c r="K170" s="332"/>
      <c r="L170" s="332"/>
      <c r="M170" s="332"/>
      <c r="N170" s="332"/>
      <c r="O170" s="563"/>
    </row>
    <row r="171" spans="2:15" ht="18" customHeight="1">
      <c r="B171" s="552" t="s">
        <v>28</v>
      </c>
      <c r="C171" s="553"/>
      <c r="D171" s="552"/>
      <c r="E171" s="466"/>
      <c r="F171" s="333"/>
      <c r="G171" s="332"/>
      <c r="H171" s="539"/>
      <c r="I171" s="332"/>
      <c r="J171" s="332"/>
      <c r="K171" s="332"/>
      <c r="L171" s="332"/>
      <c r="M171" s="332"/>
      <c r="N171" s="332"/>
      <c r="O171" s="563"/>
    </row>
    <row r="172" spans="2:15" ht="18" customHeight="1">
      <c r="B172" s="552" t="s">
        <v>29</v>
      </c>
      <c r="C172" s="553"/>
      <c r="D172" s="552"/>
      <c r="E172" s="466"/>
      <c r="F172" s="333"/>
      <c r="G172" s="332"/>
      <c r="H172" s="539"/>
      <c r="I172" s="332"/>
      <c r="J172" s="332"/>
      <c r="K172" s="332"/>
      <c r="L172" s="332"/>
      <c r="M172" s="332"/>
      <c r="N172" s="332"/>
      <c r="O172" s="563"/>
    </row>
    <row r="173" spans="2:3" ht="17.25">
      <c r="B173" s="329" t="s">
        <v>579</v>
      </c>
      <c r="C173" s="329"/>
    </row>
  </sheetData>
  <sheetProtection/>
  <mergeCells count="19">
    <mergeCell ref="B1:Q1"/>
    <mergeCell ref="Q7:R7"/>
    <mergeCell ref="B7:B9"/>
    <mergeCell ref="E7:E9"/>
    <mergeCell ref="A3:P3"/>
    <mergeCell ref="A4:P4"/>
    <mergeCell ref="D7:D9"/>
    <mergeCell ref="F7:F9"/>
    <mergeCell ref="G7:G9"/>
    <mergeCell ref="I7:O7"/>
    <mergeCell ref="P7:P9"/>
    <mergeCell ref="I8:L8"/>
    <mergeCell ref="M8:N8"/>
    <mergeCell ref="O8:O9"/>
    <mergeCell ref="H7:H9"/>
    <mergeCell ref="D167:G167"/>
    <mergeCell ref="D169:G169"/>
    <mergeCell ref="B166:G166"/>
    <mergeCell ref="C7:C9"/>
  </mergeCells>
  <printOptions horizontalCentered="1"/>
  <pageMargins left="0.1968503937007874" right="0.1968503937007874" top="0.5905511811023623" bottom="0.5905511811023623" header="0.31496062992125984" footer="0.31496062992125984"/>
  <pageSetup fitToHeight="0" horizontalDpi="600" verticalDpi="600" orientation="landscape" paperSize="9" scale="58" r:id="rId3"/>
  <headerFooter>
    <oddFooter>&amp;C- &amp;P -</oddFooter>
  </headerFooter>
  <legacyDrawing r:id="rId2"/>
</worksheet>
</file>

<file path=xl/worksheets/sheet12.xml><?xml version="1.0" encoding="utf-8"?>
<worksheet xmlns="http://schemas.openxmlformats.org/spreadsheetml/2006/main" xmlns:r="http://schemas.openxmlformats.org/officeDocument/2006/relationships">
  <dimension ref="A1:IV103"/>
  <sheetViews>
    <sheetView view="pageBreakPreview" zoomScale="88" zoomScaleSheetLayoutView="88" zoomScalePageLayoutView="0" workbookViewId="0" topLeftCell="A1">
      <selection activeCell="B1" sqref="B1:Q1"/>
    </sheetView>
  </sheetViews>
  <sheetFormatPr defaultColWidth="9.125" defaultRowHeight="12.75"/>
  <cols>
    <col min="1" max="1" width="3.75390625" style="538" customWidth="1"/>
    <col min="2" max="3" width="5.75390625" style="651" customWidth="1"/>
    <col min="4" max="4" width="62.75390625" style="321" customWidth="1"/>
    <col min="5" max="5" width="12.75390625" style="650" customWidth="1"/>
    <col min="6" max="7" width="10.75390625" style="650" customWidth="1"/>
    <col min="8" max="8" width="6.75390625" style="541" customWidth="1"/>
    <col min="9" max="14" width="14.875" style="650" customWidth="1"/>
    <col min="15" max="15" width="15.75390625" style="562" customWidth="1"/>
    <col min="16" max="16" width="13.875" style="650" customWidth="1"/>
    <col min="17" max="16384" width="9.125" style="321" customWidth="1"/>
  </cols>
  <sheetData>
    <row r="1" spans="2:17" ht="16.5" customHeight="1">
      <c r="B1" s="2140" t="s">
        <v>1468</v>
      </c>
      <c r="C1" s="2140"/>
      <c r="D1" s="2140"/>
      <c r="E1" s="2140"/>
      <c r="F1" s="2140"/>
      <c r="G1" s="2140"/>
      <c r="H1" s="2140"/>
      <c r="I1" s="2140"/>
      <c r="J1" s="2140"/>
      <c r="K1" s="2140"/>
      <c r="L1" s="2140"/>
      <c r="M1" s="2140"/>
      <c r="N1" s="2140"/>
      <c r="O1" s="2140"/>
      <c r="P1" s="2140"/>
      <c r="Q1" s="2140"/>
    </row>
    <row r="2" spans="1:16" ht="24.75" customHeight="1">
      <c r="A2" s="2173" t="s">
        <v>14</v>
      </c>
      <c r="B2" s="2173"/>
      <c r="C2" s="2173"/>
      <c r="D2" s="2173"/>
      <c r="E2" s="2173"/>
      <c r="F2" s="2173"/>
      <c r="G2" s="2173"/>
      <c r="H2" s="2173"/>
      <c r="I2" s="2173"/>
      <c r="J2" s="2173"/>
      <c r="K2" s="2173"/>
      <c r="L2" s="2173"/>
      <c r="M2" s="2173"/>
      <c r="N2" s="2173"/>
      <c r="O2" s="2173"/>
      <c r="P2" s="2173"/>
    </row>
    <row r="3" spans="1:16" ht="24.75" customHeight="1">
      <c r="A3" s="2231" t="s">
        <v>1053</v>
      </c>
      <c r="B3" s="2231"/>
      <c r="C3" s="2231"/>
      <c r="D3" s="2231"/>
      <c r="E3" s="2231"/>
      <c r="F3" s="2231"/>
      <c r="G3" s="2231"/>
      <c r="H3" s="2231"/>
      <c r="I3" s="2231"/>
      <c r="J3" s="2231"/>
      <c r="K3" s="2231"/>
      <c r="L3" s="2231"/>
      <c r="M3" s="2231"/>
      <c r="N3" s="2231"/>
      <c r="O3" s="2231"/>
      <c r="P3" s="2231"/>
    </row>
    <row r="4" spans="1:16" s="731" customFormat="1" ht="18" customHeight="1">
      <c r="A4" s="538"/>
      <c r="B4" s="538"/>
      <c r="C4" s="538"/>
      <c r="E4" s="497"/>
      <c r="F4" s="497"/>
      <c r="G4" s="497"/>
      <c r="H4" s="732"/>
      <c r="I4" s="497"/>
      <c r="J4" s="497"/>
      <c r="K4" s="497"/>
      <c r="L4" s="497"/>
      <c r="M4" s="497"/>
      <c r="N4" s="497"/>
      <c r="O4" s="733"/>
      <c r="P4" s="503" t="s">
        <v>0</v>
      </c>
    </row>
    <row r="5" spans="1:250" s="737" customFormat="1" ht="18" customHeight="1" thickBot="1">
      <c r="A5" s="734"/>
      <c r="B5" s="735" t="s">
        <v>1</v>
      </c>
      <c r="C5" s="736" t="s">
        <v>3</v>
      </c>
      <c r="D5" s="736" t="s">
        <v>2</v>
      </c>
      <c r="E5" s="736" t="s">
        <v>4</v>
      </c>
      <c r="F5" s="736" t="s">
        <v>5</v>
      </c>
      <c r="G5" s="736" t="s">
        <v>15</v>
      </c>
      <c r="H5" s="736" t="s">
        <v>16</v>
      </c>
      <c r="I5" s="736" t="s">
        <v>17</v>
      </c>
      <c r="J5" s="736" t="s">
        <v>36</v>
      </c>
      <c r="K5" s="736" t="s">
        <v>30</v>
      </c>
      <c r="L5" s="736" t="s">
        <v>23</v>
      </c>
      <c r="M5" s="736" t="s">
        <v>37</v>
      </c>
      <c r="N5" s="736" t="s">
        <v>38</v>
      </c>
      <c r="O5" s="736" t="s">
        <v>158</v>
      </c>
      <c r="P5" s="736" t="s">
        <v>159</v>
      </c>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734"/>
      <c r="AT5" s="734"/>
      <c r="AU5" s="734"/>
      <c r="AV5" s="734"/>
      <c r="AW5" s="734"/>
      <c r="AX5" s="734"/>
      <c r="AY5" s="734"/>
      <c r="AZ5" s="734"/>
      <c r="BA5" s="734"/>
      <c r="BB5" s="734"/>
      <c r="BC5" s="734"/>
      <c r="BD5" s="734"/>
      <c r="BE5" s="734"/>
      <c r="BF5" s="734"/>
      <c r="BG5" s="734"/>
      <c r="BH5" s="734"/>
      <c r="BI5" s="734"/>
      <c r="BJ5" s="734"/>
      <c r="BK5" s="734"/>
      <c r="BL5" s="734"/>
      <c r="BM5" s="734"/>
      <c r="BN5" s="734"/>
      <c r="BO5" s="734"/>
      <c r="BP5" s="734"/>
      <c r="BQ5" s="734"/>
      <c r="BR5" s="734"/>
      <c r="BS5" s="734"/>
      <c r="BT5" s="734"/>
      <c r="BU5" s="734"/>
      <c r="BV5" s="734"/>
      <c r="BW5" s="734"/>
      <c r="BX5" s="734"/>
      <c r="BY5" s="734"/>
      <c r="BZ5" s="734"/>
      <c r="CA5" s="734"/>
      <c r="CB5" s="734"/>
      <c r="CC5" s="734"/>
      <c r="CD5" s="734"/>
      <c r="CE5" s="734"/>
      <c r="CF5" s="734"/>
      <c r="CG5" s="734"/>
      <c r="CH5" s="734"/>
      <c r="CI5" s="734"/>
      <c r="CJ5" s="734"/>
      <c r="CK5" s="734"/>
      <c r="CL5" s="734"/>
      <c r="CM5" s="734"/>
      <c r="CN5" s="734"/>
      <c r="CO5" s="734"/>
      <c r="CP5" s="734"/>
      <c r="CQ5" s="734"/>
      <c r="CR5" s="734"/>
      <c r="CS5" s="734"/>
      <c r="CT5" s="734"/>
      <c r="CU5" s="734"/>
      <c r="CV5" s="734"/>
      <c r="CW5" s="734"/>
      <c r="CX5" s="734"/>
      <c r="CY5" s="734"/>
      <c r="CZ5" s="734"/>
      <c r="DA5" s="734"/>
      <c r="DB5" s="734"/>
      <c r="DC5" s="734"/>
      <c r="DD5" s="734"/>
      <c r="DE5" s="734"/>
      <c r="DF5" s="734"/>
      <c r="DG5" s="734"/>
      <c r="DH5" s="734"/>
      <c r="DI5" s="734"/>
      <c r="DJ5" s="734"/>
      <c r="DK5" s="734"/>
      <c r="DL5" s="734"/>
      <c r="DM5" s="734"/>
      <c r="DN5" s="734"/>
      <c r="DO5" s="734"/>
      <c r="DP5" s="734"/>
      <c r="DQ5" s="734"/>
      <c r="DR5" s="734"/>
      <c r="DS5" s="734"/>
      <c r="DT5" s="734"/>
      <c r="DU5" s="734"/>
      <c r="DV5" s="734"/>
      <c r="DW5" s="734"/>
      <c r="DX5" s="734"/>
      <c r="DY5" s="734"/>
      <c r="DZ5" s="734"/>
      <c r="EA5" s="734"/>
      <c r="EB5" s="734"/>
      <c r="EC5" s="734"/>
      <c r="ED5" s="734"/>
      <c r="EE5" s="734"/>
      <c r="EF5" s="734"/>
      <c r="EG5" s="734"/>
      <c r="EH5" s="734"/>
      <c r="EI5" s="734"/>
      <c r="EJ5" s="734"/>
      <c r="EK5" s="734"/>
      <c r="EL5" s="734"/>
      <c r="EM5" s="734"/>
      <c r="EN5" s="734"/>
      <c r="EO5" s="734"/>
      <c r="EP5" s="734"/>
      <c r="EQ5" s="734"/>
      <c r="ER5" s="734"/>
      <c r="ES5" s="734"/>
      <c r="ET5" s="734"/>
      <c r="EU5" s="734"/>
      <c r="EV5" s="734"/>
      <c r="EW5" s="734"/>
      <c r="EX5" s="734"/>
      <c r="EY5" s="734"/>
      <c r="EZ5" s="734"/>
      <c r="FA5" s="734"/>
      <c r="FB5" s="734"/>
      <c r="FC5" s="734"/>
      <c r="FD5" s="734"/>
      <c r="FE5" s="734"/>
      <c r="FF5" s="734"/>
      <c r="FG5" s="734"/>
      <c r="FH5" s="734"/>
      <c r="FI5" s="734"/>
      <c r="FJ5" s="734"/>
      <c r="FK5" s="734"/>
      <c r="FL5" s="734"/>
      <c r="FM5" s="734"/>
      <c r="FN5" s="734"/>
      <c r="FO5" s="734"/>
      <c r="FP5" s="734"/>
      <c r="FQ5" s="734"/>
      <c r="FR5" s="734"/>
      <c r="FS5" s="734"/>
      <c r="FT5" s="734"/>
      <c r="FU5" s="734"/>
      <c r="FV5" s="734"/>
      <c r="FW5" s="734"/>
      <c r="FX5" s="734"/>
      <c r="FY5" s="734"/>
      <c r="FZ5" s="734"/>
      <c r="GA5" s="734"/>
      <c r="GB5" s="734"/>
      <c r="GC5" s="734"/>
      <c r="GD5" s="734"/>
      <c r="GE5" s="734"/>
      <c r="GF5" s="734"/>
      <c r="GG5" s="734"/>
      <c r="GH5" s="734"/>
      <c r="GI5" s="734"/>
      <c r="GJ5" s="734"/>
      <c r="GK5" s="734"/>
      <c r="GL5" s="734"/>
      <c r="GM5" s="734"/>
      <c r="GN5" s="734"/>
      <c r="GO5" s="734"/>
      <c r="GP5" s="734"/>
      <c r="GQ5" s="734"/>
      <c r="GR5" s="734"/>
      <c r="GS5" s="734"/>
      <c r="GT5" s="734"/>
      <c r="GU5" s="734"/>
      <c r="GV5" s="734"/>
      <c r="GW5" s="734"/>
      <c r="GX5" s="734"/>
      <c r="GY5" s="734"/>
      <c r="GZ5" s="734"/>
      <c r="HA5" s="734"/>
      <c r="HB5" s="734"/>
      <c r="HC5" s="734"/>
      <c r="HD5" s="734"/>
      <c r="HE5" s="734"/>
      <c r="HF5" s="734"/>
      <c r="HG5" s="734"/>
      <c r="HH5" s="734"/>
      <c r="HI5" s="734"/>
      <c r="HJ5" s="734"/>
      <c r="HK5" s="734"/>
      <c r="HL5" s="734"/>
      <c r="HM5" s="734"/>
      <c r="HN5" s="734"/>
      <c r="HO5" s="734"/>
      <c r="HP5" s="734"/>
      <c r="HQ5" s="734"/>
      <c r="HR5" s="734"/>
      <c r="HS5" s="734"/>
      <c r="HT5" s="734"/>
      <c r="HU5" s="734"/>
      <c r="HV5" s="734"/>
      <c r="HW5" s="734"/>
      <c r="HX5" s="734"/>
      <c r="HY5" s="734"/>
      <c r="HZ5" s="734"/>
      <c r="IA5" s="734"/>
      <c r="IB5" s="734"/>
      <c r="IC5" s="734"/>
      <c r="ID5" s="734"/>
      <c r="IE5" s="734"/>
      <c r="IF5" s="734"/>
      <c r="IG5" s="734"/>
      <c r="IH5" s="734"/>
      <c r="II5" s="734"/>
      <c r="IJ5" s="734"/>
      <c r="IK5" s="734"/>
      <c r="IL5" s="734"/>
      <c r="IM5" s="734"/>
      <c r="IN5" s="734"/>
      <c r="IO5" s="734"/>
      <c r="IP5" s="734"/>
    </row>
    <row r="6" spans="2:18" ht="22.5" customHeight="1">
      <c r="B6" s="2225" t="s">
        <v>18</v>
      </c>
      <c r="C6" s="2221" t="s">
        <v>19</v>
      </c>
      <c r="D6" s="2232" t="s">
        <v>6</v>
      </c>
      <c r="E6" s="2228" t="s">
        <v>578</v>
      </c>
      <c r="F6" s="2228" t="s">
        <v>794</v>
      </c>
      <c r="G6" s="2235" t="s">
        <v>820</v>
      </c>
      <c r="H6" s="2190" t="s">
        <v>20</v>
      </c>
      <c r="I6" s="2238" t="s">
        <v>569</v>
      </c>
      <c r="J6" s="2228"/>
      <c r="K6" s="2228"/>
      <c r="L6" s="2228"/>
      <c r="M6" s="2228"/>
      <c r="N6" s="2228"/>
      <c r="O6" s="2239"/>
      <c r="P6" s="2240" t="s">
        <v>574</v>
      </c>
      <c r="Q6" s="2224"/>
      <c r="R6" s="2224"/>
    </row>
    <row r="7" spans="2:16" ht="33" customHeight="1">
      <c r="B7" s="2226"/>
      <c r="C7" s="2222"/>
      <c r="D7" s="2233"/>
      <c r="E7" s="2229"/>
      <c r="F7" s="2229"/>
      <c r="G7" s="2236"/>
      <c r="H7" s="2191"/>
      <c r="I7" s="2243" t="s">
        <v>580</v>
      </c>
      <c r="J7" s="2244"/>
      <c r="K7" s="2245"/>
      <c r="L7" s="2245"/>
      <c r="M7" s="2210" t="s">
        <v>161</v>
      </c>
      <c r="N7" s="2210"/>
      <c r="O7" s="2211" t="s">
        <v>127</v>
      </c>
      <c r="P7" s="2241"/>
    </row>
    <row r="8" spans="2:16" ht="53.25" customHeight="1" thickBot="1">
      <c r="B8" s="2227"/>
      <c r="C8" s="2223"/>
      <c r="D8" s="2234"/>
      <c r="E8" s="2230"/>
      <c r="F8" s="2230"/>
      <c r="G8" s="2237"/>
      <c r="H8" s="2192"/>
      <c r="I8" s="756" t="s">
        <v>40</v>
      </c>
      <c r="J8" s="542" t="s">
        <v>575</v>
      </c>
      <c r="K8" s="543" t="s">
        <v>42</v>
      </c>
      <c r="L8" s="543" t="s">
        <v>577</v>
      </c>
      <c r="M8" s="542" t="s">
        <v>227</v>
      </c>
      <c r="N8" s="542" t="s">
        <v>162</v>
      </c>
      <c r="O8" s="2212"/>
      <c r="P8" s="2242"/>
    </row>
    <row r="9" spans="1:256" s="546" customFormat="1" ht="22.5" customHeight="1">
      <c r="A9" s="561">
        <v>1</v>
      </c>
      <c r="B9" s="544">
        <v>18</v>
      </c>
      <c r="C9" s="556" t="s">
        <v>14</v>
      </c>
      <c r="D9" s="744"/>
      <c r="E9" s="328"/>
      <c r="F9" s="326"/>
      <c r="G9" s="327"/>
      <c r="H9" s="761"/>
      <c r="I9" s="757"/>
      <c r="J9" s="564"/>
      <c r="K9" s="564"/>
      <c r="L9" s="564"/>
      <c r="M9" s="564"/>
      <c r="N9" s="564"/>
      <c r="O9" s="545"/>
      <c r="P9" s="548"/>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21"/>
      <c r="BE9" s="321"/>
      <c r="BF9" s="321"/>
      <c r="BG9" s="321"/>
      <c r="BH9" s="321"/>
      <c r="BI9" s="321"/>
      <c r="BJ9" s="321"/>
      <c r="BK9" s="321"/>
      <c r="BL9" s="321"/>
      <c r="BM9" s="321"/>
      <c r="BN9" s="321"/>
      <c r="BO9" s="321"/>
      <c r="BP9" s="321"/>
      <c r="BQ9" s="321"/>
      <c r="BR9" s="321"/>
      <c r="BS9" s="321"/>
      <c r="BT9" s="321"/>
      <c r="BU9" s="321"/>
      <c r="BV9" s="321"/>
      <c r="BW9" s="321"/>
      <c r="BX9" s="321"/>
      <c r="BY9" s="321"/>
      <c r="BZ9" s="321"/>
      <c r="CA9" s="321"/>
      <c r="CB9" s="321"/>
      <c r="CC9" s="321"/>
      <c r="CD9" s="321"/>
      <c r="CE9" s="321"/>
      <c r="CF9" s="321"/>
      <c r="CG9" s="321"/>
      <c r="CH9" s="321"/>
      <c r="CI9" s="321"/>
      <c r="CJ9" s="321"/>
      <c r="CK9" s="321"/>
      <c r="CL9" s="321"/>
      <c r="CM9" s="321"/>
      <c r="CN9" s="321"/>
      <c r="CO9" s="321"/>
      <c r="CP9" s="321"/>
      <c r="CQ9" s="321"/>
      <c r="CR9" s="321"/>
      <c r="CS9" s="321"/>
      <c r="CT9" s="321"/>
      <c r="CU9" s="321"/>
      <c r="CV9" s="321"/>
      <c r="CW9" s="321"/>
      <c r="CX9" s="321"/>
      <c r="CY9" s="321"/>
      <c r="CZ9" s="321"/>
      <c r="DA9" s="321"/>
      <c r="DB9" s="321"/>
      <c r="DC9" s="321"/>
      <c r="DD9" s="321"/>
      <c r="DE9" s="321"/>
      <c r="DF9" s="321"/>
      <c r="DG9" s="321"/>
      <c r="DH9" s="321"/>
      <c r="DI9" s="321"/>
      <c r="DJ9" s="321"/>
      <c r="DK9" s="321"/>
      <c r="DL9" s="321"/>
      <c r="DM9" s="321"/>
      <c r="DN9" s="321"/>
      <c r="DO9" s="321"/>
      <c r="DP9" s="321"/>
      <c r="DQ9" s="321"/>
      <c r="DR9" s="321"/>
      <c r="DS9" s="321"/>
      <c r="DT9" s="321"/>
      <c r="DU9" s="321"/>
      <c r="DV9" s="321"/>
      <c r="DW9" s="321"/>
      <c r="DX9" s="321"/>
      <c r="DY9" s="321"/>
      <c r="DZ9" s="321"/>
      <c r="EA9" s="321"/>
      <c r="EB9" s="321"/>
      <c r="EC9" s="321"/>
      <c r="ED9" s="321"/>
      <c r="EE9" s="321"/>
      <c r="EF9" s="321"/>
      <c r="EG9" s="321"/>
      <c r="EH9" s="321"/>
      <c r="EI9" s="321"/>
      <c r="EJ9" s="321"/>
      <c r="EK9" s="321"/>
      <c r="EL9" s="321"/>
      <c r="EM9" s="321"/>
      <c r="EN9" s="321"/>
      <c r="EO9" s="321"/>
      <c r="EP9" s="321"/>
      <c r="EQ9" s="321"/>
      <c r="ER9" s="321"/>
      <c r="ES9" s="321"/>
      <c r="ET9" s="321"/>
      <c r="EU9" s="321"/>
      <c r="EV9" s="321"/>
      <c r="EW9" s="321"/>
      <c r="EX9" s="321"/>
      <c r="EY9" s="321"/>
      <c r="EZ9" s="321"/>
      <c r="FA9" s="321"/>
      <c r="FB9" s="321"/>
      <c r="FC9" s="321"/>
      <c r="FD9" s="321"/>
      <c r="FE9" s="321"/>
      <c r="FF9" s="321"/>
      <c r="FG9" s="321"/>
      <c r="FH9" s="321"/>
      <c r="FI9" s="321"/>
      <c r="FJ9" s="321"/>
      <c r="FK9" s="321"/>
      <c r="FL9" s="321"/>
      <c r="FM9" s="321"/>
      <c r="FN9" s="321"/>
      <c r="FO9" s="321"/>
      <c r="FP9" s="321"/>
      <c r="FQ9" s="321"/>
      <c r="FR9" s="321"/>
      <c r="FS9" s="321"/>
      <c r="FT9" s="321"/>
      <c r="FU9" s="321"/>
      <c r="FV9" s="321"/>
      <c r="FW9" s="321"/>
      <c r="FX9" s="321"/>
      <c r="FY9" s="321"/>
      <c r="FZ9" s="321"/>
      <c r="GA9" s="321"/>
      <c r="GB9" s="321"/>
      <c r="GC9" s="321"/>
      <c r="GD9" s="321"/>
      <c r="GE9" s="321"/>
      <c r="GF9" s="321"/>
      <c r="GG9" s="321"/>
      <c r="GH9" s="321"/>
      <c r="GI9" s="321"/>
      <c r="GJ9" s="321"/>
      <c r="GK9" s="321"/>
      <c r="GL9" s="321"/>
      <c r="GM9" s="321"/>
      <c r="GN9" s="321"/>
      <c r="GO9" s="321"/>
      <c r="GP9" s="321"/>
      <c r="GQ9" s="321"/>
      <c r="GR9" s="321"/>
      <c r="GS9" s="321"/>
      <c r="GT9" s="321"/>
      <c r="GU9" s="321"/>
      <c r="GV9" s="321"/>
      <c r="GW9" s="321"/>
      <c r="GX9" s="321"/>
      <c r="GY9" s="321"/>
      <c r="GZ9" s="321"/>
      <c r="HA9" s="321"/>
      <c r="HB9" s="321"/>
      <c r="HC9" s="321"/>
      <c r="HD9" s="321"/>
      <c r="HE9" s="321"/>
      <c r="HF9" s="321"/>
      <c r="HG9" s="321"/>
      <c r="HH9" s="321"/>
      <c r="HI9" s="321"/>
      <c r="HJ9" s="321"/>
      <c r="HK9" s="321"/>
      <c r="HL9" s="321"/>
      <c r="HM9" s="321"/>
      <c r="HN9" s="321"/>
      <c r="HO9" s="321"/>
      <c r="HP9" s="321"/>
      <c r="HQ9" s="321"/>
      <c r="HR9" s="321"/>
      <c r="HS9" s="321"/>
      <c r="HT9" s="321"/>
      <c r="HU9" s="321"/>
      <c r="HV9" s="321"/>
      <c r="HW9" s="321"/>
      <c r="HX9" s="321"/>
      <c r="HY9" s="321"/>
      <c r="HZ9" s="321"/>
      <c r="IA9" s="321"/>
      <c r="IB9" s="321"/>
      <c r="IC9" s="321"/>
      <c r="ID9" s="321"/>
      <c r="IE9" s="321"/>
      <c r="IF9" s="321"/>
      <c r="IG9" s="321"/>
      <c r="IH9" s="321"/>
      <c r="II9" s="321"/>
      <c r="IJ9" s="321"/>
      <c r="IK9" s="321"/>
      <c r="IL9" s="321"/>
      <c r="IM9" s="321"/>
      <c r="IN9" s="321"/>
      <c r="IO9" s="321"/>
      <c r="IP9" s="321"/>
      <c r="IQ9" s="321"/>
      <c r="IR9" s="321"/>
      <c r="IS9" s="321"/>
      <c r="IT9" s="321"/>
      <c r="IU9" s="321"/>
      <c r="IV9" s="321"/>
    </row>
    <row r="10" spans="1:256" s="546" customFormat="1" ht="22.5" customHeight="1">
      <c r="A10" s="561">
        <v>2</v>
      </c>
      <c r="B10" s="554"/>
      <c r="C10" s="361">
        <v>1</v>
      </c>
      <c r="D10" s="549" t="s">
        <v>622</v>
      </c>
      <c r="E10" s="330"/>
      <c r="F10" s="550"/>
      <c r="G10" s="331"/>
      <c r="H10" s="762" t="s">
        <v>24</v>
      </c>
      <c r="I10" s="777"/>
      <c r="J10" s="773"/>
      <c r="K10" s="773"/>
      <c r="L10" s="773"/>
      <c r="M10" s="773"/>
      <c r="N10" s="773"/>
      <c r="O10" s="555"/>
      <c r="P10" s="55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1"/>
      <c r="AY10" s="321"/>
      <c r="AZ10" s="321"/>
      <c r="BA10" s="321"/>
      <c r="BB10" s="321"/>
      <c r="BC10" s="321"/>
      <c r="BD10" s="321"/>
      <c r="BE10" s="321"/>
      <c r="BF10" s="321"/>
      <c r="BG10" s="321"/>
      <c r="BH10" s="321"/>
      <c r="BI10" s="321"/>
      <c r="BJ10" s="321"/>
      <c r="BK10" s="321"/>
      <c r="BL10" s="321"/>
      <c r="BM10" s="321"/>
      <c r="BN10" s="321"/>
      <c r="BO10" s="321"/>
      <c r="BP10" s="321"/>
      <c r="BQ10" s="321"/>
      <c r="BR10" s="321"/>
      <c r="BS10" s="321"/>
      <c r="BT10" s="321"/>
      <c r="BU10" s="321"/>
      <c r="BV10" s="321"/>
      <c r="BW10" s="321"/>
      <c r="BX10" s="321"/>
      <c r="BY10" s="321"/>
      <c r="BZ10" s="321"/>
      <c r="CA10" s="321"/>
      <c r="CB10" s="321"/>
      <c r="CC10" s="321"/>
      <c r="CD10" s="321"/>
      <c r="CE10" s="321"/>
      <c r="CF10" s="321"/>
      <c r="CG10" s="321"/>
      <c r="CH10" s="321"/>
      <c r="CI10" s="321"/>
      <c r="CJ10" s="321"/>
      <c r="CK10" s="321"/>
      <c r="CL10" s="321"/>
      <c r="CM10" s="321"/>
      <c r="CN10" s="321"/>
      <c r="CO10" s="321"/>
      <c r="CP10" s="321"/>
      <c r="CQ10" s="321"/>
      <c r="CR10" s="321"/>
      <c r="CS10" s="321"/>
      <c r="CT10" s="321"/>
      <c r="CU10" s="321"/>
      <c r="CV10" s="321"/>
      <c r="CW10" s="321"/>
      <c r="CX10" s="321"/>
      <c r="CY10" s="321"/>
      <c r="CZ10" s="321"/>
      <c r="DA10" s="321"/>
      <c r="DB10" s="321"/>
      <c r="DC10" s="321"/>
      <c r="DD10" s="321"/>
      <c r="DE10" s="321"/>
      <c r="DF10" s="321"/>
      <c r="DG10" s="321"/>
      <c r="DH10" s="321"/>
      <c r="DI10" s="321"/>
      <c r="DJ10" s="321"/>
      <c r="DK10" s="321"/>
      <c r="DL10" s="321"/>
      <c r="DM10" s="321"/>
      <c r="DN10" s="321"/>
      <c r="DO10" s="321"/>
      <c r="DP10" s="321"/>
      <c r="DQ10" s="321"/>
      <c r="DR10" s="321"/>
      <c r="DS10" s="321"/>
      <c r="DT10" s="321"/>
      <c r="DU10" s="321"/>
      <c r="DV10" s="321"/>
      <c r="DW10" s="321"/>
      <c r="DX10" s="321"/>
      <c r="DY10" s="321"/>
      <c r="DZ10" s="321"/>
      <c r="EA10" s="321"/>
      <c r="EB10" s="321"/>
      <c r="EC10" s="321"/>
      <c r="ED10" s="321"/>
      <c r="EE10" s="321"/>
      <c r="EF10" s="321"/>
      <c r="EG10" s="321"/>
      <c r="EH10" s="321"/>
      <c r="EI10" s="321"/>
      <c r="EJ10" s="321"/>
      <c r="EK10" s="321"/>
      <c r="EL10" s="321"/>
      <c r="EM10" s="321"/>
      <c r="EN10" s="321"/>
      <c r="EO10" s="321"/>
      <c r="EP10" s="321"/>
      <c r="EQ10" s="321"/>
      <c r="ER10" s="321"/>
      <c r="ES10" s="321"/>
      <c r="ET10" s="321"/>
      <c r="EU10" s="321"/>
      <c r="EV10" s="321"/>
      <c r="EW10" s="321"/>
      <c r="EX10" s="321"/>
      <c r="EY10" s="321"/>
      <c r="EZ10" s="321"/>
      <c r="FA10" s="321"/>
      <c r="FB10" s="321"/>
      <c r="FC10" s="321"/>
      <c r="FD10" s="321"/>
      <c r="FE10" s="321"/>
      <c r="FF10" s="321"/>
      <c r="FG10" s="321"/>
      <c r="FH10" s="321"/>
      <c r="FI10" s="321"/>
      <c r="FJ10" s="321"/>
      <c r="FK10" s="321"/>
      <c r="FL10" s="321"/>
      <c r="FM10" s="321"/>
      <c r="FN10" s="321"/>
      <c r="FO10" s="321"/>
      <c r="FP10" s="321"/>
      <c r="FQ10" s="321"/>
      <c r="FR10" s="321"/>
      <c r="FS10" s="321"/>
      <c r="FT10" s="321"/>
      <c r="FU10" s="321"/>
      <c r="FV10" s="321"/>
      <c r="FW10" s="321"/>
      <c r="FX10" s="321"/>
      <c r="FY10" s="321"/>
      <c r="FZ10" s="321"/>
      <c r="GA10" s="321"/>
      <c r="GB10" s="321"/>
      <c r="GC10" s="321"/>
      <c r="GD10" s="321"/>
      <c r="GE10" s="321"/>
      <c r="GF10" s="321"/>
      <c r="GG10" s="321"/>
      <c r="GH10" s="321"/>
      <c r="GI10" s="321"/>
      <c r="GJ10" s="321"/>
      <c r="GK10" s="321"/>
      <c r="GL10" s="321"/>
      <c r="GM10" s="321"/>
      <c r="GN10" s="321"/>
      <c r="GO10" s="321"/>
      <c r="GP10" s="321"/>
      <c r="GQ10" s="321"/>
      <c r="GR10" s="321"/>
      <c r="GS10" s="321"/>
      <c r="GT10" s="321"/>
      <c r="GU10" s="321"/>
      <c r="GV10" s="321"/>
      <c r="GW10" s="321"/>
      <c r="GX10" s="321"/>
      <c r="GY10" s="321"/>
      <c r="GZ10" s="321"/>
      <c r="HA10" s="321"/>
      <c r="HB10" s="321"/>
      <c r="HC10" s="321"/>
      <c r="HD10" s="321"/>
      <c r="HE10" s="321"/>
      <c r="HF10" s="321"/>
      <c r="HG10" s="321"/>
      <c r="HH10" s="321"/>
      <c r="HI10" s="321"/>
      <c r="HJ10" s="321"/>
      <c r="HK10" s="321"/>
      <c r="HL10" s="321"/>
      <c r="HM10" s="321"/>
      <c r="HN10" s="321"/>
      <c r="HO10" s="321"/>
      <c r="HP10" s="321"/>
      <c r="HQ10" s="321"/>
      <c r="HR10" s="321"/>
      <c r="HS10" s="321"/>
      <c r="HT10" s="321"/>
      <c r="HU10" s="321"/>
      <c r="HV10" s="321"/>
      <c r="HW10" s="321"/>
      <c r="HX10" s="321"/>
      <c r="HY10" s="321"/>
      <c r="HZ10" s="321"/>
      <c r="IA10" s="321"/>
      <c r="IB10" s="321"/>
      <c r="IC10" s="321"/>
      <c r="ID10" s="321"/>
      <c r="IE10" s="321"/>
      <c r="IF10" s="321"/>
      <c r="IG10" s="321"/>
      <c r="IH10" s="321"/>
      <c r="II10" s="321"/>
      <c r="IJ10" s="321"/>
      <c r="IK10" s="321"/>
      <c r="IL10" s="321"/>
      <c r="IM10" s="321"/>
      <c r="IN10" s="321"/>
      <c r="IO10" s="321"/>
      <c r="IP10" s="321"/>
      <c r="IQ10" s="321"/>
      <c r="IR10" s="321"/>
      <c r="IS10" s="321"/>
      <c r="IT10" s="321"/>
      <c r="IU10" s="321"/>
      <c r="IV10" s="321"/>
    </row>
    <row r="11" spans="1:17" s="754" customFormat="1" ht="18" customHeight="1">
      <c r="A11" s="561">
        <v>3</v>
      </c>
      <c r="B11" s="746"/>
      <c r="C11" s="747"/>
      <c r="D11" s="748" t="s">
        <v>303</v>
      </c>
      <c r="E11" s="330">
        <f>F11+G11+O12+P11</f>
        <v>8822998</v>
      </c>
      <c r="F11" s="550"/>
      <c r="G11" s="331">
        <f>106200</f>
        <v>106200</v>
      </c>
      <c r="H11" s="763"/>
      <c r="I11" s="777"/>
      <c r="J11" s="773"/>
      <c r="K11" s="773">
        <v>34384</v>
      </c>
      <c r="L11" s="773"/>
      <c r="M11" s="773">
        <v>694452</v>
      </c>
      <c r="N11" s="773"/>
      <c r="O11" s="745">
        <f>SUM(I11:N11)</f>
        <v>728836</v>
      </c>
      <c r="P11" s="551">
        <v>4397322</v>
      </c>
      <c r="Q11" s="781"/>
    </row>
    <row r="12" spans="1:17" s="754" customFormat="1" ht="18" customHeight="1">
      <c r="A12" s="561">
        <v>4</v>
      </c>
      <c r="B12" s="746"/>
      <c r="C12" s="747"/>
      <c r="D12" s="436" t="s">
        <v>994</v>
      </c>
      <c r="E12" s="330"/>
      <c r="F12" s="550"/>
      <c r="G12" s="331"/>
      <c r="H12" s="763"/>
      <c r="I12" s="777"/>
      <c r="J12" s="773"/>
      <c r="K12" s="1131">
        <v>97709</v>
      </c>
      <c r="L12" s="1131"/>
      <c r="M12" s="1131">
        <v>4221767</v>
      </c>
      <c r="N12" s="547"/>
      <c r="O12" s="555">
        <f>SUM(I12:N12)</f>
        <v>4319476</v>
      </c>
      <c r="P12" s="551"/>
      <c r="Q12" s="781"/>
    </row>
    <row r="13" spans="1:17" s="754" customFormat="1" ht="18" customHeight="1">
      <c r="A13" s="561">
        <v>5</v>
      </c>
      <c r="B13" s="746"/>
      <c r="C13" s="747"/>
      <c r="D13" s="987" t="s">
        <v>1035</v>
      </c>
      <c r="E13" s="330"/>
      <c r="F13" s="550"/>
      <c r="G13" s="331"/>
      <c r="H13" s="763"/>
      <c r="I13" s="758"/>
      <c r="J13" s="547"/>
      <c r="K13" s="1460">
        <v>39761</v>
      </c>
      <c r="L13" s="1460"/>
      <c r="M13" s="1460">
        <v>105563</v>
      </c>
      <c r="N13" s="547"/>
      <c r="O13" s="1175">
        <f>SUM(I13:N13)</f>
        <v>145324</v>
      </c>
      <c r="P13" s="551"/>
      <c r="Q13" s="781"/>
    </row>
    <row r="14" spans="1:256" s="546" customFormat="1" ht="22.5" customHeight="1">
      <c r="A14" s="561">
        <v>6</v>
      </c>
      <c r="B14" s="554"/>
      <c r="C14" s="361">
        <v>2</v>
      </c>
      <c r="D14" s="549" t="s">
        <v>623</v>
      </c>
      <c r="E14" s="330"/>
      <c r="F14" s="550"/>
      <c r="G14" s="331"/>
      <c r="H14" s="762" t="s">
        <v>24</v>
      </c>
      <c r="I14" s="777"/>
      <c r="J14" s="773"/>
      <c r="K14" s="773"/>
      <c r="L14" s="773"/>
      <c r="M14" s="773"/>
      <c r="N14" s="773"/>
      <c r="O14" s="555"/>
      <c r="P14" s="55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c r="AZ14" s="321"/>
      <c r="BA14" s="321"/>
      <c r="BB14" s="321"/>
      <c r="BC14" s="321"/>
      <c r="BD14" s="321"/>
      <c r="BE14" s="321"/>
      <c r="BF14" s="321"/>
      <c r="BG14" s="321"/>
      <c r="BH14" s="321"/>
      <c r="BI14" s="321"/>
      <c r="BJ14" s="321"/>
      <c r="BK14" s="321"/>
      <c r="BL14" s="321"/>
      <c r="BM14" s="321"/>
      <c r="BN14" s="321"/>
      <c r="BO14" s="321"/>
      <c r="BP14" s="321"/>
      <c r="BQ14" s="321"/>
      <c r="BR14" s="321"/>
      <c r="BS14" s="321"/>
      <c r="BT14" s="321"/>
      <c r="BU14" s="321"/>
      <c r="BV14" s="321"/>
      <c r="BW14" s="321"/>
      <c r="BX14" s="321"/>
      <c r="BY14" s="321"/>
      <c r="BZ14" s="321"/>
      <c r="CA14" s="321"/>
      <c r="CB14" s="321"/>
      <c r="CC14" s="321"/>
      <c r="CD14" s="321"/>
      <c r="CE14" s="321"/>
      <c r="CF14" s="321"/>
      <c r="CG14" s="321"/>
      <c r="CH14" s="321"/>
      <c r="CI14" s="321"/>
      <c r="CJ14" s="321"/>
      <c r="CK14" s="321"/>
      <c r="CL14" s="321"/>
      <c r="CM14" s="321"/>
      <c r="CN14" s="321"/>
      <c r="CO14" s="321"/>
      <c r="CP14" s="321"/>
      <c r="CQ14" s="321"/>
      <c r="CR14" s="321"/>
      <c r="CS14" s="321"/>
      <c r="CT14" s="321"/>
      <c r="CU14" s="321"/>
      <c r="CV14" s="321"/>
      <c r="CW14" s="321"/>
      <c r="CX14" s="321"/>
      <c r="CY14" s="321"/>
      <c r="CZ14" s="321"/>
      <c r="DA14" s="321"/>
      <c r="DB14" s="321"/>
      <c r="DC14" s="321"/>
      <c r="DD14" s="321"/>
      <c r="DE14" s="321"/>
      <c r="DF14" s="321"/>
      <c r="DG14" s="321"/>
      <c r="DH14" s="321"/>
      <c r="DI14" s="321"/>
      <c r="DJ14" s="321"/>
      <c r="DK14" s="321"/>
      <c r="DL14" s="321"/>
      <c r="DM14" s="321"/>
      <c r="DN14" s="321"/>
      <c r="DO14" s="321"/>
      <c r="DP14" s="321"/>
      <c r="DQ14" s="321"/>
      <c r="DR14" s="321"/>
      <c r="DS14" s="321"/>
      <c r="DT14" s="321"/>
      <c r="DU14" s="321"/>
      <c r="DV14" s="321"/>
      <c r="DW14" s="321"/>
      <c r="DX14" s="321"/>
      <c r="DY14" s="321"/>
      <c r="DZ14" s="321"/>
      <c r="EA14" s="321"/>
      <c r="EB14" s="321"/>
      <c r="EC14" s="321"/>
      <c r="ED14" s="321"/>
      <c r="EE14" s="321"/>
      <c r="EF14" s="321"/>
      <c r="EG14" s="321"/>
      <c r="EH14" s="321"/>
      <c r="EI14" s="321"/>
      <c r="EJ14" s="321"/>
      <c r="EK14" s="321"/>
      <c r="EL14" s="321"/>
      <c r="EM14" s="321"/>
      <c r="EN14" s="321"/>
      <c r="EO14" s="321"/>
      <c r="EP14" s="321"/>
      <c r="EQ14" s="321"/>
      <c r="ER14" s="321"/>
      <c r="ES14" s="321"/>
      <c r="ET14" s="321"/>
      <c r="EU14" s="321"/>
      <c r="EV14" s="321"/>
      <c r="EW14" s="321"/>
      <c r="EX14" s="321"/>
      <c r="EY14" s="321"/>
      <c r="EZ14" s="321"/>
      <c r="FA14" s="321"/>
      <c r="FB14" s="321"/>
      <c r="FC14" s="321"/>
      <c r="FD14" s="321"/>
      <c r="FE14" s="321"/>
      <c r="FF14" s="321"/>
      <c r="FG14" s="321"/>
      <c r="FH14" s="321"/>
      <c r="FI14" s="321"/>
      <c r="FJ14" s="321"/>
      <c r="FK14" s="321"/>
      <c r="FL14" s="321"/>
      <c r="FM14" s="321"/>
      <c r="FN14" s="321"/>
      <c r="FO14" s="321"/>
      <c r="FP14" s="321"/>
      <c r="FQ14" s="321"/>
      <c r="FR14" s="321"/>
      <c r="FS14" s="321"/>
      <c r="FT14" s="321"/>
      <c r="FU14" s="321"/>
      <c r="FV14" s="321"/>
      <c r="FW14" s="321"/>
      <c r="FX14" s="321"/>
      <c r="FY14" s="321"/>
      <c r="FZ14" s="321"/>
      <c r="GA14" s="321"/>
      <c r="GB14" s="321"/>
      <c r="GC14" s="321"/>
      <c r="GD14" s="321"/>
      <c r="GE14" s="321"/>
      <c r="GF14" s="321"/>
      <c r="GG14" s="321"/>
      <c r="GH14" s="321"/>
      <c r="GI14" s="321"/>
      <c r="GJ14" s="321"/>
      <c r="GK14" s="321"/>
      <c r="GL14" s="321"/>
      <c r="GM14" s="321"/>
      <c r="GN14" s="321"/>
      <c r="GO14" s="321"/>
      <c r="GP14" s="321"/>
      <c r="GQ14" s="321"/>
      <c r="GR14" s="321"/>
      <c r="GS14" s="321"/>
      <c r="GT14" s="321"/>
      <c r="GU14" s="321"/>
      <c r="GV14" s="321"/>
      <c r="GW14" s="321"/>
      <c r="GX14" s="321"/>
      <c r="GY14" s="321"/>
      <c r="GZ14" s="321"/>
      <c r="HA14" s="321"/>
      <c r="HB14" s="321"/>
      <c r="HC14" s="321"/>
      <c r="HD14" s="321"/>
      <c r="HE14" s="321"/>
      <c r="HF14" s="321"/>
      <c r="HG14" s="321"/>
      <c r="HH14" s="321"/>
      <c r="HI14" s="321"/>
      <c r="HJ14" s="321"/>
      <c r="HK14" s="321"/>
      <c r="HL14" s="321"/>
      <c r="HM14" s="321"/>
      <c r="HN14" s="321"/>
      <c r="HO14" s="321"/>
      <c r="HP14" s="321"/>
      <c r="HQ14" s="321"/>
      <c r="HR14" s="321"/>
      <c r="HS14" s="321"/>
      <c r="HT14" s="321"/>
      <c r="HU14" s="321"/>
      <c r="HV14" s="321"/>
      <c r="HW14" s="321"/>
      <c r="HX14" s="321"/>
      <c r="HY14" s="321"/>
      <c r="HZ14" s="321"/>
      <c r="IA14" s="321"/>
      <c r="IB14" s="321"/>
      <c r="IC14" s="321"/>
      <c r="ID14" s="321"/>
      <c r="IE14" s="321"/>
      <c r="IF14" s="321"/>
      <c r="IG14" s="321"/>
      <c r="IH14" s="321"/>
      <c r="II14" s="321"/>
      <c r="IJ14" s="321"/>
      <c r="IK14" s="321"/>
      <c r="IL14" s="321"/>
      <c r="IM14" s="321"/>
      <c r="IN14" s="321"/>
      <c r="IO14" s="321"/>
      <c r="IP14" s="321"/>
      <c r="IQ14" s="321"/>
      <c r="IR14" s="321"/>
      <c r="IS14" s="321"/>
      <c r="IT14" s="321"/>
      <c r="IU14" s="321"/>
      <c r="IV14" s="321"/>
    </row>
    <row r="15" spans="1:17" s="754" customFormat="1" ht="18" customHeight="1">
      <c r="A15" s="561">
        <v>7</v>
      </c>
      <c r="B15" s="746"/>
      <c r="C15" s="747"/>
      <c r="D15" s="748" t="s">
        <v>303</v>
      </c>
      <c r="E15" s="330">
        <f>F15+G15+O16+P15</f>
        <v>14460580</v>
      </c>
      <c r="F15" s="550">
        <v>324476</v>
      </c>
      <c r="G15" s="331">
        <f>2834+481562</f>
        <v>484396</v>
      </c>
      <c r="H15" s="763"/>
      <c r="I15" s="777"/>
      <c r="J15" s="773"/>
      <c r="K15" s="773">
        <v>499</v>
      </c>
      <c r="L15" s="773"/>
      <c r="M15" s="773">
        <v>3870629</v>
      </c>
      <c r="N15" s="773"/>
      <c r="O15" s="745">
        <f>SUM(I15:N15)</f>
        <v>3871128</v>
      </c>
      <c r="P15" s="551">
        <v>9780580</v>
      </c>
      <c r="Q15" s="781"/>
    </row>
    <row r="16" spans="1:17" s="754" customFormat="1" ht="18" customHeight="1">
      <c r="A16" s="561">
        <v>8</v>
      </c>
      <c r="B16" s="746"/>
      <c r="C16" s="747"/>
      <c r="D16" s="436" t="s">
        <v>994</v>
      </c>
      <c r="E16" s="330"/>
      <c r="F16" s="550"/>
      <c r="G16" s="331"/>
      <c r="H16" s="763"/>
      <c r="I16" s="777"/>
      <c r="J16" s="773"/>
      <c r="K16" s="1131">
        <v>6026</v>
      </c>
      <c r="L16" s="1131"/>
      <c r="M16" s="1131">
        <v>3865102</v>
      </c>
      <c r="N16" s="773"/>
      <c r="O16" s="555">
        <f>SUM(I16:N16)</f>
        <v>3871128</v>
      </c>
      <c r="P16" s="551"/>
      <c r="Q16" s="781"/>
    </row>
    <row r="17" spans="1:17" s="754" customFormat="1" ht="18" customHeight="1">
      <c r="A17" s="561">
        <v>9</v>
      </c>
      <c r="B17" s="746"/>
      <c r="C17" s="747"/>
      <c r="D17" s="987" t="s">
        <v>1035</v>
      </c>
      <c r="E17" s="330"/>
      <c r="F17" s="550"/>
      <c r="G17" s="331"/>
      <c r="H17" s="763"/>
      <c r="I17" s="758"/>
      <c r="J17" s="547"/>
      <c r="K17" s="1460">
        <v>6026</v>
      </c>
      <c r="L17" s="1460"/>
      <c r="M17" s="1460">
        <v>420976</v>
      </c>
      <c r="N17" s="547"/>
      <c r="O17" s="1175">
        <f>SUM(I17:N17)</f>
        <v>427002</v>
      </c>
      <c r="P17" s="551"/>
      <c r="Q17" s="781"/>
    </row>
    <row r="18" spans="1:256" s="546" customFormat="1" ht="22.5" customHeight="1">
      <c r="A18" s="561">
        <v>10</v>
      </c>
      <c r="B18" s="554"/>
      <c r="C18" s="322">
        <v>3</v>
      </c>
      <c r="D18" s="957" t="s">
        <v>624</v>
      </c>
      <c r="E18" s="330"/>
      <c r="F18" s="550"/>
      <c r="G18" s="331"/>
      <c r="H18" s="762" t="s">
        <v>24</v>
      </c>
      <c r="I18" s="777"/>
      <c r="J18" s="773"/>
      <c r="K18" s="773"/>
      <c r="L18" s="773"/>
      <c r="M18" s="773"/>
      <c r="N18" s="773"/>
      <c r="O18" s="555"/>
      <c r="P18" s="55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1"/>
      <c r="BD18" s="321"/>
      <c r="BE18" s="321"/>
      <c r="BF18" s="321"/>
      <c r="BG18" s="321"/>
      <c r="BH18" s="321"/>
      <c r="BI18" s="321"/>
      <c r="BJ18" s="321"/>
      <c r="BK18" s="321"/>
      <c r="BL18" s="321"/>
      <c r="BM18" s="321"/>
      <c r="BN18" s="321"/>
      <c r="BO18" s="321"/>
      <c r="BP18" s="321"/>
      <c r="BQ18" s="321"/>
      <c r="BR18" s="321"/>
      <c r="BS18" s="321"/>
      <c r="BT18" s="321"/>
      <c r="BU18" s="321"/>
      <c r="BV18" s="321"/>
      <c r="BW18" s="321"/>
      <c r="BX18" s="321"/>
      <c r="BY18" s="321"/>
      <c r="BZ18" s="321"/>
      <c r="CA18" s="321"/>
      <c r="CB18" s="321"/>
      <c r="CC18" s="321"/>
      <c r="CD18" s="321"/>
      <c r="CE18" s="321"/>
      <c r="CF18" s="321"/>
      <c r="CG18" s="321"/>
      <c r="CH18" s="321"/>
      <c r="CI18" s="321"/>
      <c r="CJ18" s="321"/>
      <c r="CK18" s="321"/>
      <c r="CL18" s="321"/>
      <c r="CM18" s="321"/>
      <c r="CN18" s="321"/>
      <c r="CO18" s="321"/>
      <c r="CP18" s="321"/>
      <c r="CQ18" s="321"/>
      <c r="CR18" s="321"/>
      <c r="CS18" s="321"/>
      <c r="CT18" s="321"/>
      <c r="CU18" s="321"/>
      <c r="CV18" s="321"/>
      <c r="CW18" s="321"/>
      <c r="CX18" s="321"/>
      <c r="CY18" s="321"/>
      <c r="CZ18" s="321"/>
      <c r="DA18" s="321"/>
      <c r="DB18" s="321"/>
      <c r="DC18" s="321"/>
      <c r="DD18" s="321"/>
      <c r="DE18" s="321"/>
      <c r="DF18" s="321"/>
      <c r="DG18" s="321"/>
      <c r="DH18" s="321"/>
      <c r="DI18" s="321"/>
      <c r="DJ18" s="321"/>
      <c r="DK18" s="321"/>
      <c r="DL18" s="321"/>
      <c r="DM18" s="321"/>
      <c r="DN18" s="321"/>
      <c r="DO18" s="321"/>
      <c r="DP18" s="321"/>
      <c r="DQ18" s="321"/>
      <c r="DR18" s="321"/>
      <c r="DS18" s="321"/>
      <c r="DT18" s="321"/>
      <c r="DU18" s="321"/>
      <c r="DV18" s="321"/>
      <c r="DW18" s="321"/>
      <c r="DX18" s="321"/>
      <c r="DY18" s="321"/>
      <c r="DZ18" s="321"/>
      <c r="EA18" s="321"/>
      <c r="EB18" s="321"/>
      <c r="EC18" s="321"/>
      <c r="ED18" s="321"/>
      <c r="EE18" s="321"/>
      <c r="EF18" s="321"/>
      <c r="EG18" s="321"/>
      <c r="EH18" s="321"/>
      <c r="EI18" s="321"/>
      <c r="EJ18" s="321"/>
      <c r="EK18" s="321"/>
      <c r="EL18" s="321"/>
      <c r="EM18" s="321"/>
      <c r="EN18" s="321"/>
      <c r="EO18" s="321"/>
      <c r="EP18" s="321"/>
      <c r="EQ18" s="321"/>
      <c r="ER18" s="321"/>
      <c r="ES18" s="321"/>
      <c r="ET18" s="321"/>
      <c r="EU18" s="321"/>
      <c r="EV18" s="321"/>
      <c r="EW18" s="321"/>
      <c r="EX18" s="321"/>
      <c r="EY18" s="321"/>
      <c r="EZ18" s="321"/>
      <c r="FA18" s="321"/>
      <c r="FB18" s="321"/>
      <c r="FC18" s="321"/>
      <c r="FD18" s="321"/>
      <c r="FE18" s="321"/>
      <c r="FF18" s="321"/>
      <c r="FG18" s="321"/>
      <c r="FH18" s="321"/>
      <c r="FI18" s="321"/>
      <c r="FJ18" s="321"/>
      <c r="FK18" s="321"/>
      <c r="FL18" s="321"/>
      <c r="FM18" s="321"/>
      <c r="FN18" s="321"/>
      <c r="FO18" s="321"/>
      <c r="FP18" s="321"/>
      <c r="FQ18" s="321"/>
      <c r="FR18" s="321"/>
      <c r="FS18" s="321"/>
      <c r="FT18" s="321"/>
      <c r="FU18" s="321"/>
      <c r="FV18" s="321"/>
      <c r="FW18" s="321"/>
      <c r="FX18" s="321"/>
      <c r="FY18" s="321"/>
      <c r="FZ18" s="321"/>
      <c r="GA18" s="321"/>
      <c r="GB18" s="321"/>
      <c r="GC18" s="321"/>
      <c r="GD18" s="321"/>
      <c r="GE18" s="321"/>
      <c r="GF18" s="321"/>
      <c r="GG18" s="321"/>
      <c r="GH18" s="321"/>
      <c r="GI18" s="321"/>
      <c r="GJ18" s="321"/>
      <c r="GK18" s="321"/>
      <c r="GL18" s="321"/>
      <c r="GM18" s="321"/>
      <c r="GN18" s="321"/>
      <c r="GO18" s="321"/>
      <c r="GP18" s="321"/>
      <c r="GQ18" s="321"/>
      <c r="GR18" s="321"/>
      <c r="GS18" s="321"/>
      <c r="GT18" s="321"/>
      <c r="GU18" s="321"/>
      <c r="GV18" s="321"/>
      <c r="GW18" s="321"/>
      <c r="GX18" s="321"/>
      <c r="GY18" s="321"/>
      <c r="GZ18" s="321"/>
      <c r="HA18" s="321"/>
      <c r="HB18" s="321"/>
      <c r="HC18" s="321"/>
      <c r="HD18" s="321"/>
      <c r="HE18" s="321"/>
      <c r="HF18" s="321"/>
      <c r="HG18" s="321"/>
      <c r="HH18" s="321"/>
      <c r="HI18" s="321"/>
      <c r="HJ18" s="321"/>
      <c r="HK18" s="321"/>
      <c r="HL18" s="321"/>
      <c r="HM18" s="321"/>
      <c r="HN18" s="321"/>
      <c r="HO18" s="321"/>
      <c r="HP18" s="321"/>
      <c r="HQ18" s="321"/>
      <c r="HR18" s="321"/>
      <c r="HS18" s="321"/>
      <c r="HT18" s="321"/>
      <c r="HU18" s="321"/>
      <c r="HV18" s="321"/>
      <c r="HW18" s="321"/>
      <c r="HX18" s="321"/>
      <c r="HY18" s="321"/>
      <c r="HZ18" s="321"/>
      <c r="IA18" s="321"/>
      <c r="IB18" s="321"/>
      <c r="IC18" s="321"/>
      <c r="ID18" s="321"/>
      <c r="IE18" s="321"/>
      <c r="IF18" s="321"/>
      <c r="IG18" s="321"/>
      <c r="IH18" s="321"/>
      <c r="II18" s="321"/>
      <c r="IJ18" s="321"/>
      <c r="IK18" s="321"/>
      <c r="IL18" s="321"/>
      <c r="IM18" s="321"/>
      <c r="IN18" s="321"/>
      <c r="IO18" s="321"/>
      <c r="IP18" s="321"/>
      <c r="IQ18" s="321"/>
      <c r="IR18" s="321"/>
      <c r="IS18" s="321"/>
      <c r="IT18" s="321"/>
      <c r="IU18" s="321"/>
      <c r="IV18" s="321"/>
    </row>
    <row r="19" spans="1:17" s="754" customFormat="1" ht="18" customHeight="1">
      <c r="A19" s="561">
        <v>11</v>
      </c>
      <c r="B19" s="746"/>
      <c r="C19" s="747"/>
      <c r="D19" s="748" t="s">
        <v>303</v>
      </c>
      <c r="E19" s="330">
        <f>F19+G19+O20+P19</f>
        <v>1793189</v>
      </c>
      <c r="F19" s="550">
        <v>1281902</v>
      </c>
      <c r="G19" s="331">
        <f>1692</f>
        <v>1692</v>
      </c>
      <c r="H19" s="763"/>
      <c r="I19" s="777"/>
      <c r="J19" s="773"/>
      <c r="K19" s="773">
        <v>658</v>
      </c>
      <c r="L19" s="773"/>
      <c r="M19" s="773">
        <f>371256+137681</f>
        <v>508937</v>
      </c>
      <c r="N19" s="773"/>
      <c r="O19" s="745">
        <f>SUM(I19:N19)</f>
        <v>509595</v>
      </c>
      <c r="P19" s="551"/>
      <c r="Q19" s="781"/>
    </row>
    <row r="20" spans="1:17" s="754" customFormat="1" ht="18" customHeight="1">
      <c r="A20" s="561">
        <v>12</v>
      </c>
      <c r="B20" s="746"/>
      <c r="C20" s="747"/>
      <c r="D20" s="436" t="s">
        <v>994</v>
      </c>
      <c r="E20" s="330"/>
      <c r="F20" s="550"/>
      <c r="G20" s="331"/>
      <c r="H20" s="763"/>
      <c r="I20" s="777"/>
      <c r="J20" s="773"/>
      <c r="K20" s="1131">
        <v>658</v>
      </c>
      <c r="L20" s="1131"/>
      <c r="M20" s="1131">
        <v>508937</v>
      </c>
      <c r="N20" s="547"/>
      <c r="O20" s="555">
        <f>SUM(I20:N20)</f>
        <v>509595</v>
      </c>
      <c r="P20" s="551"/>
      <c r="Q20" s="781"/>
    </row>
    <row r="21" spans="1:17" s="754" customFormat="1" ht="18" customHeight="1">
      <c r="A21" s="561">
        <v>13</v>
      </c>
      <c r="B21" s="746"/>
      <c r="C21" s="747"/>
      <c r="D21" s="987" t="s">
        <v>1036</v>
      </c>
      <c r="E21" s="330"/>
      <c r="F21" s="550"/>
      <c r="G21" s="331"/>
      <c r="H21" s="763"/>
      <c r="I21" s="758"/>
      <c r="J21" s="547"/>
      <c r="K21" s="1460">
        <v>176</v>
      </c>
      <c r="L21" s="1460"/>
      <c r="M21" s="1460">
        <v>494737</v>
      </c>
      <c r="N21" s="547"/>
      <c r="O21" s="1175">
        <f>SUM(I21:N21)</f>
        <v>494913</v>
      </c>
      <c r="P21" s="551"/>
      <c r="Q21" s="781"/>
    </row>
    <row r="22" spans="1:256" s="546" customFormat="1" ht="49.5" customHeight="1">
      <c r="A22" s="561">
        <v>14</v>
      </c>
      <c r="B22" s="554"/>
      <c r="C22" s="322">
        <v>4</v>
      </c>
      <c r="D22" s="1485" t="s">
        <v>625</v>
      </c>
      <c r="E22" s="330"/>
      <c r="F22" s="550"/>
      <c r="G22" s="331"/>
      <c r="H22" s="762" t="s">
        <v>24</v>
      </c>
      <c r="I22" s="777"/>
      <c r="J22" s="773"/>
      <c r="K22" s="773"/>
      <c r="L22" s="773"/>
      <c r="M22" s="773"/>
      <c r="N22" s="773"/>
      <c r="O22" s="555"/>
      <c r="P22" s="55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1"/>
      <c r="BA22" s="321"/>
      <c r="BB22" s="321"/>
      <c r="BC22" s="321"/>
      <c r="BD22" s="321"/>
      <c r="BE22" s="321"/>
      <c r="BF22" s="321"/>
      <c r="BG22" s="321"/>
      <c r="BH22" s="321"/>
      <c r="BI22" s="321"/>
      <c r="BJ22" s="321"/>
      <c r="BK22" s="321"/>
      <c r="BL22" s="321"/>
      <c r="BM22" s="321"/>
      <c r="BN22" s="321"/>
      <c r="BO22" s="321"/>
      <c r="BP22" s="321"/>
      <c r="BQ22" s="321"/>
      <c r="BR22" s="321"/>
      <c r="BS22" s="321"/>
      <c r="BT22" s="321"/>
      <c r="BU22" s="321"/>
      <c r="BV22" s="321"/>
      <c r="BW22" s="321"/>
      <c r="BX22" s="321"/>
      <c r="BY22" s="321"/>
      <c r="BZ22" s="321"/>
      <c r="CA22" s="321"/>
      <c r="CB22" s="321"/>
      <c r="CC22" s="321"/>
      <c r="CD22" s="321"/>
      <c r="CE22" s="321"/>
      <c r="CF22" s="321"/>
      <c r="CG22" s="321"/>
      <c r="CH22" s="321"/>
      <c r="CI22" s="321"/>
      <c r="CJ22" s="321"/>
      <c r="CK22" s="321"/>
      <c r="CL22" s="321"/>
      <c r="CM22" s="321"/>
      <c r="CN22" s="321"/>
      <c r="CO22" s="321"/>
      <c r="CP22" s="321"/>
      <c r="CQ22" s="321"/>
      <c r="CR22" s="321"/>
      <c r="CS22" s="321"/>
      <c r="CT22" s="321"/>
      <c r="CU22" s="321"/>
      <c r="CV22" s="321"/>
      <c r="CW22" s="321"/>
      <c r="CX22" s="321"/>
      <c r="CY22" s="321"/>
      <c r="CZ22" s="321"/>
      <c r="DA22" s="321"/>
      <c r="DB22" s="321"/>
      <c r="DC22" s="321"/>
      <c r="DD22" s="321"/>
      <c r="DE22" s="321"/>
      <c r="DF22" s="321"/>
      <c r="DG22" s="321"/>
      <c r="DH22" s="321"/>
      <c r="DI22" s="321"/>
      <c r="DJ22" s="321"/>
      <c r="DK22" s="321"/>
      <c r="DL22" s="321"/>
      <c r="DM22" s="321"/>
      <c r="DN22" s="321"/>
      <c r="DO22" s="321"/>
      <c r="DP22" s="321"/>
      <c r="DQ22" s="321"/>
      <c r="DR22" s="321"/>
      <c r="DS22" s="321"/>
      <c r="DT22" s="321"/>
      <c r="DU22" s="321"/>
      <c r="DV22" s="321"/>
      <c r="DW22" s="321"/>
      <c r="DX22" s="321"/>
      <c r="DY22" s="321"/>
      <c r="DZ22" s="321"/>
      <c r="EA22" s="321"/>
      <c r="EB22" s="321"/>
      <c r="EC22" s="321"/>
      <c r="ED22" s="321"/>
      <c r="EE22" s="321"/>
      <c r="EF22" s="321"/>
      <c r="EG22" s="321"/>
      <c r="EH22" s="321"/>
      <c r="EI22" s="321"/>
      <c r="EJ22" s="321"/>
      <c r="EK22" s="321"/>
      <c r="EL22" s="321"/>
      <c r="EM22" s="321"/>
      <c r="EN22" s="321"/>
      <c r="EO22" s="321"/>
      <c r="EP22" s="321"/>
      <c r="EQ22" s="321"/>
      <c r="ER22" s="321"/>
      <c r="ES22" s="321"/>
      <c r="ET22" s="321"/>
      <c r="EU22" s="321"/>
      <c r="EV22" s="321"/>
      <c r="EW22" s="321"/>
      <c r="EX22" s="321"/>
      <c r="EY22" s="321"/>
      <c r="EZ22" s="321"/>
      <c r="FA22" s="321"/>
      <c r="FB22" s="321"/>
      <c r="FC22" s="321"/>
      <c r="FD22" s="321"/>
      <c r="FE22" s="321"/>
      <c r="FF22" s="321"/>
      <c r="FG22" s="321"/>
      <c r="FH22" s="321"/>
      <c r="FI22" s="321"/>
      <c r="FJ22" s="321"/>
      <c r="FK22" s="321"/>
      <c r="FL22" s="321"/>
      <c r="FM22" s="321"/>
      <c r="FN22" s="321"/>
      <c r="FO22" s="321"/>
      <c r="FP22" s="321"/>
      <c r="FQ22" s="321"/>
      <c r="FR22" s="321"/>
      <c r="FS22" s="321"/>
      <c r="FT22" s="321"/>
      <c r="FU22" s="321"/>
      <c r="FV22" s="321"/>
      <c r="FW22" s="321"/>
      <c r="FX22" s="321"/>
      <c r="FY22" s="321"/>
      <c r="FZ22" s="321"/>
      <c r="GA22" s="321"/>
      <c r="GB22" s="321"/>
      <c r="GC22" s="321"/>
      <c r="GD22" s="321"/>
      <c r="GE22" s="321"/>
      <c r="GF22" s="321"/>
      <c r="GG22" s="321"/>
      <c r="GH22" s="321"/>
      <c r="GI22" s="321"/>
      <c r="GJ22" s="321"/>
      <c r="GK22" s="321"/>
      <c r="GL22" s="321"/>
      <c r="GM22" s="321"/>
      <c r="GN22" s="321"/>
      <c r="GO22" s="321"/>
      <c r="GP22" s="321"/>
      <c r="GQ22" s="321"/>
      <c r="GR22" s="321"/>
      <c r="GS22" s="321"/>
      <c r="GT22" s="321"/>
      <c r="GU22" s="321"/>
      <c r="GV22" s="321"/>
      <c r="GW22" s="321"/>
      <c r="GX22" s="321"/>
      <c r="GY22" s="321"/>
      <c r="GZ22" s="321"/>
      <c r="HA22" s="321"/>
      <c r="HB22" s="321"/>
      <c r="HC22" s="321"/>
      <c r="HD22" s="321"/>
      <c r="HE22" s="321"/>
      <c r="HF22" s="321"/>
      <c r="HG22" s="321"/>
      <c r="HH22" s="321"/>
      <c r="HI22" s="321"/>
      <c r="HJ22" s="321"/>
      <c r="HK22" s="321"/>
      <c r="HL22" s="321"/>
      <c r="HM22" s="321"/>
      <c r="HN22" s="321"/>
      <c r="HO22" s="321"/>
      <c r="HP22" s="321"/>
      <c r="HQ22" s="321"/>
      <c r="HR22" s="321"/>
      <c r="HS22" s="321"/>
      <c r="HT22" s="321"/>
      <c r="HU22" s="321"/>
      <c r="HV22" s="321"/>
      <c r="HW22" s="321"/>
      <c r="HX22" s="321"/>
      <c r="HY22" s="321"/>
      <c r="HZ22" s="321"/>
      <c r="IA22" s="321"/>
      <c r="IB22" s="321"/>
      <c r="IC22" s="321"/>
      <c r="ID22" s="321"/>
      <c r="IE22" s="321"/>
      <c r="IF22" s="321"/>
      <c r="IG22" s="321"/>
      <c r="IH22" s="321"/>
      <c r="II22" s="321"/>
      <c r="IJ22" s="321"/>
      <c r="IK22" s="321"/>
      <c r="IL22" s="321"/>
      <c r="IM22" s="321"/>
      <c r="IN22" s="321"/>
      <c r="IO22" s="321"/>
      <c r="IP22" s="321"/>
      <c r="IQ22" s="321"/>
      <c r="IR22" s="321"/>
      <c r="IS22" s="321"/>
      <c r="IT22" s="321"/>
      <c r="IU22" s="321"/>
      <c r="IV22" s="321"/>
    </row>
    <row r="23" spans="1:17" s="754" customFormat="1" ht="18" customHeight="1">
      <c r="A23" s="561">
        <v>15</v>
      </c>
      <c r="B23" s="746"/>
      <c r="C23" s="747"/>
      <c r="D23" s="755" t="s">
        <v>303</v>
      </c>
      <c r="E23" s="330">
        <f>F23+G23+O24+P23</f>
        <v>1658925</v>
      </c>
      <c r="F23" s="550">
        <v>7043</v>
      </c>
      <c r="G23" s="331">
        <f>15189+980</f>
        <v>16169</v>
      </c>
      <c r="H23" s="763"/>
      <c r="I23" s="777"/>
      <c r="J23" s="773"/>
      <c r="K23" s="773"/>
      <c r="L23" s="773"/>
      <c r="M23" s="773">
        <f>78617+738788</f>
        <v>817405</v>
      </c>
      <c r="N23" s="773"/>
      <c r="O23" s="745">
        <f>SUM(I23:N23)</f>
        <v>817405</v>
      </c>
      <c r="P23" s="551">
        <f>818308</f>
        <v>818308</v>
      </c>
      <c r="Q23" s="781"/>
    </row>
    <row r="24" spans="1:17" s="754" customFormat="1" ht="18" customHeight="1">
      <c r="A24" s="561">
        <v>16</v>
      </c>
      <c r="B24" s="746"/>
      <c r="C24" s="747"/>
      <c r="D24" s="436" t="s">
        <v>994</v>
      </c>
      <c r="E24" s="330"/>
      <c r="F24" s="550"/>
      <c r="G24" s="331"/>
      <c r="H24" s="763"/>
      <c r="I24" s="777"/>
      <c r="J24" s="773"/>
      <c r="K24" s="1131">
        <v>15710</v>
      </c>
      <c r="L24" s="773"/>
      <c r="M24" s="1131">
        <f>817405-15710</f>
        <v>801695</v>
      </c>
      <c r="N24" s="547"/>
      <c r="O24" s="555">
        <f>SUM(I24:N24)</f>
        <v>817405</v>
      </c>
      <c r="P24" s="551"/>
      <c r="Q24" s="781"/>
    </row>
    <row r="25" spans="1:17" s="754" customFormat="1" ht="18" customHeight="1">
      <c r="A25" s="561">
        <v>17</v>
      </c>
      <c r="B25" s="746"/>
      <c r="C25" s="747"/>
      <c r="D25" s="987" t="s">
        <v>1035</v>
      </c>
      <c r="E25" s="330"/>
      <c r="F25" s="550"/>
      <c r="G25" s="331"/>
      <c r="H25" s="763"/>
      <c r="I25" s="758"/>
      <c r="J25" s="547"/>
      <c r="K25" s="1460">
        <v>7859</v>
      </c>
      <c r="L25" s="1460"/>
      <c r="M25" s="1460">
        <v>0</v>
      </c>
      <c r="N25" s="1266"/>
      <c r="O25" s="1175">
        <f>SUM(I25:N25)</f>
        <v>7859</v>
      </c>
      <c r="P25" s="551"/>
      <c r="Q25" s="781"/>
    </row>
    <row r="26" spans="1:256" s="546" customFormat="1" ht="22.5" customHeight="1">
      <c r="A26" s="561">
        <v>18</v>
      </c>
      <c r="B26" s="554"/>
      <c r="C26" s="361">
        <v>5</v>
      </c>
      <c r="D26" s="549" t="s">
        <v>626</v>
      </c>
      <c r="E26" s="330"/>
      <c r="F26" s="330"/>
      <c r="G26" s="331"/>
      <c r="H26" s="762" t="s">
        <v>24</v>
      </c>
      <c r="I26" s="778"/>
      <c r="J26" s="772"/>
      <c r="K26" s="772"/>
      <c r="L26" s="772"/>
      <c r="M26" s="772"/>
      <c r="N26" s="772"/>
      <c r="O26" s="560"/>
      <c r="P26" s="55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21"/>
      <c r="BE26" s="321"/>
      <c r="BF26" s="321"/>
      <c r="BG26" s="321"/>
      <c r="BH26" s="321"/>
      <c r="BI26" s="321"/>
      <c r="BJ26" s="321"/>
      <c r="BK26" s="321"/>
      <c r="BL26" s="321"/>
      <c r="BM26" s="321"/>
      <c r="BN26" s="321"/>
      <c r="BO26" s="321"/>
      <c r="BP26" s="321"/>
      <c r="BQ26" s="321"/>
      <c r="BR26" s="321"/>
      <c r="BS26" s="321"/>
      <c r="BT26" s="321"/>
      <c r="BU26" s="321"/>
      <c r="BV26" s="321"/>
      <c r="BW26" s="321"/>
      <c r="BX26" s="321"/>
      <c r="BY26" s="321"/>
      <c r="BZ26" s="321"/>
      <c r="CA26" s="321"/>
      <c r="CB26" s="321"/>
      <c r="CC26" s="321"/>
      <c r="CD26" s="321"/>
      <c r="CE26" s="321"/>
      <c r="CF26" s="321"/>
      <c r="CG26" s="321"/>
      <c r="CH26" s="321"/>
      <c r="CI26" s="321"/>
      <c r="CJ26" s="321"/>
      <c r="CK26" s="321"/>
      <c r="CL26" s="321"/>
      <c r="CM26" s="321"/>
      <c r="CN26" s="321"/>
      <c r="CO26" s="321"/>
      <c r="CP26" s="321"/>
      <c r="CQ26" s="321"/>
      <c r="CR26" s="321"/>
      <c r="CS26" s="321"/>
      <c r="CT26" s="321"/>
      <c r="CU26" s="321"/>
      <c r="CV26" s="321"/>
      <c r="CW26" s="321"/>
      <c r="CX26" s="321"/>
      <c r="CY26" s="321"/>
      <c r="CZ26" s="321"/>
      <c r="DA26" s="321"/>
      <c r="DB26" s="321"/>
      <c r="DC26" s="321"/>
      <c r="DD26" s="321"/>
      <c r="DE26" s="321"/>
      <c r="DF26" s="321"/>
      <c r="DG26" s="321"/>
      <c r="DH26" s="321"/>
      <c r="DI26" s="321"/>
      <c r="DJ26" s="321"/>
      <c r="DK26" s="321"/>
      <c r="DL26" s="321"/>
      <c r="DM26" s="321"/>
      <c r="DN26" s="321"/>
      <c r="DO26" s="321"/>
      <c r="DP26" s="321"/>
      <c r="DQ26" s="321"/>
      <c r="DR26" s="321"/>
      <c r="DS26" s="321"/>
      <c r="DT26" s="321"/>
      <c r="DU26" s="321"/>
      <c r="DV26" s="321"/>
      <c r="DW26" s="321"/>
      <c r="DX26" s="321"/>
      <c r="DY26" s="321"/>
      <c r="DZ26" s="321"/>
      <c r="EA26" s="321"/>
      <c r="EB26" s="321"/>
      <c r="EC26" s="321"/>
      <c r="ED26" s="321"/>
      <c r="EE26" s="321"/>
      <c r="EF26" s="321"/>
      <c r="EG26" s="321"/>
      <c r="EH26" s="321"/>
      <c r="EI26" s="321"/>
      <c r="EJ26" s="321"/>
      <c r="EK26" s="321"/>
      <c r="EL26" s="321"/>
      <c r="EM26" s="321"/>
      <c r="EN26" s="321"/>
      <c r="EO26" s="321"/>
      <c r="EP26" s="321"/>
      <c r="EQ26" s="321"/>
      <c r="ER26" s="321"/>
      <c r="ES26" s="321"/>
      <c r="ET26" s="321"/>
      <c r="EU26" s="321"/>
      <c r="EV26" s="321"/>
      <c r="EW26" s="321"/>
      <c r="EX26" s="321"/>
      <c r="EY26" s="321"/>
      <c r="EZ26" s="321"/>
      <c r="FA26" s="321"/>
      <c r="FB26" s="321"/>
      <c r="FC26" s="321"/>
      <c r="FD26" s="321"/>
      <c r="FE26" s="321"/>
      <c r="FF26" s="321"/>
      <c r="FG26" s="321"/>
      <c r="FH26" s="321"/>
      <c r="FI26" s="321"/>
      <c r="FJ26" s="321"/>
      <c r="FK26" s="321"/>
      <c r="FL26" s="321"/>
      <c r="FM26" s="321"/>
      <c r="FN26" s="321"/>
      <c r="FO26" s="321"/>
      <c r="FP26" s="321"/>
      <c r="FQ26" s="321"/>
      <c r="FR26" s="321"/>
      <c r="FS26" s="321"/>
      <c r="FT26" s="321"/>
      <c r="FU26" s="321"/>
      <c r="FV26" s="321"/>
      <c r="FW26" s="321"/>
      <c r="FX26" s="321"/>
      <c r="FY26" s="321"/>
      <c r="FZ26" s="321"/>
      <c r="GA26" s="321"/>
      <c r="GB26" s="321"/>
      <c r="GC26" s="321"/>
      <c r="GD26" s="321"/>
      <c r="GE26" s="321"/>
      <c r="GF26" s="321"/>
      <c r="GG26" s="321"/>
      <c r="GH26" s="321"/>
      <c r="GI26" s="321"/>
      <c r="GJ26" s="321"/>
      <c r="GK26" s="321"/>
      <c r="GL26" s="321"/>
      <c r="GM26" s="321"/>
      <c r="GN26" s="321"/>
      <c r="GO26" s="321"/>
      <c r="GP26" s="321"/>
      <c r="GQ26" s="321"/>
      <c r="GR26" s="321"/>
      <c r="GS26" s="321"/>
      <c r="GT26" s="321"/>
      <c r="GU26" s="321"/>
      <c r="GV26" s="321"/>
      <c r="GW26" s="321"/>
      <c r="GX26" s="321"/>
      <c r="GY26" s="321"/>
      <c r="GZ26" s="321"/>
      <c r="HA26" s="321"/>
      <c r="HB26" s="321"/>
      <c r="HC26" s="321"/>
      <c r="HD26" s="321"/>
      <c r="HE26" s="321"/>
      <c r="HF26" s="321"/>
      <c r="HG26" s="321"/>
      <c r="HH26" s="321"/>
      <c r="HI26" s="321"/>
      <c r="HJ26" s="321"/>
      <c r="HK26" s="321"/>
      <c r="HL26" s="321"/>
      <c r="HM26" s="321"/>
      <c r="HN26" s="321"/>
      <c r="HO26" s="321"/>
      <c r="HP26" s="321"/>
      <c r="HQ26" s="321"/>
      <c r="HR26" s="321"/>
      <c r="HS26" s="321"/>
      <c r="HT26" s="321"/>
      <c r="HU26" s="321"/>
      <c r="HV26" s="321"/>
      <c r="HW26" s="321"/>
      <c r="HX26" s="321"/>
      <c r="HY26" s="321"/>
      <c r="HZ26" s="321"/>
      <c r="IA26" s="321"/>
      <c r="IB26" s="321"/>
      <c r="IC26" s="321"/>
      <c r="ID26" s="321"/>
      <c r="IE26" s="321"/>
      <c r="IF26" s="321"/>
      <c r="IG26" s="321"/>
      <c r="IH26" s="321"/>
      <c r="II26" s="321"/>
      <c r="IJ26" s="321"/>
      <c r="IK26" s="321"/>
      <c r="IL26" s="321"/>
      <c r="IM26" s="321"/>
      <c r="IN26" s="321"/>
      <c r="IO26" s="321"/>
      <c r="IP26" s="321"/>
      <c r="IQ26" s="321"/>
      <c r="IR26" s="321"/>
      <c r="IS26" s="321"/>
      <c r="IT26" s="321"/>
      <c r="IU26" s="321"/>
      <c r="IV26" s="321"/>
    </row>
    <row r="27" spans="1:16" ht="18" customHeight="1">
      <c r="A27" s="561">
        <v>19</v>
      </c>
      <c r="B27" s="455"/>
      <c r="C27" s="361"/>
      <c r="D27" s="755" t="s">
        <v>303</v>
      </c>
      <c r="E27" s="330">
        <f>F27+G27+O28+P27</f>
        <v>76282</v>
      </c>
      <c r="F27" s="330">
        <v>10737</v>
      </c>
      <c r="G27" s="331">
        <v>25052</v>
      </c>
      <c r="H27" s="762"/>
      <c r="I27" s="778"/>
      <c r="J27" s="772"/>
      <c r="K27" s="772"/>
      <c r="L27" s="772"/>
      <c r="M27" s="772"/>
      <c r="N27" s="772">
        <v>40493</v>
      </c>
      <c r="O27" s="745">
        <f>SUM(I27:N27)</f>
        <v>40493</v>
      </c>
      <c r="P27" s="551"/>
    </row>
    <row r="28" spans="1:16" ht="18" customHeight="1">
      <c r="A28" s="561">
        <v>20</v>
      </c>
      <c r="B28" s="455"/>
      <c r="C28" s="361"/>
      <c r="D28" s="436" t="s">
        <v>994</v>
      </c>
      <c r="E28" s="330"/>
      <c r="F28" s="330"/>
      <c r="G28" s="331"/>
      <c r="H28" s="762"/>
      <c r="I28" s="778"/>
      <c r="J28" s="772"/>
      <c r="K28" s="772"/>
      <c r="L28" s="772"/>
      <c r="M28" s="772"/>
      <c r="N28" s="1302">
        <v>40493</v>
      </c>
      <c r="O28" s="555">
        <f>SUM(I28:N28)</f>
        <v>40493</v>
      </c>
      <c r="P28" s="551"/>
    </row>
    <row r="29" spans="1:16" ht="18" customHeight="1">
      <c r="A29" s="561">
        <v>21</v>
      </c>
      <c r="B29" s="455"/>
      <c r="C29" s="361"/>
      <c r="D29" s="987" t="s">
        <v>1036</v>
      </c>
      <c r="E29" s="330"/>
      <c r="F29" s="330"/>
      <c r="G29" s="331"/>
      <c r="H29" s="762"/>
      <c r="I29" s="760"/>
      <c r="J29" s="330"/>
      <c r="K29" s="330"/>
      <c r="L29" s="330"/>
      <c r="M29" s="330"/>
      <c r="N29" s="1151">
        <v>0</v>
      </c>
      <c r="O29" s="1175">
        <f>SUM(I29:N29)</f>
        <v>0</v>
      </c>
      <c r="P29" s="551"/>
    </row>
    <row r="30" spans="1:256" s="546" customFormat="1" ht="22.5" customHeight="1">
      <c r="A30" s="561">
        <v>22</v>
      </c>
      <c r="B30" s="554"/>
      <c r="C30" s="361">
        <v>6</v>
      </c>
      <c r="D30" s="323" t="s">
        <v>856</v>
      </c>
      <c r="E30" s="330"/>
      <c r="F30" s="550"/>
      <c r="G30" s="331"/>
      <c r="H30" s="762" t="s">
        <v>24</v>
      </c>
      <c r="I30" s="777"/>
      <c r="J30" s="773"/>
      <c r="K30" s="773"/>
      <c r="L30" s="773"/>
      <c r="M30" s="773"/>
      <c r="N30" s="773"/>
      <c r="O30" s="555"/>
      <c r="P30" s="55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321"/>
      <c r="BC30" s="321"/>
      <c r="BD30" s="321"/>
      <c r="BE30" s="321"/>
      <c r="BF30" s="321"/>
      <c r="BG30" s="321"/>
      <c r="BH30" s="321"/>
      <c r="BI30" s="321"/>
      <c r="BJ30" s="321"/>
      <c r="BK30" s="321"/>
      <c r="BL30" s="321"/>
      <c r="BM30" s="321"/>
      <c r="BN30" s="321"/>
      <c r="BO30" s="321"/>
      <c r="BP30" s="321"/>
      <c r="BQ30" s="321"/>
      <c r="BR30" s="321"/>
      <c r="BS30" s="321"/>
      <c r="BT30" s="321"/>
      <c r="BU30" s="321"/>
      <c r="BV30" s="321"/>
      <c r="BW30" s="321"/>
      <c r="BX30" s="321"/>
      <c r="BY30" s="321"/>
      <c r="BZ30" s="321"/>
      <c r="CA30" s="321"/>
      <c r="CB30" s="321"/>
      <c r="CC30" s="321"/>
      <c r="CD30" s="321"/>
      <c r="CE30" s="321"/>
      <c r="CF30" s="321"/>
      <c r="CG30" s="321"/>
      <c r="CH30" s="321"/>
      <c r="CI30" s="321"/>
      <c r="CJ30" s="321"/>
      <c r="CK30" s="321"/>
      <c r="CL30" s="321"/>
      <c r="CM30" s="321"/>
      <c r="CN30" s="321"/>
      <c r="CO30" s="321"/>
      <c r="CP30" s="321"/>
      <c r="CQ30" s="321"/>
      <c r="CR30" s="321"/>
      <c r="CS30" s="321"/>
      <c r="CT30" s="321"/>
      <c r="CU30" s="321"/>
      <c r="CV30" s="321"/>
      <c r="CW30" s="321"/>
      <c r="CX30" s="321"/>
      <c r="CY30" s="321"/>
      <c r="CZ30" s="321"/>
      <c r="DA30" s="321"/>
      <c r="DB30" s="321"/>
      <c r="DC30" s="321"/>
      <c r="DD30" s="321"/>
      <c r="DE30" s="321"/>
      <c r="DF30" s="321"/>
      <c r="DG30" s="321"/>
      <c r="DH30" s="321"/>
      <c r="DI30" s="321"/>
      <c r="DJ30" s="321"/>
      <c r="DK30" s="321"/>
      <c r="DL30" s="321"/>
      <c r="DM30" s="321"/>
      <c r="DN30" s="321"/>
      <c r="DO30" s="321"/>
      <c r="DP30" s="321"/>
      <c r="DQ30" s="321"/>
      <c r="DR30" s="321"/>
      <c r="DS30" s="321"/>
      <c r="DT30" s="321"/>
      <c r="DU30" s="321"/>
      <c r="DV30" s="321"/>
      <c r="DW30" s="321"/>
      <c r="DX30" s="321"/>
      <c r="DY30" s="321"/>
      <c r="DZ30" s="321"/>
      <c r="EA30" s="321"/>
      <c r="EB30" s="321"/>
      <c r="EC30" s="321"/>
      <c r="ED30" s="321"/>
      <c r="EE30" s="321"/>
      <c r="EF30" s="321"/>
      <c r="EG30" s="321"/>
      <c r="EH30" s="321"/>
      <c r="EI30" s="321"/>
      <c r="EJ30" s="321"/>
      <c r="EK30" s="321"/>
      <c r="EL30" s="321"/>
      <c r="EM30" s="321"/>
      <c r="EN30" s="321"/>
      <c r="EO30" s="321"/>
      <c r="EP30" s="321"/>
      <c r="EQ30" s="321"/>
      <c r="ER30" s="321"/>
      <c r="ES30" s="321"/>
      <c r="ET30" s="321"/>
      <c r="EU30" s="321"/>
      <c r="EV30" s="321"/>
      <c r="EW30" s="321"/>
      <c r="EX30" s="321"/>
      <c r="EY30" s="321"/>
      <c r="EZ30" s="321"/>
      <c r="FA30" s="321"/>
      <c r="FB30" s="321"/>
      <c r="FC30" s="321"/>
      <c r="FD30" s="321"/>
      <c r="FE30" s="321"/>
      <c r="FF30" s="321"/>
      <c r="FG30" s="321"/>
      <c r="FH30" s="321"/>
      <c r="FI30" s="321"/>
      <c r="FJ30" s="321"/>
      <c r="FK30" s="321"/>
      <c r="FL30" s="321"/>
      <c r="FM30" s="321"/>
      <c r="FN30" s="321"/>
      <c r="FO30" s="321"/>
      <c r="FP30" s="321"/>
      <c r="FQ30" s="321"/>
      <c r="FR30" s="321"/>
      <c r="FS30" s="321"/>
      <c r="FT30" s="321"/>
      <c r="FU30" s="321"/>
      <c r="FV30" s="321"/>
      <c r="FW30" s="321"/>
      <c r="FX30" s="321"/>
      <c r="FY30" s="321"/>
      <c r="FZ30" s="321"/>
      <c r="GA30" s="321"/>
      <c r="GB30" s="321"/>
      <c r="GC30" s="321"/>
      <c r="GD30" s="321"/>
      <c r="GE30" s="321"/>
      <c r="GF30" s="321"/>
      <c r="GG30" s="321"/>
      <c r="GH30" s="321"/>
      <c r="GI30" s="321"/>
      <c r="GJ30" s="321"/>
      <c r="GK30" s="321"/>
      <c r="GL30" s="321"/>
      <c r="GM30" s="321"/>
      <c r="GN30" s="321"/>
      <c r="GO30" s="321"/>
      <c r="GP30" s="321"/>
      <c r="GQ30" s="321"/>
      <c r="GR30" s="321"/>
      <c r="GS30" s="321"/>
      <c r="GT30" s="321"/>
      <c r="GU30" s="321"/>
      <c r="GV30" s="321"/>
      <c r="GW30" s="321"/>
      <c r="GX30" s="321"/>
      <c r="GY30" s="321"/>
      <c r="GZ30" s="321"/>
      <c r="HA30" s="321"/>
      <c r="HB30" s="321"/>
      <c r="HC30" s="321"/>
      <c r="HD30" s="321"/>
      <c r="HE30" s="321"/>
      <c r="HF30" s="321"/>
      <c r="HG30" s="321"/>
      <c r="HH30" s="321"/>
      <c r="HI30" s="321"/>
      <c r="HJ30" s="321"/>
      <c r="HK30" s="321"/>
      <c r="HL30" s="321"/>
      <c r="HM30" s="321"/>
      <c r="HN30" s="321"/>
      <c r="HO30" s="321"/>
      <c r="HP30" s="321"/>
      <c r="HQ30" s="321"/>
      <c r="HR30" s="321"/>
      <c r="HS30" s="321"/>
      <c r="HT30" s="321"/>
      <c r="HU30" s="321"/>
      <c r="HV30" s="321"/>
      <c r="HW30" s="321"/>
      <c r="HX30" s="321"/>
      <c r="HY30" s="321"/>
      <c r="HZ30" s="321"/>
      <c r="IA30" s="321"/>
      <c r="IB30" s="321"/>
      <c r="IC30" s="321"/>
      <c r="ID30" s="321"/>
      <c r="IE30" s="321"/>
      <c r="IF30" s="321"/>
      <c r="IG30" s="321"/>
      <c r="IH30" s="321"/>
      <c r="II30" s="321"/>
      <c r="IJ30" s="321"/>
      <c r="IK30" s="321"/>
      <c r="IL30" s="321"/>
      <c r="IM30" s="321"/>
      <c r="IN30" s="321"/>
      <c r="IO30" s="321"/>
      <c r="IP30" s="321"/>
      <c r="IQ30" s="321"/>
      <c r="IR30" s="321"/>
      <c r="IS30" s="321"/>
      <c r="IT30" s="321"/>
      <c r="IU30" s="321"/>
      <c r="IV30" s="321"/>
    </row>
    <row r="31" spans="1:16" ht="18" customHeight="1">
      <c r="A31" s="561">
        <v>23</v>
      </c>
      <c r="B31" s="455"/>
      <c r="C31" s="361"/>
      <c r="D31" s="755" t="s">
        <v>303</v>
      </c>
      <c r="E31" s="330">
        <f>F31+G31+O32+P31</f>
        <v>250000</v>
      </c>
      <c r="F31" s="550"/>
      <c r="G31" s="331"/>
      <c r="H31" s="762"/>
      <c r="I31" s="777"/>
      <c r="J31" s="773"/>
      <c r="K31" s="773">
        <v>500</v>
      </c>
      <c r="L31" s="773"/>
      <c r="M31" s="773">
        <v>249500</v>
      </c>
      <c r="N31" s="773"/>
      <c r="O31" s="745">
        <f>SUM(I31:N31)</f>
        <v>250000</v>
      </c>
      <c r="P31" s="551"/>
    </row>
    <row r="32" spans="1:16" ht="18" customHeight="1">
      <c r="A32" s="561">
        <v>24</v>
      </c>
      <c r="B32" s="455"/>
      <c r="C32" s="361"/>
      <c r="D32" s="436" t="s">
        <v>994</v>
      </c>
      <c r="E32" s="330"/>
      <c r="F32" s="550"/>
      <c r="G32" s="331"/>
      <c r="H32" s="762"/>
      <c r="I32" s="777"/>
      <c r="J32" s="773"/>
      <c r="K32" s="1131">
        <v>500</v>
      </c>
      <c r="L32" s="1131"/>
      <c r="M32" s="1131">
        <v>249500</v>
      </c>
      <c r="N32" s="1131"/>
      <c r="O32" s="555">
        <f>SUM(I32:N32)</f>
        <v>250000</v>
      </c>
      <c r="P32" s="551"/>
    </row>
    <row r="33" spans="1:16" ht="18" customHeight="1">
      <c r="A33" s="561">
        <v>25</v>
      </c>
      <c r="B33" s="455"/>
      <c r="C33" s="361"/>
      <c r="D33" s="987" t="s">
        <v>1036</v>
      </c>
      <c r="E33" s="330"/>
      <c r="F33" s="550"/>
      <c r="G33" s="331"/>
      <c r="H33" s="762"/>
      <c r="I33" s="758"/>
      <c r="J33" s="547"/>
      <c r="K33" s="1460">
        <v>0</v>
      </c>
      <c r="L33" s="1460"/>
      <c r="M33" s="1460">
        <v>99177</v>
      </c>
      <c r="N33" s="547"/>
      <c r="O33" s="1175">
        <f>SUM(I33:N33)</f>
        <v>99177</v>
      </c>
      <c r="P33" s="551"/>
    </row>
    <row r="34" spans="1:16" ht="22.5" customHeight="1">
      <c r="A34" s="561">
        <v>26</v>
      </c>
      <c r="B34" s="455"/>
      <c r="C34" s="361">
        <v>7</v>
      </c>
      <c r="D34" s="558" t="s">
        <v>898</v>
      </c>
      <c r="E34" s="330"/>
      <c r="F34" s="550"/>
      <c r="G34" s="331"/>
      <c r="H34" s="762" t="s">
        <v>24</v>
      </c>
      <c r="I34" s="777"/>
      <c r="J34" s="773"/>
      <c r="K34" s="773"/>
      <c r="L34" s="773"/>
      <c r="M34" s="773"/>
      <c r="N34" s="773"/>
      <c r="O34" s="555"/>
      <c r="P34" s="551"/>
    </row>
    <row r="35" spans="1:256" s="546" customFormat="1" ht="18" customHeight="1">
      <c r="A35" s="561">
        <v>27</v>
      </c>
      <c r="B35" s="554"/>
      <c r="C35" s="322"/>
      <c r="D35" s="755" t="s">
        <v>303</v>
      </c>
      <c r="E35" s="330">
        <f>F35+G35+O36+P35</f>
        <v>957296</v>
      </c>
      <c r="F35" s="550"/>
      <c r="G35" s="331">
        <v>820</v>
      </c>
      <c r="H35" s="762"/>
      <c r="I35" s="777"/>
      <c r="J35" s="773"/>
      <c r="K35" s="773"/>
      <c r="L35" s="773"/>
      <c r="M35" s="773">
        <v>360738</v>
      </c>
      <c r="N35" s="773"/>
      <c r="O35" s="745">
        <f>SUM(I35:N35)</f>
        <v>360738</v>
      </c>
      <c r="P35" s="551">
        <f>611414-7838-603576</f>
        <v>0</v>
      </c>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1"/>
      <c r="BR35" s="321"/>
      <c r="BS35" s="321"/>
      <c r="BT35" s="321"/>
      <c r="BU35" s="321"/>
      <c r="BV35" s="321"/>
      <c r="BW35" s="321"/>
      <c r="BX35" s="321"/>
      <c r="BY35" s="321"/>
      <c r="BZ35" s="321"/>
      <c r="CA35" s="321"/>
      <c r="CB35" s="321"/>
      <c r="CC35" s="321"/>
      <c r="CD35" s="321"/>
      <c r="CE35" s="321"/>
      <c r="CF35" s="321"/>
      <c r="CG35" s="321"/>
      <c r="CH35" s="321"/>
      <c r="CI35" s="321"/>
      <c r="CJ35" s="321"/>
      <c r="CK35" s="321"/>
      <c r="CL35" s="321"/>
      <c r="CM35" s="321"/>
      <c r="CN35" s="321"/>
      <c r="CO35" s="321"/>
      <c r="CP35" s="321"/>
      <c r="CQ35" s="321"/>
      <c r="CR35" s="321"/>
      <c r="CS35" s="321"/>
      <c r="CT35" s="321"/>
      <c r="CU35" s="321"/>
      <c r="CV35" s="321"/>
      <c r="CW35" s="321"/>
      <c r="CX35" s="321"/>
      <c r="CY35" s="321"/>
      <c r="CZ35" s="321"/>
      <c r="DA35" s="321"/>
      <c r="DB35" s="321"/>
      <c r="DC35" s="321"/>
      <c r="DD35" s="321"/>
      <c r="DE35" s="321"/>
      <c r="DF35" s="321"/>
      <c r="DG35" s="321"/>
      <c r="DH35" s="321"/>
      <c r="DI35" s="321"/>
      <c r="DJ35" s="321"/>
      <c r="DK35" s="321"/>
      <c r="DL35" s="321"/>
      <c r="DM35" s="321"/>
      <c r="DN35" s="321"/>
      <c r="DO35" s="321"/>
      <c r="DP35" s="321"/>
      <c r="DQ35" s="321"/>
      <c r="DR35" s="321"/>
      <c r="DS35" s="321"/>
      <c r="DT35" s="321"/>
      <c r="DU35" s="321"/>
      <c r="DV35" s="321"/>
      <c r="DW35" s="321"/>
      <c r="DX35" s="321"/>
      <c r="DY35" s="321"/>
      <c r="DZ35" s="321"/>
      <c r="EA35" s="321"/>
      <c r="EB35" s="321"/>
      <c r="EC35" s="321"/>
      <c r="ED35" s="321"/>
      <c r="EE35" s="321"/>
      <c r="EF35" s="321"/>
      <c r="EG35" s="321"/>
      <c r="EH35" s="321"/>
      <c r="EI35" s="321"/>
      <c r="EJ35" s="321"/>
      <c r="EK35" s="321"/>
      <c r="EL35" s="321"/>
      <c r="EM35" s="321"/>
      <c r="EN35" s="321"/>
      <c r="EO35" s="321"/>
      <c r="EP35" s="321"/>
      <c r="EQ35" s="321"/>
      <c r="ER35" s="321"/>
      <c r="ES35" s="321"/>
      <c r="ET35" s="321"/>
      <c r="EU35" s="321"/>
      <c r="EV35" s="321"/>
      <c r="EW35" s="321"/>
      <c r="EX35" s="321"/>
      <c r="EY35" s="321"/>
      <c r="EZ35" s="321"/>
      <c r="FA35" s="321"/>
      <c r="FB35" s="321"/>
      <c r="FC35" s="321"/>
      <c r="FD35" s="321"/>
      <c r="FE35" s="321"/>
      <c r="FF35" s="321"/>
      <c r="FG35" s="321"/>
      <c r="FH35" s="321"/>
      <c r="FI35" s="321"/>
      <c r="FJ35" s="321"/>
      <c r="FK35" s="321"/>
      <c r="FL35" s="321"/>
      <c r="FM35" s="321"/>
      <c r="FN35" s="321"/>
      <c r="FO35" s="321"/>
      <c r="FP35" s="321"/>
      <c r="FQ35" s="321"/>
      <c r="FR35" s="321"/>
      <c r="FS35" s="321"/>
      <c r="FT35" s="321"/>
      <c r="FU35" s="321"/>
      <c r="FV35" s="321"/>
      <c r="FW35" s="321"/>
      <c r="FX35" s="321"/>
      <c r="FY35" s="321"/>
      <c r="FZ35" s="321"/>
      <c r="GA35" s="321"/>
      <c r="GB35" s="321"/>
      <c r="GC35" s="321"/>
      <c r="GD35" s="321"/>
      <c r="GE35" s="321"/>
      <c r="GF35" s="321"/>
      <c r="GG35" s="321"/>
      <c r="GH35" s="321"/>
      <c r="GI35" s="321"/>
      <c r="GJ35" s="321"/>
      <c r="GK35" s="321"/>
      <c r="GL35" s="321"/>
      <c r="GM35" s="321"/>
      <c r="GN35" s="321"/>
      <c r="GO35" s="321"/>
      <c r="GP35" s="321"/>
      <c r="GQ35" s="321"/>
      <c r="GR35" s="321"/>
      <c r="GS35" s="321"/>
      <c r="GT35" s="321"/>
      <c r="GU35" s="321"/>
      <c r="GV35" s="321"/>
      <c r="GW35" s="321"/>
      <c r="GX35" s="321"/>
      <c r="GY35" s="321"/>
      <c r="GZ35" s="321"/>
      <c r="HA35" s="321"/>
      <c r="HB35" s="321"/>
      <c r="HC35" s="321"/>
      <c r="HD35" s="321"/>
      <c r="HE35" s="321"/>
      <c r="HF35" s="321"/>
      <c r="HG35" s="321"/>
      <c r="HH35" s="321"/>
      <c r="HI35" s="321"/>
      <c r="HJ35" s="321"/>
      <c r="HK35" s="321"/>
      <c r="HL35" s="321"/>
      <c r="HM35" s="321"/>
      <c r="HN35" s="321"/>
      <c r="HO35" s="321"/>
      <c r="HP35" s="321"/>
      <c r="HQ35" s="321"/>
      <c r="HR35" s="321"/>
      <c r="HS35" s="321"/>
      <c r="HT35" s="321"/>
      <c r="HU35" s="321"/>
      <c r="HV35" s="321"/>
      <c r="HW35" s="321"/>
      <c r="HX35" s="321"/>
      <c r="HY35" s="321"/>
      <c r="HZ35" s="321"/>
      <c r="IA35" s="321"/>
      <c r="IB35" s="321"/>
      <c r="IC35" s="321"/>
      <c r="ID35" s="321"/>
      <c r="IE35" s="321"/>
      <c r="IF35" s="321"/>
      <c r="IG35" s="321"/>
      <c r="IH35" s="321"/>
      <c r="II35" s="321"/>
      <c r="IJ35" s="321"/>
      <c r="IK35" s="321"/>
      <c r="IL35" s="321"/>
      <c r="IM35" s="321"/>
      <c r="IN35" s="321"/>
      <c r="IO35" s="321"/>
      <c r="IP35" s="321"/>
      <c r="IQ35" s="321"/>
      <c r="IR35" s="321"/>
      <c r="IS35" s="321"/>
      <c r="IT35" s="321"/>
      <c r="IU35" s="321"/>
      <c r="IV35" s="321"/>
    </row>
    <row r="36" spans="1:256" s="546" customFormat="1" ht="18" customHeight="1">
      <c r="A36" s="561">
        <v>28</v>
      </c>
      <c r="B36" s="554"/>
      <c r="C36" s="322"/>
      <c r="D36" s="436" t="s">
        <v>994</v>
      </c>
      <c r="E36" s="330"/>
      <c r="F36" s="550"/>
      <c r="G36" s="331"/>
      <c r="H36" s="762"/>
      <c r="I36" s="777"/>
      <c r="J36" s="773"/>
      <c r="K36" s="1131">
        <v>676</v>
      </c>
      <c r="L36" s="773"/>
      <c r="M36" s="1131">
        <v>955800</v>
      </c>
      <c r="N36" s="547"/>
      <c r="O36" s="555">
        <f>SUM(I36:N36)</f>
        <v>956476</v>
      </c>
      <c r="P36" s="55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c r="BF36" s="321"/>
      <c r="BG36" s="321"/>
      <c r="BH36" s="321"/>
      <c r="BI36" s="321"/>
      <c r="BJ36" s="321"/>
      <c r="BK36" s="321"/>
      <c r="BL36" s="321"/>
      <c r="BM36" s="321"/>
      <c r="BN36" s="321"/>
      <c r="BO36" s="321"/>
      <c r="BP36" s="321"/>
      <c r="BQ36" s="321"/>
      <c r="BR36" s="321"/>
      <c r="BS36" s="321"/>
      <c r="BT36" s="321"/>
      <c r="BU36" s="321"/>
      <c r="BV36" s="321"/>
      <c r="BW36" s="321"/>
      <c r="BX36" s="321"/>
      <c r="BY36" s="321"/>
      <c r="BZ36" s="321"/>
      <c r="CA36" s="321"/>
      <c r="CB36" s="321"/>
      <c r="CC36" s="321"/>
      <c r="CD36" s="321"/>
      <c r="CE36" s="321"/>
      <c r="CF36" s="321"/>
      <c r="CG36" s="321"/>
      <c r="CH36" s="321"/>
      <c r="CI36" s="321"/>
      <c r="CJ36" s="321"/>
      <c r="CK36" s="321"/>
      <c r="CL36" s="321"/>
      <c r="CM36" s="321"/>
      <c r="CN36" s="321"/>
      <c r="CO36" s="321"/>
      <c r="CP36" s="321"/>
      <c r="CQ36" s="321"/>
      <c r="CR36" s="321"/>
      <c r="CS36" s="321"/>
      <c r="CT36" s="321"/>
      <c r="CU36" s="321"/>
      <c r="CV36" s="321"/>
      <c r="CW36" s="321"/>
      <c r="CX36" s="321"/>
      <c r="CY36" s="321"/>
      <c r="CZ36" s="321"/>
      <c r="DA36" s="321"/>
      <c r="DB36" s="321"/>
      <c r="DC36" s="321"/>
      <c r="DD36" s="321"/>
      <c r="DE36" s="321"/>
      <c r="DF36" s="321"/>
      <c r="DG36" s="321"/>
      <c r="DH36" s="321"/>
      <c r="DI36" s="321"/>
      <c r="DJ36" s="321"/>
      <c r="DK36" s="321"/>
      <c r="DL36" s="321"/>
      <c r="DM36" s="321"/>
      <c r="DN36" s="321"/>
      <c r="DO36" s="321"/>
      <c r="DP36" s="321"/>
      <c r="DQ36" s="321"/>
      <c r="DR36" s="321"/>
      <c r="DS36" s="321"/>
      <c r="DT36" s="321"/>
      <c r="DU36" s="321"/>
      <c r="DV36" s="321"/>
      <c r="DW36" s="321"/>
      <c r="DX36" s="321"/>
      <c r="DY36" s="321"/>
      <c r="DZ36" s="321"/>
      <c r="EA36" s="321"/>
      <c r="EB36" s="321"/>
      <c r="EC36" s="321"/>
      <c r="ED36" s="321"/>
      <c r="EE36" s="321"/>
      <c r="EF36" s="321"/>
      <c r="EG36" s="321"/>
      <c r="EH36" s="321"/>
      <c r="EI36" s="321"/>
      <c r="EJ36" s="321"/>
      <c r="EK36" s="321"/>
      <c r="EL36" s="321"/>
      <c r="EM36" s="321"/>
      <c r="EN36" s="321"/>
      <c r="EO36" s="321"/>
      <c r="EP36" s="321"/>
      <c r="EQ36" s="321"/>
      <c r="ER36" s="321"/>
      <c r="ES36" s="321"/>
      <c r="ET36" s="321"/>
      <c r="EU36" s="321"/>
      <c r="EV36" s="321"/>
      <c r="EW36" s="321"/>
      <c r="EX36" s="321"/>
      <c r="EY36" s="321"/>
      <c r="EZ36" s="321"/>
      <c r="FA36" s="321"/>
      <c r="FB36" s="321"/>
      <c r="FC36" s="321"/>
      <c r="FD36" s="321"/>
      <c r="FE36" s="321"/>
      <c r="FF36" s="321"/>
      <c r="FG36" s="321"/>
      <c r="FH36" s="321"/>
      <c r="FI36" s="321"/>
      <c r="FJ36" s="321"/>
      <c r="FK36" s="321"/>
      <c r="FL36" s="321"/>
      <c r="FM36" s="321"/>
      <c r="FN36" s="321"/>
      <c r="FO36" s="321"/>
      <c r="FP36" s="321"/>
      <c r="FQ36" s="321"/>
      <c r="FR36" s="321"/>
      <c r="FS36" s="321"/>
      <c r="FT36" s="321"/>
      <c r="FU36" s="321"/>
      <c r="FV36" s="321"/>
      <c r="FW36" s="321"/>
      <c r="FX36" s="321"/>
      <c r="FY36" s="321"/>
      <c r="FZ36" s="321"/>
      <c r="GA36" s="321"/>
      <c r="GB36" s="321"/>
      <c r="GC36" s="321"/>
      <c r="GD36" s="321"/>
      <c r="GE36" s="321"/>
      <c r="GF36" s="321"/>
      <c r="GG36" s="321"/>
      <c r="GH36" s="321"/>
      <c r="GI36" s="321"/>
      <c r="GJ36" s="321"/>
      <c r="GK36" s="321"/>
      <c r="GL36" s="321"/>
      <c r="GM36" s="321"/>
      <c r="GN36" s="321"/>
      <c r="GO36" s="321"/>
      <c r="GP36" s="321"/>
      <c r="GQ36" s="321"/>
      <c r="GR36" s="321"/>
      <c r="GS36" s="321"/>
      <c r="GT36" s="321"/>
      <c r="GU36" s="321"/>
      <c r="GV36" s="321"/>
      <c r="GW36" s="321"/>
      <c r="GX36" s="321"/>
      <c r="GY36" s="321"/>
      <c r="GZ36" s="321"/>
      <c r="HA36" s="321"/>
      <c r="HB36" s="321"/>
      <c r="HC36" s="321"/>
      <c r="HD36" s="321"/>
      <c r="HE36" s="321"/>
      <c r="HF36" s="321"/>
      <c r="HG36" s="321"/>
      <c r="HH36" s="321"/>
      <c r="HI36" s="321"/>
      <c r="HJ36" s="321"/>
      <c r="HK36" s="321"/>
      <c r="HL36" s="321"/>
      <c r="HM36" s="321"/>
      <c r="HN36" s="321"/>
      <c r="HO36" s="321"/>
      <c r="HP36" s="321"/>
      <c r="HQ36" s="321"/>
      <c r="HR36" s="321"/>
      <c r="HS36" s="321"/>
      <c r="HT36" s="321"/>
      <c r="HU36" s="321"/>
      <c r="HV36" s="321"/>
      <c r="HW36" s="321"/>
      <c r="HX36" s="321"/>
      <c r="HY36" s="321"/>
      <c r="HZ36" s="321"/>
      <c r="IA36" s="321"/>
      <c r="IB36" s="321"/>
      <c r="IC36" s="321"/>
      <c r="ID36" s="321"/>
      <c r="IE36" s="321"/>
      <c r="IF36" s="321"/>
      <c r="IG36" s="321"/>
      <c r="IH36" s="321"/>
      <c r="II36" s="321"/>
      <c r="IJ36" s="321"/>
      <c r="IK36" s="321"/>
      <c r="IL36" s="321"/>
      <c r="IM36" s="321"/>
      <c r="IN36" s="321"/>
      <c r="IO36" s="321"/>
      <c r="IP36" s="321"/>
      <c r="IQ36" s="321"/>
      <c r="IR36" s="321"/>
      <c r="IS36" s="321"/>
      <c r="IT36" s="321"/>
      <c r="IU36" s="321"/>
      <c r="IV36" s="321"/>
    </row>
    <row r="37" spans="1:256" s="546" customFormat="1" ht="18" customHeight="1">
      <c r="A37" s="561">
        <v>29</v>
      </c>
      <c r="B37" s="554"/>
      <c r="C37" s="322"/>
      <c r="D37" s="987" t="s">
        <v>1035</v>
      </c>
      <c r="E37" s="330"/>
      <c r="F37" s="550"/>
      <c r="G37" s="331"/>
      <c r="H37" s="762"/>
      <c r="I37" s="758"/>
      <c r="J37" s="547"/>
      <c r="K37" s="1460">
        <v>112</v>
      </c>
      <c r="L37" s="1460"/>
      <c r="M37" s="1460">
        <v>202272</v>
      </c>
      <c r="N37" s="547"/>
      <c r="O37" s="1175">
        <f>SUM(I37:N37)</f>
        <v>202384</v>
      </c>
      <c r="P37" s="55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c r="BF37" s="321"/>
      <c r="BG37" s="321"/>
      <c r="BH37" s="321"/>
      <c r="BI37" s="321"/>
      <c r="BJ37" s="321"/>
      <c r="BK37" s="321"/>
      <c r="BL37" s="321"/>
      <c r="BM37" s="321"/>
      <c r="BN37" s="321"/>
      <c r="BO37" s="321"/>
      <c r="BP37" s="321"/>
      <c r="BQ37" s="321"/>
      <c r="BR37" s="321"/>
      <c r="BS37" s="321"/>
      <c r="BT37" s="321"/>
      <c r="BU37" s="321"/>
      <c r="BV37" s="321"/>
      <c r="BW37" s="321"/>
      <c r="BX37" s="321"/>
      <c r="BY37" s="321"/>
      <c r="BZ37" s="321"/>
      <c r="CA37" s="321"/>
      <c r="CB37" s="321"/>
      <c r="CC37" s="321"/>
      <c r="CD37" s="321"/>
      <c r="CE37" s="321"/>
      <c r="CF37" s="321"/>
      <c r="CG37" s="321"/>
      <c r="CH37" s="321"/>
      <c r="CI37" s="321"/>
      <c r="CJ37" s="321"/>
      <c r="CK37" s="321"/>
      <c r="CL37" s="321"/>
      <c r="CM37" s="321"/>
      <c r="CN37" s="321"/>
      <c r="CO37" s="321"/>
      <c r="CP37" s="321"/>
      <c r="CQ37" s="321"/>
      <c r="CR37" s="321"/>
      <c r="CS37" s="321"/>
      <c r="CT37" s="321"/>
      <c r="CU37" s="321"/>
      <c r="CV37" s="321"/>
      <c r="CW37" s="321"/>
      <c r="CX37" s="321"/>
      <c r="CY37" s="321"/>
      <c r="CZ37" s="321"/>
      <c r="DA37" s="321"/>
      <c r="DB37" s="321"/>
      <c r="DC37" s="321"/>
      <c r="DD37" s="321"/>
      <c r="DE37" s="321"/>
      <c r="DF37" s="321"/>
      <c r="DG37" s="321"/>
      <c r="DH37" s="321"/>
      <c r="DI37" s="321"/>
      <c r="DJ37" s="321"/>
      <c r="DK37" s="321"/>
      <c r="DL37" s="321"/>
      <c r="DM37" s="321"/>
      <c r="DN37" s="321"/>
      <c r="DO37" s="321"/>
      <c r="DP37" s="321"/>
      <c r="DQ37" s="321"/>
      <c r="DR37" s="321"/>
      <c r="DS37" s="321"/>
      <c r="DT37" s="321"/>
      <c r="DU37" s="321"/>
      <c r="DV37" s="321"/>
      <c r="DW37" s="321"/>
      <c r="DX37" s="321"/>
      <c r="DY37" s="321"/>
      <c r="DZ37" s="321"/>
      <c r="EA37" s="321"/>
      <c r="EB37" s="321"/>
      <c r="EC37" s="321"/>
      <c r="ED37" s="321"/>
      <c r="EE37" s="321"/>
      <c r="EF37" s="321"/>
      <c r="EG37" s="321"/>
      <c r="EH37" s="321"/>
      <c r="EI37" s="321"/>
      <c r="EJ37" s="321"/>
      <c r="EK37" s="321"/>
      <c r="EL37" s="321"/>
      <c r="EM37" s="321"/>
      <c r="EN37" s="321"/>
      <c r="EO37" s="321"/>
      <c r="EP37" s="321"/>
      <c r="EQ37" s="321"/>
      <c r="ER37" s="321"/>
      <c r="ES37" s="321"/>
      <c r="ET37" s="321"/>
      <c r="EU37" s="321"/>
      <c r="EV37" s="321"/>
      <c r="EW37" s="321"/>
      <c r="EX37" s="321"/>
      <c r="EY37" s="321"/>
      <c r="EZ37" s="321"/>
      <c r="FA37" s="321"/>
      <c r="FB37" s="321"/>
      <c r="FC37" s="321"/>
      <c r="FD37" s="321"/>
      <c r="FE37" s="321"/>
      <c r="FF37" s="321"/>
      <c r="FG37" s="321"/>
      <c r="FH37" s="321"/>
      <c r="FI37" s="321"/>
      <c r="FJ37" s="321"/>
      <c r="FK37" s="321"/>
      <c r="FL37" s="321"/>
      <c r="FM37" s="321"/>
      <c r="FN37" s="321"/>
      <c r="FO37" s="321"/>
      <c r="FP37" s="321"/>
      <c r="FQ37" s="321"/>
      <c r="FR37" s="321"/>
      <c r="FS37" s="321"/>
      <c r="FT37" s="321"/>
      <c r="FU37" s="321"/>
      <c r="FV37" s="321"/>
      <c r="FW37" s="321"/>
      <c r="FX37" s="321"/>
      <c r="FY37" s="321"/>
      <c r="FZ37" s="321"/>
      <c r="GA37" s="321"/>
      <c r="GB37" s="321"/>
      <c r="GC37" s="321"/>
      <c r="GD37" s="321"/>
      <c r="GE37" s="321"/>
      <c r="GF37" s="321"/>
      <c r="GG37" s="321"/>
      <c r="GH37" s="321"/>
      <c r="GI37" s="321"/>
      <c r="GJ37" s="321"/>
      <c r="GK37" s="321"/>
      <c r="GL37" s="321"/>
      <c r="GM37" s="321"/>
      <c r="GN37" s="321"/>
      <c r="GO37" s="321"/>
      <c r="GP37" s="321"/>
      <c r="GQ37" s="321"/>
      <c r="GR37" s="321"/>
      <c r="GS37" s="321"/>
      <c r="GT37" s="321"/>
      <c r="GU37" s="321"/>
      <c r="GV37" s="321"/>
      <c r="GW37" s="321"/>
      <c r="GX37" s="321"/>
      <c r="GY37" s="321"/>
      <c r="GZ37" s="321"/>
      <c r="HA37" s="321"/>
      <c r="HB37" s="321"/>
      <c r="HC37" s="321"/>
      <c r="HD37" s="321"/>
      <c r="HE37" s="321"/>
      <c r="HF37" s="321"/>
      <c r="HG37" s="321"/>
      <c r="HH37" s="321"/>
      <c r="HI37" s="321"/>
      <c r="HJ37" s="321"/>
      <c r="HK37" s="321"/>
      <c r="HL37" s="321"/>
      <c r="HM37" s="321"/>
      <c r="HN37" s="321"/>
      <c r="HO37" s="321"/>
      <c r="HP37" s="321"/>
      <c r="HQ37" s="321"/>
      <c r="HR37" s="321"/>
      <c r="HS37" s="321"/>
      <c r="HT37" s="321"/>
      <c r="HU37" s="321"/>
      <c r="HV37" s="321"/>
      <c r="HW37" s="321"/>
      <c r="HX37" s="321"/>
      <c r="HY37" s="321"/>
      <c r="HZ37" s="321"/>
      <c r="IA37" s="321"/>
      <c r="IB37" s="321"/>
      <c r="IC37" s="321"/>
      <c r="ID37" s="321"/>
      <c r="IE37" s="321"/>
      <c r="IF37" s="321"/>
      <c r="IG37" s="321"/>
      <c r="IH37" s="321"/>
      <c r="II37" s="321"/>
      <c r="IJ37" s="321"/>
      <c r="IK37" s="321"/>
      <c r="IL37" s="321"/>
      <c r="IM37" s="321"/>
      <c r="IN37" s="321"/>
      <c r="IO37" s="321"/>
      <c r="IP37" s="321"/>
      <c r="IQ37" s="321"/>
      <c r="IR37" s="321"/>
      <c r="IS37" s="321"/>
      <c r="IT37" s="321"/>
      <c r="IU37" s="321"/>
      <c r="IV37" s="321"/>
    </row>
    <row r="38" spans="1:16" ht="22.5" customHeight="1">
      <c r="A38" s="561">
        <v>30</v>
      </c>
      <c r="B38" s="455"/>
      <c r="C38" s="361">
        <v>8</v>
      </c>
      <c r="D38" s="565" t="s">
        <v>787</v>
      </c>
      <c r="E38" s="330"/>
      <c r="F38" s="550"/>
      <c r="G38" s="331"/>
      <c r="H38" s="762" t="s">
        <v>24</v>
      </c>
      <c r="I38" s="777"/>
      <c r="J38" s="773"/>
      <c r="K38" s="773"/>
      <c r="L38" s="773"/>
      <c r="M38" s="773"/>
      <c r="N38" s="773"/>
      <c r="O38" s="555"/>
      <c r="P38" s="551"/>
    </row>
    <row r="39" spans="1:256" s="546" customFormat="1" ht="18" customHeight="1">
      <c r="A39" s="561">
        <v>31</v>
      </c>
      <c r="B39" s="554"/>
      <c r="C39" s="361"/>
      <c r="D39" s="755" t="s">
        <v>303</v>
      </c>
      <c r="E39" s="330">
        <f>F39+G39+O40+P39</f>
        <v>3901162</v>
      </c>
      <c r="F39" s="550"/>
      <c r="G39" s="331"/>
      <c r="H39" s="762"/>
      <c r="I39" s="777"/>
      <c r="J39" s="773"/>
      <c r="K39" s="773"/>
      <c r="L39" s="773"/>
      <c r="M39" s="773">
        <v>981338</v>
      </c>
      <c r="N39" s="773"/>
      <c r="O39" s="745">
        <f>SUM(I39:N39)</f>
        <v>981338</v>
      </c>
      <c r="P39" s="551">
        <v>2919824</v>
      </c>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1"/>
      <c r="AY39" s="321"/>
      <c r="AZ39" s="321"/>
      <c r="BA39" s="321"/>
      <c r="BB39" s="321"/>
      <c r="BC39" s="321"/>
      <c r="BD39" s="321"/>
      <c r="BE39" s="321"/>
      <c r="BF39" s="321"/>
      <c r="BG39" s="321"/>
      <c r="BH39" s="321"/>
      <c r="BI39" s="321"/>
      <c r="BJ39" s="321"/>
      <c r="BK39" s="321"/>
      <c r="BL39" s="321"/>
      <c r="BM39" s="321"/>
      <c r="BN39" s="321"/>
      <c r="BO39" s="321"/>
      <c r="BP39" s="321"/>
      <c r="BQ39" s="321"/>
      <c r="BR39" s="321"/>
      <c r="BS39" s="321"/>
      <c r="BT39" s="321"/>
      <c r="BU39" s="321"/>
      <c r="BV39" s="321"/>
      <c r="BW39" s="321"/>
      <c r="BX39" s="321"/>
      <c r="BY39" s="321"/>
      <c r="BZ39" s="321"/>
      <c r="CA39" s="321"/>
      <c r="CB39" s="321"/>
      <c r="CC39" s="321"/>
      <c r="CD39" s="321"/>
      <c r="CE39" s="321"/>
      <c r="CF39" s="321"/>
      <c r="CG39" s="321"/>
      <c r="CH39" s="321"/>
      <c r="CI39" s="321"/>
      <c r="CJ39" s="321"/>
      <c r="CK39" s="321"/>
      <c r="CL39" s="321"/>
      <c r="CM39" s="321"/>
      <c r="CN39" s="321"/>
      <c r="CO39" s="321"/>
      <c r="CP39" s="321"/>
      <c r="CQ39" s="321"/>
      <c r="CR39" s="321"/>
      <c r="CS39" s="321"/>
      <c r="CT39" s="321"/>
      <c r="CU39" s="321"/>
      <c r="CV39" s="321"/>
      <c r="CW39" s="321"/>
      <c r="CX39" s="321"/>
      <c r="CY39" s="321"/>
      <c r="CZ39" s="321"/>
      <c r="DA39" s="321"/>
      <c r="DB39" s="321"/>
      <c r="DC39" s="321"/>
      <c r="DD39" s="321"/>
      <c r="DE39" s="321"/>
      <c r="DF39" s="321"/>
      <c r="DG39" s="321"/>
      <c r="DH39" s="321"/>
      <c r="DI39" s="321"/>
      <c r="DJ39" s="321"/>
      <c r="DK39" s="321"/>
      <c r="DL39" s="321"/>
      <c r="DM39" s="321"/>
      <c r="DN39" s="321"/>
      <c r="DO39" s="321"/>
      <c r="DP39" s="321"/>
      <c r="DQ39" s="321"/>
      <c r="DR39" s="321"/>
      <c r="DS39" s="321"/>
      <c r="DT39" s="321"/>
      <c r="DU39" s="321"/>
      <c r="DV39" s="321"/>
      <c r="DW39" s="321"/>
      <c r="DX39" s="321"/>
      <c r="DY39" s="321"/>
      <c r="DZ39" s="321"/>
      <c r="EA39" s="321"/>
      <c r="EB39" s="321"/>
      <c r="EC39" s="321"/>
      <c r="ED39" s="321"/>
      <c r="EE39" s="321"/>
      <c r="EF39" s="321"/>
      <c r="EG39" s="321"/>
      <c r="EH39" s="321"/>
      <c r="EI39" s="321"/>
      <c r="EJ39" s="321"/>
      <c r="EK39" s="321"/>
      <c r="EL39" s="321"/>
      <c r="EM39" s="321"/>
      <c r="EN39" s="321"/>
      <c r="EO39" s="321"/>
      <c r="EP39" s="321"/>
      <c r="EQ39" s="321"/>
      <c r="ER39" s="321"/>
      <c r="ES39" s="321"/>
      <c r="ET39" s="321"/>
      <c r="EU39" s="321"/>
      <c r="EV39" s="321"/>
      <c r="EW39" s="321"/>
      <c r="EX39" s="321"/>
      <c r="EY39" s="321"/>
      <c r="EZ39" s="321"/>
      <c r="FA39" s="321"/>
      <c r="FB39" s="321"/>
      <c r="FC39" s="321"/>
      <c r="FD39" s="321"/>
      <c r="FE39" s="321"/>
      <c r="FF39" s="321"/>
      <c r="FG39" s="321"/>
      <c r="FH39" s="321"/>
      <c r="FI39" s="321"/>
      <c r="FJ39" s="321"/>
      <c r="FK39" s="321"/>
      <c r="FL39" s="321"/>
      <c r="FM39" s="321"/>
      <c r="FN39" s="321"/>
      <c r="FO39" s="321"/>
      <c r="FP39" s="321"/>
      <c r="FQ39" s="321"/>
      <c r="FR39" s="321"/>
      <c r="FS39" s="321"/>
      <c r="FT39" s="321"/>
      <c r="FU39" s="321"/>
      <c r="FV39" s="321"/>
      <c r="FW39" s="321"/>
      <c r="FX39" s="321"/>
      <c r="FY39" s="321"/>
      <c r="FZ39" s="321"/>
      <c r="GA39" s="321"/>
      <c r="GB39" s="321"/>
      <c r="GC39" s="321"/>
      <c r="GD39" s="321"/>
      <c r="GE39" s="321"/>
      <c r="GF39" s="321"/>
      <c r="GG39" s="321"/>
      <c r="GH39" s="321"/>
      <c r="GI39" s="321"/>
      <c r="GJ39" s="321"/>
      <c r="GK39" s="321"/>
      <c r="GL39" s="321"/>
      <c r="GM39" s="321"/>
      <c r="GN39" s="321"/>
      <c r="GO39" s="321"/>
      <c r="GP39" s="321"/>
      <c r="GQ39" s="321"/>
      <c r="GR39" s="321"/>
      <c r="GS39" s="321"/>
      <c r="GT39" s="321"/>
      <c r="GU39" s="321"/>
      <c r="GV39" s="321"/>
      <c r="GW39" s="321"/>
      <c r="GX39" s="321"/>
      <c r="GY39" s="321"/>
      <c r="GZ39" s="321"/>
      <c r="HA39" s="321"/>
      <c r="HB39" s="321"/>
      <c r="HC39" s="321"/>
      <c r="HD39" s="321"/>
      <c r="HE39" s="321"/>
      <c r="HF39" s="321"/>
      <c r="HG39" s="321"/>
      <c r="HH39" s="321"/>
      <c r="HI39" s="321"/>
      <c r="HJ39" s="321"/>
      <c r="HK39" s="321"/>
      <c r="HL39" s="321"/>
      <c r="HM39" s="321"/>
      <c r="HN39" s="321"/>
      <c r="HO39" s="321"/>
      <c r="HP39" s="321"/>
      <c r="HQ39" s="321"/>
      <c r="HR39" s="321"/>
      <c r="HS39" s="321"/>
      <c r="HT39" s="321"/>
      <c r="HU39" s="321"/>
      <c r="HV39" s="321"/>
      <c r="HW39" s="321"/>
      <c r="HX39" s="321"/>
      <c r="HY39" s="321"/>
      <c r="HZ39" s="321"/>
      <c r="IA39" s="321"/>
      <c r="IB39" s="321"/>
      <c r="IC39" s="321"/>
      <c r="ID39" s="321"/>
      <c r="IE39" s="321"/>
      <c r="IF39" s="321"/>
      <c r="IG39" s="321"/>
      <c r="IH39" s="321"/>
      <c r="II39" s="321"/>
      <c r="IJ39" s="321"/>
      <c r="IK39" s="321"/>
      <c r="IL39" s="321"/>
      <c r="IM39" s="321"/>
      <c r="IN39" s="321"/>
      <c r="IO39" s="321"/>
      <c r="IP39" s="321"/>
      <c r="IQ39" s="321"/>
      <c r="IR39" s="321"/>
      <c r="IS39" s="321"/>
      <c r="IT39" s="321"/>
      <c r="IU39" s="321"/>
      <c r="IV39" s="321"/>
    </row>
    <row r="40" spans="1:256" s="546" customFormat="1" ht="18" customHeight="1">
      <c r="A40" s="561">
        <v>32</v>
      </c>
      <c r="B40" s="554"/>
      <c r="C40" s="361"/>
      <c r="D40" s="436" t="s">
        <v>994</v>
      </c>
      <c r="E40" s="330"/>
      <c r="F40" s="550"/>
      <c r="G40" s="331"/>
      <c r="H40" s="762"/>
      <c r="I40" s="777"/>
      <c r="J40" s="773"/>
      <c r="K40" s="773"/>
      <c r="L40" s="773"/>
      <c r="M40" s="1131">
        <v>981338</v>
      </c>
      <c r="N40" s="547"/>
      <c r="O40" s="555">
        <f>SUM(I40:N40)</f>
        <v>981338</v>
      </c>
      <c r="P40" s="55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1"/>
      <c r="BE40" s="321"/>
      <c r="BF40" s="321"/>
      <c r="BG40" s="321"/>
      <c r="BH40" s="321"/>
      <c r="BI40" s="321"/>
      <c r="BJ40" s="321"/>
      <c r="BK40" s="321"/>
      <c r="BL40" s="321"/>
      <c r="BM40" s="321"/>
      <c r="BN40" s="321"/>
      <c r="BO40" s="321"/>
      <c r="BP40" s="321"/>
      <c r="BQ40" s="321"/>
      <c r="BR40" s="321"/>
      <c r="BS40" s="321"/>
      <c r="BT40" s="321"/>
      <c r="BU40" s="321"/>
      <c r="BV40" s="321"/>
      <c r="BW40" s="321"/>
      <c r="BX40" s="321"/>
      <c r="BY40" s="321"/>
      <c r="BZ40" s="321"/>
      <c r="CA40" s="321"/>
      <c r="CB40" s="321"/>
      <c r="CC40" s="321"/>
      <c r="CD40" s="321"/>
      <c r="CE40" s="321"/>
      <c r="CF40" s="321"/>
      <c r="CG40" s="321"/>
      <c r="CH40" s="321"/>
      <c r="CI40" s="321"/>
      <c r="CJ40" s="321"/>
      <c r="CK40" s="321"/>
      <c r="CL40" s="321"/>
      <c r="CM40" s="321"/>
      <c r="CN40" s="321"/>
      <c r="CO40" s="321"/>
      <c r="CP40" s="321"/>
      <c r="CQ40" s="321"/>
      <c r="CR40" s="321"/>
      <c r="CS40" s="321"/>
      <c r="CT40" s="321"/>
      <c r="CU40" s="321"/>
      <c r="CV40" s="321"/>
      <c r="CW40" s="321"/>
      <c r="CX40" s="321"/>
      <c r="CY40" s="321"/>
      <c r="CZ40" s="321"/>
      <c r="DA40" s="321"/>
      <c r="DB40" s="321"/>
      <c r="DC40" s="321"/>
      <c r="DD40" s="321"/>
      <c r="DE40" s="321"/>
      <c r="DF40" s="321"/>
      <c r="DG40" s="321"/>
      <c r="DH40" s="321"/>
      <c r="DI40" s="321"/>
      <c r="DJ40" s="321"/>
      <c r="DK40" s="321"/>
      <c r="DL40" s="321"/>
      <c r="DM40" s="321"/>
      <c r="DN40" s="321"/>
      <c r="DO40" s="321"/>
      <c r="DP40" s="321"/>
      <c r="DQ40" s="321"/>
      <c r="DR40" s="321"/>
      <c r="DS40" s="321"/>
      <c r="DT40" s="321"/>
      <c r="DU40" s="321"/>
      <c r="DV40" s="321"/>
      <c r="DW40" s="321"/>
      <c r="DX40" s="321"/>
      <c r="DY40" s="321"/>
      <c r="DZ40" s="321"/>
      <c r="EA40" s="321"/>
      <c r="EB40" s="321"/>
      <c r="EC40" s="321"/>
      <c r="ED40" s="321"/>
      <c r="EE40" s="321"/>
      <c r="EF40" s="321"/>
      <c r="EG40" s="321"/>
      <c r="EH40" s="321"/>
      <c r="EI40" s="321"/>
      <c r="EJ40" s="321"/>
      <c r="EK40" s="321"/>
      <c r="EL40" s="321"/>
      <c r="EM40" s="321"/>
      <c r="EN40" s="321"/>
      <c r="EO40" s="321"/>
      <c r="EP40" s="321"/>
      <c r="EQ40" s="321"/>
      <c r="ER40" s="321"/>
      <c r="ES40" s="321"/>
      <c r="ET40" s="321"/>
      <c r="EU40" s="321"/>
      <c r="EV40" s="321"/>
      <c r="EW40" s="321"/>
      <c r="EX40" s="321"/>
      <c r="EY40" s="321"/>
      <c r="EZ40" s="321"/>
      <c r="FA40" s="321"/>
      <c r="FB40" s="321"/>
      <c r="FC40" s="321"/>
      <c r="FD40" s="321"/>
      <c r="FE40" s="321"/>
      <c r="FF40" s="321"/>
      <c r="FG40" s="321"/>
      <c r="FH40" s="321"/>
      <c r="FI40" s="321"/>
      <c r="FJ40" s="321"/>
      <c r="FK40" s="321"/>
      <c r="FL40" s="321"/>
      <c r="FM40" s="321"/>
      <c r="FN40" s="321"/>
      <c r="FO40" s="321"/>
      <c r="FP40" s="321"/>
      <c r="FQ40" s="321"/>
      <c r="FR40" s="321"/>
      <c r="FS40" s="321"/>
      <c r="FT40" s="321"/>
      <c r="FU40" s="321"/>
      <c r="FV40" s="321"/>
      <c r="FW40" s="321"/>
      <c r="FX40" s="321"/>
      <c r="FY40" s="321"/>
      <c r="FZ40" s="321"/>
      <c r="GA40" s="321"/>
      <c r="GB40" s="321"/>
      <c r="GC40" s="321"/>
      <c r="GD40" s="321"/>
      <c r="GE40" s="321"/>
      <c r="GF40" s="321"/>
      <c r="GG40" s="321"/>
      <c r="GH40" s="321"/>
      <c r="GI40" s="321"/>
      <c r="GJ40" s="321"/>
      <c r="GK40" s="321"/>
      <c r="GL40" s="321"/>
      <c r="GM40" s="321"/>
      <c r="GN40" s="321"/>
      <c r="GO40" s="321"/>
      <c r="GP40" s="321"/>
      <c r="GQ40" s="321"/>
      <c r="GR40" s="321"/>
      <c r="GS40" s="321"/>
      <c r="GT40" s="321"/>
      <c r="GU40" s="321"/>
      <c r="GV40" s="321"/>
      <c r="GW40" s="321"/>
      <c r="GX40" s="321"/>
      <c r="GY40" s="321"/>
      <c r="GZ40" s="321"/>
      <c r="HA40" s="321"/>
      <c r="HB40" s="321"/>
      <c r="HC40" s="321"/>
      <c r="HD40" s="321"/>
      <c r="HE40" s="321"/>
      <c r="HF40" s="321"/>
      <c r="HG40" s="321"/>
      <c r="HH40" s="321"/>
      <c r="HI40" s="321"/>
      <c r="HJ40" s="321"/>
      <c r="HK40" s="321"/>
      <c r="HL40" s="321"/>
      <c r="HM40" s="321"/>
      <c r="HN40" s="321"/>
      <c r="HO40" s="321"/>
      <c r="HP40" s="321"/>
      <c r="HQ40" s="321"/>
      <c r="HR40" s="321"/>
      <c r="HS40" s="321"/>
      <c r="HT40" s="321"/>
      <c r="HU40" s="321"/>
      <c r="HV40" s="321"/>
      <c r="HW40" s="321"/>
      <c r="HX40" s="321"/>
      <c r="HY40" s="321"/>
      <c r="HZ40" s="321"/>
      <c r="IA40" s="321"/>
      <c r="IB40" s="321"/>
      <c r="IC40" s="321"/>
      <c r="ID40" s="321"/>
      <c r="IE40" s="321"/>
      <c r="IF40" s="321"/>
      <c r="IG40" s="321"/>
      <c r="IH40" s="321"/>
      <c r="II40" s="321"/>
      <c r="IJ40" s="321"/>
      <c r="IK40" s="321"/>
      <c r="IL40" s="321"/>
      <c r="IM40" s="321"/>
      <c r="IN40" s="321"/>
      <c r="IO40" s="321"/>
      <c r="IP40" s="321"/>
      <c r="IQ40" s="321"/>
      <c r="IR40" s="321"/>
      <c r="IS40" s="321"/>
      <c r="IT40" s="321"/>
      <c r="IU40" s="321"/>
      <c r="IV40" s="321"/>
    </row>
    <row r="41" spans="1:256" s="546" customFormat="1" ht="18" customHeight="1">
      <c r="A41" s="561">
        <v>33</v>
      </c>
      <c r="B41" s="554"/>
      <c r="C41" s="361"/>
      <c r="D41" s="987" t="s">
        <v>1036</v>
      </c>
      <c r="E41" s="330"/>
      <c r="F41" s="550"/>
      <c r="G41" s="331"/>
      <c r="H41" s="762"/>
      <c r="I41" s="758"/>
      <c r="J41" s="547"/>
      <c r="K41" s="547"/>
      <c r="L41" s="547"/>
      <c r="M41" s="1266">
        <v>0</v>
      </c>
      <c r="N41" s="547"/>
      <c r="O41" s="1175">
        <f>SUM(I41:N41)</f>
        <v>0</v>
      </c>
      <c r="P41" s="55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c r="BD41" s="321"/>
      <c r="BE41" s="321"/>
      <c r="BF41" s="321"/>
      <c r="BG41" s="321"/>
      <c r="BH41" s="321"/>
      <c r="BI41" s="321"/>
      <c r="BJ41" s="321"/>
      <c r="BK41" s="321"/>
      <c r="BL41" s="321"/>
      <c r="BM41" s="321"/>
      <c r="BN41" s="321"/>
      <c r="BO41" s="321"/>
      <c r="BP41" s="321"/>
      <c r="BQ41" s="321"/>
      <c r="BR41" s="321"/>
      <c r="BS41" s="321"/>
      <c r="BT41" s="321"/>
      <c r="BU41" s="321"/>
      <c r="BV41" s="321"/>
      <c r="BW41" s="321"/>
      <c r="BX41" s="321"/>
      <c r="BY41" s="321"/>
      <c r="BZ41" s="321"/>
      <c r="CA41" s="321"/>
      <c r="CB41" s="321"/>
      <c r="CC41" s="321"/>
      <c r="CD41" s="321"/>
      <c r="CE41" s="321"/>
      <c r="CF41" s="321"/>
      <c r="CG41" s="321"/>
      <c r="CH41" s="321"/>
      <c r="CI41" s="321"/>
      <c r="CJ41" s="321"/>
      <c r="CK41" s="321"/>
      <c r="CL41" s="321"/>
      <c r="CM41" s="321"/>
      <c r="CN41" s="321"/>
      <c r="CO41" s="321"/>
      <c r="CP41" s="321"/>
      <c r="CQ41" s="321"/>
      <c r="CR41" s="321"/>
      <c r="CS41" s="321"/>
      <c r="CT41" s="321"/>
      <c r="CU41" s="321"/>
      <c r="CV41" s="321"/>
      <c r="CW41" s="321"/>
      <c r="CX41" s="321"/>
      <c r="CY41" s="321"/>
      <c r="CZ41" s="321"/>
      <c r="DA41" s="321"/>
      <c r="DB41" s="321"/>
      <c r="DC41" s="321"/>
      <c r="DD41" s="321"/>
      <c r="DE41" s="321"/>
      <c r="DF41" s="321"/>
      <c r="DG41" s="321"/>
      <c r="DH41" s="321"/>
      <c r="DI41" s="321"/>
      <c r="DJ41" s="321"/>
      <c r="DK41" s="321"/>
      <c r="DL41" s="321"/>
      <c r="DM41" s="321"/>
      <c r="DN41" s="321"/>
      <c r="DO41" s="321"/>
      <c r="DP41" s="321"/>
      <c r="DQ41" s="321"/>
      <c r="DR41" s="321"/>
      <c r="DS41" s="321"/>
      <c r="DT41" s="321"/>
      <c r="DU41" s="321"/>
      <c r="DV41" s="321"/>
      <c r="DW41" s="321"/>
      <c r="DX41" s="321"/>
      <c r="DY41" s="321"/>
      <c r="DZ41" s="321"/>
      <c r="EA41" s="321"/>
      <c r="EB41" s="321"/>
      <c r="EC41" s="321"/>
      <c r="ED41" s="321"/>
      <c r="EE41" s="321"/>
      <c r="EF41" s="321"/>
      <c r="EG41" s="321"/>
      <c r="EH41" s="321"/>
      <c r="EI41" s="321"/>
      <c r="EJ41" s="321"/>
      <c r="EK41" s="321"/>
      <c r="EL41" s="321"/>
      <c r="EM41" s="321"/>
      <c r="EN41" s="321"/>
      <c r="EO41" s="321"/>
      <c r="EP41" s="321"/>
      <c r="EQ41" s="321"/>
      <c r="ER41" s="321"/>
      <c r="ES41" s="321"/>
      <c r="ET41" s="321"/>
      <c r="EU41" s="321"/>
      <c r="EV41" s="321"/>
      <c r="EW41" s="321"/>
      <c r="EX41" s="321"/>
      <c r="EY41" s="321"/>
      <c r="EZ41" s="321"/>
      <c r="FA41" s="321"/>
      <c r="FB41" s="321"/>
      <c r="FC41" s="321"/>
      <c r="FD41" s="321"/>
      <c r="FE41" s="321"/>
      <c r="FF41" s="321"/>
      <c r="FG41" s="321"/>
      <c r="FH41" s="321"/>
      <c r="FI41" s="321"/>
      <c r="FJ41" s="321"/>
      <c r="FK41" s="321"/>
      <c r="FL41" s="321"/>
      <c r="FM41" s="321"/>
      <c r="FN41" s="321"/>
      <c r="FO41" s="321"/>
      <c r="FP41" s="321"/>
      <c r="FQ41" s="321"/>
      <c r="FR41" s="321"/>
      <c r="FS41" s="321"/>
      <c r="FT41" s="321"/>
      <c r="FU41" s="321"/>
      <c r="FV41" s="321"/>
      <c r="FW41" s="321"/>
      <c r="FX41" s="321"/>
      <c r="FY41" s="321"/>
      <c r="FZ41" s="321"/>
      <c r="GA41" s="321"/>
      <c r="GB41" s="321"/>
      <c r="GC41" s="321"/>
      <c r="GD41" s="321"/>
      <c r="GE41" s="321"/>
      <c r="GF41" s="321"/>
      <c r="GG41" s="321"/>
      <c r="GH41" s="321"/>
      <c r="GI41" s="321"/>
      <c r="GJ41" s="321"/>
      <c r="GK41" s="321"/>
      <c r="GL41" s="321"/>
      <c r="GM41" s="321"/>
      <c r="GN41" s="321"/>
      <c r="GO41" s="321"/>
      <c r="GP41" s="321"/>
      <c r="GQ41" s="321"/>
      <c r="GR41" s="321"/>
      <c r="GS41" s="321"/>
      <c r="GT41" s="321"/>
      <c r="GU41" s="321"/>
      <c r="GV41" s="321"/>
      <c r="GW41" s="321"/>
      <c r="GX41" s="321"/>
      <c r="GY41" s="321"/>
      <c r="GZ41" s="321"/>
      <c r="HA41" s="321"/>
      <c r="HB41" s="321"/>
      <c r="HC41" s="321"/>
      <c r="HD41" s="321"/>
      <c r="HE41" s="321"/>
      <c r="HF41" s="321"/>
      <c r="HG41" s="321"/>
      <c r="HH41" s="321"/>
      <c r="HI41" s="321"/>
      <c r="HJ41" s="321"/>
      <c r="HK41" s="321"/>
      <c r="HL41" s="321"/>
      <c r="HM41" s="321"/>
      <c r="HN41" s="321"/>
      <c r="HO41" s="321"/>
      <c r="HP41" s="321"/>
      <c r="HQ41" s="321"/>
      <c r="HR41" s="321"/>
      <c r="HS41" s="321"/>
      <c r="HT41" s="321"/>
      <c r="HU41" s="321"/>
      <c r="HV41" s="321"/>
      <c r="HW41" s="321"/>
      <c r="HX41" s="321"/>
      <c r="HY41" s="321"/>
      <c r="HZ41" s="321"/>
      <c r="IA41" s="321"/>
      <c r="IB41" s="321"/>
      <c r="IC41" s="321"/>
      <c r="ID41" s="321"/>
      <c r="IE41" s="321"/>
      <c r="IF41" s="321"/>
      <c r="IG41" s="321"/>
      <c r="IH41" s="321"/>
      <c r="II41" s="321"/>
      <c r="IJ41" s="321"/>
      <c r="IK41" s="321"/>
      <c r="IL41" s="321"/>
      <c r="IM41" s="321"/>
      <c r="IN41" s="321"/>
      <c r="IO41" s="321"/>
      <c r="IP41" s="321"/>
      <c r="IQ41" s="321"/>
      <c r="IR41" s="321"/>
      <c r="IS41" s="321"/>
      <c r="IT41" s="321"/>
      <c r="IU41" s="321"/>
      <c r="IV41" s="321"/>
    </row>
    <row r="42" spans="1:16" ht="22.5" customHeight="1">
      <c r="A42" s="561">
        <v>34</v>
      </c>
      <c r="B42" s="455"/>
      <c r="C42" s="361">
        <v>9</v>
      </c>
      <c r="D42" s="558" t="s">
        <v>627</v>
      </c>
      <c r="E42" s="330"/>
      <c r="F42" s="550"/>
      <c r="G42" s="331"/>
      <c r="H42" s="762" t="s">
        <v>24</v>
      </c>
      <c r="I42" s="777"/>
      <c r="J42" s="773"/>
      <c r="K42" s="773"/>
      <c r="L42" s="773"/>
      <c r="M42" s="773"/>
      <c r="N42" s="773"/>
      <c r="O42" s="555"/>
      <c r="P42" s="551"/>
    </row>
    <row r="43" spans="1:256" s="546" customFormat="1" ht="18" customHeight="1">
      <c r="A43" s="561">
        <v>35</v>
      </c>
      <c r="B43" s="554"/>
      <c r="C43" s="322"/>
      <c r="D43" s="755" t="s">
        <v>303</v>
      </c>
      <c r="E43" s="330">
        <f>F43+G43+O44+P43</f>
        <v>3095</v>
      </c>
      <c r="F43" s="550"/>
      <c r="G43" s="331"/>
      <c r="H43" s="762"/>
      <c r="I43" s="777"/>
      <c r="J43" s="773"/>
      <c r="K43" s="773">
        <f>5000-1905</f>
        <v>3095</v>
      </c>
      <c r="L43" s="773"/>
      <c r="M43" s="773"/>
      <c r="N43" s="773"/>
      <c r="O43" s="745">
        <f>SUM(I43:N43)</f>
        <v>3095</v>
      </c>
      <c r="P43" s="55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1"/>
      <c r="BN43" s="321"/>
      <c r="BO43" s="321"/>
      <c r="BP43" s="321"/>
      <c r="BQ43" s="321"/>
      <c r="BR43" s="321"/>
      <c r="BS43" s="321"/>
      <c r="BT43" s="321"/>
      <c r="BU43" s="321"/>
      <c r="BV43" s="321"/>
      <c r="BW43" s="321"/>
      <c r="BX43" s="321"/>
      <c r="BY43" s="321"/>
      <c r="BZ43" s="321"/>
      <c r="CA43" s="321"/>
      <c r="CB43" s="321"/>
      <c r="CC43" s="321"/>
      <c r="CD43" s="321"/>
      <c r="CE43" s="321"/>
      <c r="CF43" s="321"/>
      <c r="CG43" s="321"/>
      <c r="CH43" s="321"/>
      <c r="CI43" s="321"/>
      <c r="CJ43" s="321"/>
      <c r="CK43" s="321"/>
      <c r="CL43" s="321"/>
      <c r="CM43" s="321"/>
      <c r="CN43" s="321"/>
      <c r="CO43" s="321"/>
      <c r="CP43" s="321"/>
      <c r="CQ43" s="321"/>
      <c r="CR43" s="321"/>
      <c r="CS43" s="321"/>
      <c r="CT43" s="321"/>
      <c r="CU43" s="321"/>
      <c r="CV43" s="321"/>
      <c r="CW43" s="321"/>
      <c r="CX43" s="321"/>
      <c r="CY43" s="321"/>
      <c r="CZ43" s="321"/>
      <c r="DA43" s="321"/>
      <c r="DB43" s="321"/>
      <c r="DC43" s="321"/>
      <c r="DD43" s="321"/>
      <c r="DE43" s="321"/>
      <c r="DF43" s="321"/>
      <c r="DG43" s="321"/>
      <c r="DH43" s="321"/>
      <c r="DI43" s="321"/>
      <c r="DJ43" s="321"/>
      <c r="DK43" s="321"/>
      <c r="DL43" s="321"/>
      <c r="DM43" s="321"/>
      <c r="DN43" s="321"/>
      <c r="DO43" s="321"/>
      <c r="DP43" s="321"/>
      <c r="DQ43" s="321"/>
      <c r="DR43" s="321"/>
      <c r="DS43" s="321"/>
      <c r="DT43" s="321"/>
      <c r="DU43" s="321"/>
      <c r="DV43" s="321"/>
      <c r="DW43" s="321"/>
      <c r="DX43" s="321"/>
      <c r="DY43" s="321"/>
      <c r="DZ43" s="321"/>
      <c r="EA43" s="321"/>
      <c r="EB43" s="321"/>
      <c r="EC43" s="321"/>
      <c r="ED43" s="321"/>
      <c r="EE43" s="321"/>
      <c r="EF43" s="321"/>
      <c r="EG43" s="321"/>
      <c r="EH43" s="321"/>
      <c r="EI43" s="321"/>
      <c r="EJ43" s="321"/>
      <c r="EK43" s="321"/>
      <c r="EL43" s="321"/>
      <c r="EM43" s="321"/>
      <c r="EN43" s="321"/>
      <c r="EO43" s="321"/>
      <c r="EP43" s="321"/>
      <c r="EQ43" s="321"/>
      <c r="ER43" s="321"/>
      <c r="ES43" s="321"/>
      <c r="ET43" s="321"/>
      <c r="EU43" s="321"/>
      <c r="EV43" s="321"/>
      <c r="EW43" s="321"/>
      <c r="EX43" s="321"/>
      <c r="EY43" s="321"/>
      <c r="EZ43" s="321"/>
      <c r="FA43" s="321"/>
      <c r="FB43" s="321"/>
      <c r="FC43" s="321"/>
      <c r="FD43" s="321"/>
      <c r="FE43" s="321"/>
      <c r="FF43" s="321"/>
      <c r="FG43" s="321"/>
      <c r="FH43" s="321"/>
      <c r="FI43" s="321"/>
      <c r="FJ43" s="321"/>
      <c r="FK43" s="321"/>
      <c r="FL43" s="321"/>
      <c r="FM43" s="321"/>
      <c r="FN43" s="321"/>
      <c r="FO43" s="321"/>
      <c r="FP43" s="321"/>
      <c r="FQ43" s="321"/>
      <c r="FR43" s="321"/>
      <c r="FS43" s="321"/>
      <c r="FT43" s="321"/>
      <c r="FU43" s="321"/>
      <c r="FV43" s="321"/>
      <c r="FW43" s="321"/>
      <c r="FX43" s="321"/>
      <c r="FY43" s="321"/>
      <c r="FZ43" s="321"/>
      <c r="GA43" s="321"/>
      <c r="GB43" s="321"/>
      <c r="GC43" s="321"/>
      <c r="GD43" s="321"/>
      <c r="GE43" s="321"/>
      <c r="GF43" s="321"/>
      <c r="GG43" s="321"/>
      <c r="GH43" s="321"/>
      <c r="GI43" s="321"/>
      <c r="GJ43" s="321"/>
      <c r="GK43" s="321"/>
      <c r="GL43" s="321"/>
      <c r="GM43" s="321"/>
      <c r="GN43" s="321"/>
      <c r="GO43" s="321"/>
      <c r="GP43" s="321"/>
      <c r="GQ43" s="321"/>
      <c r="GR43" s="321"/>
      <c r="GS43" s="321"/>
      <c r="GT43" s="321"/>
      <c r="GU43" s="321"/>
      <c r="GV43" s="321"/>
      <c r="GW43" s="321"/>
      <c r="GX43" s="321"/>
      <c r="GY43" s="321"/>
      <c r="GZ43" s="321"/>
      <c r="HA43" s="321"/>
      <c r="HB43" s="321"/>
      <c r="HC43" s="321"/>
      <c r="HD43" s="321"/>
      <c r="HE43" s="321"/>
      <c r="HF43" s="321"/>
      <c r="HG43" s="321"/>
      <c r="HH43" s="321"/>
      <c r="HI43" s="321"/>
      <c r="HJ43" s="321"/>
      <c r="HK43" s="321"/>
      <c r="HL43" s="321"/>
      <c r="HM43" s="321"/>
      <c r="HN43" s="321"/>
      <c r="HO43" s="321"/>
      <c r="HP43" s="321"/>
      <c r="HQ43" s="321"/>
      <c r="HR43" s="321"/>
      <c r="HS43" s="321"/>
      <c r="HT43" s="321"/>
      <c r="HU43" s="321"/>
      <c r="HV43" s="321"/>
      <c r="HW43" s="321"/>
      <c r="HX43" s="321"/>
      <c r="HY43" s="321"/>
      <c r="HZ43" s="321"/>
      <c r="IA43" s="321"/>
      <c r="IB43" s="321"/>
      <c r="IC43" s="321"/>
      <c r="ID43" s="321"/>
      <c r="IE43" s="321"/>
      <c r="IF43" s="321"/>
      <c r="IG43" s="321"/>
      <c r="IH43" s="321"/>
      <c r="II43" s="321"/>
      <c r="IJ43" s="321"/>
      <c r="IK43" s="321"/>
      <c r="IL43" s="321"/>
      <c r="IM43" s="321"/>
      <c r="IN43" s="321"/>
      <c r="IO43" s="321"/>
      <c r="IP43" s="321"/>
      <c r="IQ43" s="321"/>
      <c r="IR43" s="321"/>
      <c r="IS43" s="321"/>
      <c r="IT43" s="321"/>
      <c r="IU43" s="321"/>
      <c r="IV43" s="321"/>
    </row>
    <row r="44" spans="1:256" s="546" customFormat="1" ht="18" customHeight="1">
      <c r="A44" s="561">
        <v>36</v>
      </c>
      <c r="B44" s="554"/>
      <c r="C44" s="322"/>
      <c r="D44" s="436" t="s">
        <v>994</v>
      </c>
      <c r="E44" s="330"/>
      <c r="F44" s="550"/>
      <c r="G44" s="331"/>
      <c r="H44" s="762"/>
      <c r="I44" s="777"/>
      <c r="J44" s="773"/>
      <c r="K44" s="1131">
        <v>3095</v>
      </c>
      <c r="L44" s="1131"/>
      <c r="M44" s="1131"/>
      <c r="N44" s="1131"/>
      <c r="O44" s="555">
        <f>SUM(I44:N44)</f>
        <v>3095</v>
      </c>
      <c r="P44" s="55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1"/>
      <c r="BN44" s="321"/>
      <c r="BO44" s="321"/>
      <c r="BP44" s="321"/>
      <c r="BQ44" s="321"/>
      <c r="BR44" s="321"/>
      <c r="BS44" s="321"/>
      <c r="BT44" s="321"/>
      <c r="BU44" s="321"/>
      <c r="BV44" s="321"/>
      <c r="BW44" s="321"/>
      <c r="BX44" s="321"/>
      <c r="BY44" s="321"/>
      <c r="BZ44" s="321"/>
      <c r="CA44" s="321"/>
      <c r="CB44" s="321"/>
      <c r="CC44" s="321"/>
      <c r="CD44" s="321"/>
      <c r="CE44" s="321"/>
      <c r="CF44" s="321"/>
      <c r="CG44" s="321"/>
      <c r="CH44" s="321"/>
      <c r="CI44" s="321"/>
      <c r="CJ44" s="321"/>
      <c r="CK44" s="321"/>
      <c r="CL44" s="321"/>
      <c r="CM44" s="321"/>
      <c r="CN44" s="321"/>
      <c r="CO44" s="321"/>
      <c r="CP44" s="321"/>
      <c r="CQ44" s="321"/>
      <c r="CR44" s="321"/>
      <c r="CS44" s="321"/>
      <c r="CT44" s="321"/>
      <c r="CU44" s="321"/>
      <c r="CV44" s="321"/>
      <c r="CW44" s="321"/>
      <c r="CX44" s="321"/>
      <c r="CY44" s="321"/>
      <c r="CZ44" s="321"/>
      <c r="DA44" s="321"/>
      <c r="DB44" s="321"/>
      <c r="DC44" s="321"/>
      <c r="DD44" s="321"/>
      <c r="DE44" s="321"/>
      <c r="DF44" s="321"/>
      <c r="DG44" s="321"/>
      <c r="DH44" s="321"/>
      <c r="DI44" s="321"/>
      <c r="DJ44" s="321"/>
      <c r="DK44" s="321"/>
      <c r="DL44" s="321"/>
      <c r="DM44" s="321"/>
      <c r="DN44" s="321"/>
      <c r="DO44" s="321"/>
      <c r="DP44" s="321"/>
      <c r="DQ44" s="321"/>
      <c r="DR44" s="321"/>
      <c r="DS44" s="321"/>
      <c r="DT44" s="321"/>
      <c r="DU44" s="321"/>
      <c r="DV44" s="321"/>
      <c r="DW44" s="321"/>
      <c r="DX44" s="321"/>
      <c r="DY44" s="321"/>
      <c r="DZ44" s="321"/>
      <c r="EA44" s="321"/>
      <c r="EB44" s="321"/>
      <c r="EC44" s="321"/>
      <c r="ED44" s="321"/>
      <c r="EE44" s="321"/>
      <c r="EF44" s="321"/>
      <c r="EG44" s="321"/>
      <c r="EH44" s="321"/>
      <c r="EI44" s="321"/>
      <c r="EJ44" s="321"/>
      <c r="EK44" s="321"/>
      <c r="EL44" s="321"/>
      <c r="EM44" s="321"/>
      <c r="EN44" s="321"/>
      <c r="EO44" s="321"/>
      <c r="EP44" s="321"/>
      <c r="EQ44" s="321"/>
      <c r="ER44" s="321"/>
      <c r="ES44" s="321"/>
      <c r="ET44" s="321"/>
      <c r="EU44" s="321"/>
      <c r="EV44" s="321"/>
      <c r="EW44" s="321"/>
      <c r="EX44" s="321"/>
      <c r="EY44" s="321"/>
      <c r="EZ44" s="321"/>
      <c r="FA44" s="321"/>
      <c r="FB44" s="321"/>
      <c r="FC44" s="321"/>
      <c r="FD44" s="321"/>
      <c r="FE44" s="321"/>
      <c r="FF44" s="321"/>
      <c r="FG44" s="321"/>
      <c r="FH44" s="321"/>
      <c r="FI44" s="321"/>
      <c r="FJ44" s="321"/>
      <c r="FK44" s="321"/>
      <c r="FL44" s="321"/>
      <c r="FM44" s="321"/>
      <c r="FN44" s="321"/>
      <c r="FO44" s="321"/>
      <c r="FP44" s="321"/>
      <c r="FQ44" s="321"/>
      <c r="FR44" s="321"/>
      <c r="FS44" s="321"/>
      <c r="FT44" s="321"/>
      <c r="FU44" s="321"/>
      <c r="FV44" s="321"/>
      <c r="FW44" s="321"/>
      <c r="FX44" s="321"/>
      <c r="FY44" s="321"/>
      <c r="FZ44" s="321"/>
      <c r="GA44" s="321"/>
      <c r="GB44" s="321"/>
      <c r="GC44" s="321"/>
      <c r="GD44" s="321"/>
      <c r="GE44" s="321"/>
      <c r="GF44" s="321"/>
      <c r="GG44" s="321"/>
      <c r="GH44" s="321"/>
      <c r="GI44" s="321"/>
      <c r="GJ44" s="321"/>
      <c r="GK44" s="321"/>
      <c r="GL44" s="321"/>
      <c r="GM44" s="321"/>
      <c r="GN44" s="321"/>
      <c r="GO44" s="321"/>
      <c r="GP44" s="321"/>
      <c r="GQ44" s="321"/>
      <c r="GR44" s="321"/>
      <c r="GS44" s="321"/>
      <c r="GT44" s="321"/>
      <c r="GU44" s="321"/>
      <c r="GV44" s="321"/>
      <c r="GW44" s="321"/>
      <c r="GX44" s="321"/>
      <c r="GY44" s="321"/>
      <c r="GZ44" s="321"/>
      <c r="HA44" s="321"/>
      <c r="HB44" s="321"/>
      <c r="HC44" s="321"/>
      <c r="HD44" s="321"/>
      <c r="HE44" s="321"/>
      <c r="HF44" s="321"/>
      <c r="HG44" s="321"/>
      <c r="HH44" s="321"/>
      <c r="HI44" s="321"/>
      <c r="HJ44" s="321"/>
      <c r="HK44" s="321"/>
      <c r="HL44" s="321"/>
      <c r="HM44" s="321"/>
      <c r="HN44" s="321"/>
      <c r="HO44" s="321"/>
      <c r="HP44" s="321"/>
      <c r="HQ44" s="321"/>
      <c r="HR44" s="321"/>
      <c r="HS44" s="321"/>
      <c r="HT44" s="321"/>
      <c r="HU44" s="321"/>
      <c r="HV44" s="321"/>
      <c r="HW44" s="321"/>
      <c r="HX44" s="321"/>
      <c r="HY44" s="321"/>
      <c r="HZ44" s="321"/>
      <c r="IA44" s="321"/>
      <c r="IB44" s="321"/>
      <c r="IC44" s="321"/>
      <c r="ID44" s="321"/>
      <c r="IE44" s="321"/>
      <c r="IF44" s="321"/>
      <c r="IG44" s="321"/>
      <c r="IH44" s="321"/>
      <c r="II44" s="321"/>
      <c r="IJ44" s="321"/>
      <c r="IK44" s="321"/>
      <c r="IL44" s="321"/>
      <c r="IM44" s="321"/>
      <c r="IN44" s="321"/>
      <c r="IO44" s="321"/>
      <c r="IP44" s="321"/>
      <c r="IQ44" s="321"/>
      <c r="IR44" s="321"/>
      <c r="IS44" s="321"/>
      <c r="IT44" s="321"/>
      <c r="IU44" s="321"/>
      <c r="IV44" s="321"/>
    </row>
    <row r="45" spans="1:256" s="546" customFormat="1" ht="18" customHeight="1">
      <c r="A45" s="561">
        <v>37</v>
      </c>
      <c r="B45" s="554"/>
      <c r="C45" s="322"/>
      <c r="D45" s="987" t="s">
        <v>1036</v>
      </c>
      <c r="E45" s="330"/>
      <c r="F45" s="550"/>
      <c r="G45" s="331"/>
      <c r="H45" s="762"/>
      <c r="I45" s="758"/>
      <c r="J45" s="547"/>
      <c r="K45" s="1266">
        <v>0</v>
      </c>
      <c r="L45" s="547"/>
      <c r="M45" s="547"/>
      <c r="N45" s="547"/>
      <c r="O45" s="1175">
        <f>SUM(I45:N45)</f>
        <v>0</v>
      </c>
      <c r="P45" s="55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1"/>
      <c r="BN45" s="321"/>
      <c r="BO45" s="321"/>
      <c r="BP45" s="321"/>
      <c r="BQ45" s="321"/>
      <c r="BR45" s="321"/>
      <c r="BS45" s="321"/>
      <c r="BT45" s="321"/>
      <c r="BU45" s="321"/>
      <c r="BV45" s="321"/>
      <c r="BW45" s="321"/>
      <c r="BX45" s="321"/>
      <c r="BY45" s="321"/>
      <c r="BZ45" s="321"/>
      <c r="CA45" s="321"/>
      <c r="CB45" s="321"/>
      <c r="CC45" s="321"/>
      <c r="CD45" s="321"/>
      <c r="CE45" s="321"/>
      <c r="CF45" s="321"/>
      <c r="CG45" s="321"/>
      <c r="CH45" s="321"/>
      <c r="CI45" s="321"/>
      <c r="CJ45" s="321"/>
      <c r="CK45" s="321"/>
      <c r="CL45" s="321"/>
      <c r="CM45" s="321"/>
      <c r="CN45" s="321"/>
      <c r="CO45" s="321"/>
      <c r="CP45" s="321"/>
      <c r="CQ45" s="321"/>
      <c r="CR45" s="321"/>
      <c r="CS45" s="321"/>
      <c r="CT45" s="321"/>
      <c r="CU45" s="321"/>
      <c r="CV45" s="321"/>
      <c r="CW45" s="321"/>
      <c r="CX45" s="321"/>
      <c r="CY45" s="321"/>
      <c r="CZ45" s="321"/>
      <c r="DA45" s="321"/>
      <c r="DB45" s="321"/>
      <c r="DC45" s="321"/>
      <c r="DD45" s="321"/>
      <c r="DE45" s="321"/>
      <c r="DF45" s="321"/>
      <c r="DG45" s="321"/>
      <c r="DH45" s="321"/>
      <c r="DI45" s="321"/>
      <c r="DJ45" s="321"/>
      <c r="DK45" s="321"/>
      <c r="DL45" s="321"/>
      <c r="DM45" s="321"/>
      <c r="DN45" s="321"/>
      <c r="DO45" s="321"/>
      <c r="DP45" s="321"/>
      <c r="DQ45" s="321"/>
      <c r="DR45" s="321"/>
      <c r="DS45" s="321"/>
      <c r="DT45" s="321"/>
      <c r="DU45" s="321"/>
      <c r="DV45" s="321"/>
      <c r="DW45" s="321"/>
      <c r="DX45" s="321"/>
      <c r="DY45" s="321"/>
      <c r="DZ45" s="321"/>
      <c r="EA45" s="321"/>
      <c r="EB45" s="321"/>
      <c r="EC45" s="321"/>
      <c r="ED45" s="321"/>
      <c r="EE45" s="321"/>
      <c r="EF45" s="321"/>
      <c r="EG45" s="321"/>
      <c r="EH45" s="321"/>
      <c r="EI45" s="321"/>
      <c r="EJ45" s="321"/>
      <c r="EK45" s="321"/>
      <c r="EL45" s="321"/>
      <c r="EM45" s="321"/>
      <c r="EN45" s="321"/>
      <c r="EO45" s="321"/>
      <c r="EP45" s="321"/>
      <c r="EQ45" s="321"/>
      <c r="ER45" s="321"/>
      <c r="ES45" s="321"/>
      <c r="ET45" s="321"/>
      <c r="EU45" s="321"/>
      <c r="EV45" s="321"/>
      <c r="EW45" s="321"/>
      <c r="EX45" s="321"/>
      <c r="EY45" s="321"/>
      <c r="EZ45" s="321"/>
      <c r="FA45" s="321"/>
      <c r="FB45" s="321"/>
      <c r="FC45" s="321"/>
      <c r="FD45" s="321"/>
      <c r="FE45" s="321"/>
      <c r="FF45" s="321"/>
      <c r="FG45" s="321"/>
      <c r="FH45" s="321"/>
      <c r="FI45" s="321"/>
      <c r="FJ45" s="321"/>
      <c r="FK45" s="321"/>
      <c r="FL45" s="321"/>
      <c r="FM45" s="321"/>
      <c r="FN45" s="321"/>
      <c r="FO45" s="321"/>
      <c r="FP45" s="321"/>
      <c r="FQ45" s="321"/>
      <c r="FR45" s="321"/>
      <c r="FS45" s="321"/>
      <c r="FT45" s="321"/>
      <c r="FU45" s="321"/>
      <c r="FV45" s="321"/>
      <c r="FW45" s="321"/>
      <c r="FX45" s="321"/>
      <c r="FY45" s="321"/>
      <c r="FZ45" s="321"/>
      <c r="GA45" s="321"/>
      <c r="GB45" s="321"/>
      <c r="GC45" s="321"/>
      <c r="GD45" s="321"/>
      <c r="GE45" s="321"/>
      <c r="GF45" s="321"/>
      <c r="GG45" s="321"/>
      <c r="GH45" s="321"/>
      <c r="GI45" s="321"/>
      <c r="GJ45" s="321"/>
      <c r="GK45" s="321"/>
      <c r="GL45" s="321"/>
      <c r="GM45" s="321"/>
      <c r="GN45" s="321"/>
      <c r="GO45" s="321"/>
      <c r="GP45" s="321"/>
      <c r="GQ45" s="321"/>
      <c r="GR45" s="321"/>
      <c r="GS45" s="321"/>
      <c r="GT45" s="321"/>
      <c r="GU45" s="321"/>
      <c r="GV45" s="321"/>
      <c r="GW45" s="321"/>
      <c r="GX45" s="321"/>
      <c r="GY45" s="321"/>
      <c r="GZ45" s="321"/>
      <c r="HA45" s="321"/>
      <c r="HB45" s="321"/>
      <c r="HC45" s="321"/>
      <c r="HD45" s="321"/>
      <c r="HE45" s="321"/>
      <c r="HF45" s="321"/>
      <c r="HG45" s="321"/>
      <c r="HH45" s="321"/>
      <c r="HI45" s="321"/>
      <c r="HJ45" s="321"/>
      <c r="HK45" s="321"/>
      <c r="HL45" s="321"/>
      <c r="HM45" s="321"/>
      <c r="HN45" s="321"/>
      <c r="HO45" s="321"/>
      <c r="HP45" s="321"/>
      <c r="HQ45" s="321"/>
      <c r="HR45" s="321"/>
      <c r="HS45" s="321"/>
      <c r="HT45" s="321"/>
      <c r="HU45" s="321"/>
      <c r="HV45" s="321"/>
      <c r="HW45" s="321"/>
      <c r="HX45" s="321"/>
      <c r="HY45" s="321"/>
      <c r="HZ45" s="321"/>
      <c r="IA45" s="321"/>
      <c r="IB45" s="321"/>
      <c r="IC45" s="321"/>
      <c r="ID45" s="321"/>
      <c r="IE45" s="321"/>
      <c r="IF45" s="321"/>
      <c r="IG45" s="321"/>
      <c r="IH45" s="321"/>
      <c r="II45" s="321"/>
      <c r="IJ45" s="321"/>
      <c r="IK45" s="321"/>
      <c r="IL45" s="321"/>
      <c r="IM45" s="321"/>
      <c r="IN45" s="321"/>
      <c r="IO45" s="321"/>
      <c r="IP45" s="321"/>
      <c r="IQ45" s="321"/>
      <c r="IR45" s="321"/>
      <c r="IS45" s="321"/>
      <c r="IT45" s="321"/>
      <c r="IU45" s="321"/>
      <c r="IV45" s="321"/>
    </row>
    <row r="46" spans="1:256" s="546" customFormat="1" ht="22.5" customHeight="1">
      <c r="A46" s="561">
        <v>38</v>
      </c>
      <c r="B46" s="554"/>
      <c r="C46" s="361">
        <v>10</v>
      </c>
      <c r="D46" s="558" t="s">
        <v>757</v>
      </c>
      <c r="E46" s="330"/>
      <c r="F46" s="550"/>
      <c r="G46" s="331"/>
      <c r="H46" s="762" t="s">
        <v>24</v>
      </c>
      <c r="I46" s="777"/>
      <c r="J46" s="773"/>
      <c r="K46" s="773"/>
      <c r="L46" s="773"/>
      <c r="M46" s="773"/>
      <c r="N46" s="773"/>
      <c r="O46" s="745"/>
      <c r="P46" s="55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1"/>
      <c r="AZ46" s="321"/>
      <c r="BA46" s="321"/>
      <c r="BB46" s="321"/>
      <c r="BC46" s="321"/>
      <c r="BD46" s="321"/>
      <c r="BE46" s="321"/>
      <c r="BF46" s="321"/>
      <c r="BG46" s="321"/>
      <c r="BH46" s="321"/>
      <c r="BI46" s="321"/>
      <c r="BJ46" s="321"/>
      <c r="BK46" s="321"/>
      <c r="BL46" s="321"/>
      <c r="BM46" s="321"/>
      <c r="BN46" s="321"/>
      <c r="BO46" s="321"/>
      <c r="BP46" s="321"/>
      <c r="BQ46" s="321"/>
      <c r="BR46" s="321"/>
      <c r="BS46" s="321"/>
      <c r="BT46" s="321"/>
      <c r="BU46" s="321"/>
      <c r="BV46" s="321"/>
      <c r="BW46" s="321"/>
      <c r="BX46" s="321"/>
      <c r="BY46" s="321"/>
      <c r="BZ46" s="321"/>
      <c r="CA46" s="321"/>
      <c r="CB46" s="321"/>
      <c r="CC46" s="321"/>
      <c r="CD46" s="321"/>
      <c r="CE46" s="321"/>
      <c r="CF46" s="321"/>
      <c r="CG46" s="321"/>
      <c r="CH46" s="321"/>
      <c r="CI46" s="321"/>
      <c r="CJ46" s="321"/>
      <c r="CK46" s="321"/>
      <c r="CL46" s="321"/>
      <c r="CM46" s="321"/>
      <c r="CN46" s="321"/>
      <c r="CO46" s="321"/>
      <c r="CP46" s="321"/>
      <c r="CQ46" s="321"/>
      <c r="CR46" s="321"/>
      <c r="CS46" s="321"/>
      <c r="CT46" s="321"/>
      <c r="CU46" s="321"/>
      <c r="CV46" s="321"/>
      <c r="CW46" s="321"/>
      <c r="CX46" s="321"/>
      <c r="CY46" s="321"/>
      <c r="CZ46" s="321"/>
      <c r="DA46" s="321"/>
      <c r="DB46" s="321"/>
      <c r="DC46" s="321"/>
      <c r="DD46" s="321"/>
      <c r="DE46" s="321"/>
      <c r="DF46" s="321"/>
      <c r="DG46" s="321"/>
      <c r="DH46" s="321"/>
      <c r="DI46" s="321"/>
      <c r="DJ46" s="321"/>
      <c r="DK46" s="321"/>
      <c r="DL46" s="321"/>
      <c r="DM46" s="321"/>
      <c r="DN46" s="321"/>
      <c r="DO46" s="321"/>
      <c r="DP46" s="321"/>
      <c r="DQ46" s="321"/>
      <c r="DR46" s="321"/>
      <c r="DS46" s="321"/>
      <c r="DT46" s="321"/>
      <c r="DU46" s="321"/>
      <c r="DV46" s="321"/>
      <c r="DW46" s="321"/>
      <c r="DX46" s="321"/>
      <c r="DY46" s="321"/>
      <c r="DZ46" s="321"/>
      <c r="EA46" s="321"/>
      <c r="EB46" s="321"/>
      <c r="EC46" s="321"/>
      <c r="ED46" s="321"/>
      <c r="EE46" s="321"/>
      <c r="EF46" s="321"/>
      <c r="EG46" s="321"/>
      <c r="EH46" s="321"/>
      <c r="EI46" s="321"/>
      <c r="EJ46" s="321"/>
      <c r="EK46" s="321"/>
      <c r="EL46" s="321"/>
      <c r="EM46" s="321"/>
      <c r="EN46" s="321"/>
      <c r="EO46" s="321"/>
      <c r="EP46" s="321"/>
      <c r="EQ46" s="321"/>
      <c r="ER46" s="321"/>
      <c r="ES46" s="321"/>
      <c r="ET46" s="321"/>
      <c r="EU46" s="321"/>
      <c r="EV46" s="321"/>
      <c r="EW46" s="321"/>
      <c r="EX46" s="321"/>
      <c r="EY46" s="321"/>
      <c r="EZ46" s="321"/>
      <c r="FA46" s="321"/>
      <c r="FB46" s="321"/>
      <c r="FC46" s="321"/>
      <c r="FD46" s="321"/>
      <c r="FE46" s="321"/>
      <c r="FF46" s="321"/>
      <c r="FG46" s="321"/>
      <c r="FH46" s="321"/>
      <c r="FI46" s="321"/>
      <c r="FJ46" s="321"/>
      <c r="FK46" s="321"/>
      <c r="FL46" s="321"/>
      <c r="FM46" s="321"/>
      <c r="FN46" s="321"/>
      <c r="FO46" s="321"/>
      <c r="FP46" s="321"/>
      <c r="FQ46" s="321"/>
      <c r="FR46" s="321"/>
      <c r="FS46" s="321"/>
      <c r="FT46" s="321"/>
      <c r="FU46" s="321"/>
      <c r="FV46" s="321"/>
      <c r="FW46" s="321"/>
      <c r="FX46" s="321"/>
      <c r="FY46" s="321"/>
      <c r="FZ46" s="321"/>
      <c r="GA46" s="321"/>
      <c r="GB46" s="321"/>
      <c r="GC46" s="321"/>
      <c r="GD46" s="321"/>
      <c r="GE46" s="321"/>
      <c r="GF46" s="321"/>
      <c r="GG46" s="321"/>
      <c r="GH46" s="321"/>
      <c r="GI46" s="321"/>
      <c r="GJ46" s="321"/>
      <c r="GK46" s="321"/>
      <c r="GL46" s="321"/>
      <c r="GM46" s="321"/>
      <c r="GN46" s="321"/>
      <c r="GO46" s="321"/>
      <c r="GP46" s="321"/>
      <c r="GQ46" s="321"/>
      <c r="GR46" s="321"/>
      <c r="GS46" s="321"/>
      <c r="GT46" s="321"/>
      <c r="GU46" s="321"/>
      <c r="GV46" s="321"/>
      <c r="GW46" s="321"/>
      <c r="GX46" s="321"/>
      <c r="GY46" s="321"/>
      <c r="GZ46" s="321"/>
      <c r="HA46" s="321"/>
      <c r="HB46" s="321"/>
      <c r="HC46" s="321"/>
      <c r="HD46" s="321"/>
      <c r="HE46" s="321"/>
      <c r="HF46" s="321"/>
      <c r="HG46" s="321"/>
      <c r="HH46" s="321"/>
      <c r="HI46" s="321"/>
      <c r="HJ46" s="321"/>
      <c r="HK46" s="321"/>
      <c r="HL46" s="321"/>
      <c r="HM46" s="321"/>
      <c r="HN46" s="321"/>
      <c r="HO46" s="321"/>
      <c r="HP46" s="321"/>
      <c r="HQ46" s="321"/>
      <c r="HR46" s="321"/>
      <c r="HS46" s="321"/>
      <c r="HT46" s="321"/>
      <c r="HU46" s="321"/>
      <c r="HV46" s="321"/>
      <c r="HW46" s="321"/>
      <c r="HX46" s="321"/>
      <c r="HY46" s="321"/>
      <c r="HZ46" s="321"/>
      <c r="IA46" s="321"/>
      <c r="IB46" s="321"/>
      <c r="IC46" s="321"/>
      <c r="ID46" s="321"/>
      <c r="IE46" s="321"/>
      <c r="IF46" s="321"/>
      <c r="IG46" s="321"/>
      <c r="IH46" s="321"/>
      <c r="II46" s="321"/>
      <c r="IJ46" s="321"/>
      <c r="IK46" s="321"/>
      <c r="IL46" s="321"/>
      <c r="IM46" s="321"/>
      <c r="IN46" s="321"/>
      <c r="IO46" s="321"/>
      <c r="IP46" s="321"/>
      <c r="IQ46" s="321"/>
      <c r="IR46" s="321"/>
      <c r="IS46" s="321"/>
      <c r="IT46" s="321"/>
      <c r="IU46" s="321"/>
      <c r="IV46" s="321"/>
    </row>
    <row r="47" spans="1:256" s="546" customFormat="1" ht="18" customHeight="1">
      <c r="A47" s="561">
        <v>39</v>
      </c>
      <c r="B47" s="554"/>
      <c r="C47" s="322"/>
      <c r="D47" s="755" t="s">
        <v>303</v>
      </c>
      <c r="E47" s="330">
        <f>F47+G47+O48+P47</f>
        <v>1905</v>
      </c>
      <c r="F47" s="550"/>
      <c r="G47" s="331"/>
      <c r="H47" s="762"/>
      <c r="I47" s="777"/>
      <c r="J47" s="773"/>
      <c r="K47" s="773"/>
      <c r="L47" s="773"/>
      <c r="M47" s="773">
        <v>1905</v>
      </c>
      <c r="N47" s="773"/>
      <c r="O47" s="745">
        <f>SUM(I47:N47)</f>
        <v>1905</v>
      </c>
      <c r="P47" s="55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c r="AU47" s="321"/>
      <c r="AV47" s="321"/>
      <c r="AW47" s="321"/>
      <c r="AX47" s="321"/>
      <c r="AY47" s="321"/>
      <c r="AZ47" s="321"/>
      <c r="BA47" s="321"/>
      <c r="BB47" s="321"/>
      <c r="BC47" s="321"/>
      <c r="BD47" s="321"/>
      <c r="BE47" s="321"/>
      <c r="BF47" s="321"/>
      <c r="BG47" s="321"/>
      <c r="BH47" s="321"/>
      <c r="BI47" s="321"/>
      <c r="BJ47" s="321"/>
      <c r="BK47" s="321"/>
      <c r="BL47" s="321"/>
      <c r="BM47" s="321"/>
      <c r="BN47" s="321"/>
      <c r="BO47" s="321"/>
      <c r="BP47" s="321"/>
      <c r="BQ47" s="321"/>
      <c r="BR47" s="321"/>
      <c r="BS47" s="321"/>
      <c r="BT47" s="321"/>
      <c r="BU47" s="321"/>
      <c r="BV47" s="321"/>
      <c r="BW47" s="321"/>
      <c r="BX47" s="321"/>
      <c r="BY47" s="321"/>
      <c r="BZ47" s="321"/>
      <c r="CA47" s="321"/>
      <c r="CB47" s="321"/>
      <c r="CC47" s="321"/>
      <c r="CD47" s="321"/>
      <c r="CE47" s="321"/>
      <c r="CF47" s="321"/>
      <c r="CG47" s="321"/>
      <c r="CH47" s="321"/>
      <c r="CI47" s="321"/>
      <c r="CJ47" s="321"/>
      <c r="CK47" s="321"/>
      <c r="CL47" s="321"/>
      <c r="CM47" s="321"/>
      <c r="CN47" s="321"/>
      <c r="CO47" s="321"/>
      <c r="CP47" s="321"/>
      <c r="CQ47" s="321"/>
      <c r="CR47" s="321"/>
      <c r="CS47" s="321"/>
      <c r="CT47" s="321"/>
      <c r="CU47" s="321"/>
      <c r="CV47" s="321"/>
      <c r="CW47" s="321"/>
      <c r="CX47" s="321"/>
      <c r="CY47" s="321"/>
      <c r="CZ47" s="321"/>
      <c r="DA47" s="321"/>
      <c r="DB47" s="321"/>
      <c r="DC47" s="321"/>
      <c r="DD47" s="321"/>
      <c r="DE47" s="321"/>
      <c r="DF47" s="321"/>
      <c r="DG47" s="321"/>
      <c r="DH47" s="321"/>
      <c r="DI47" s="321"/>
      <c r="DJ47" s="321"/>
      <c r="DK47" s="321"/>
      <c r="DL47" s="321"/>
      <c r="DM47" s="321"/>
      <c r="DN47" s="321"/>
      <c r="DO47" s="321"/>
      <c r="DP47" s="321"/>
      <c r="DQ47" s="321"/>
      <c r="DR47" s="321"/>
      <c r="DS47" s="321"/>
      <c r="DT47" s="321"/>
      <c r="DU47" s="321"/>
      <c r="DV47" s="321"/>
      <c r="DW47" s="321"/>
      <c r="DX47" s="321"/>
      <c r="DY47" s="321"/>
      <c r="DZ47" s="321"/>
      <c r="EA47" s="321"/>
      <c r="EB47" s="321"/>
      <c r="EC47" s="321"/>
      <c r="ED47" s="321"/>
      <c r="EE47" s="321"/>
      <c r="EF47" s="321"/>
      <c r="EG47" s="321"/>
      <c r="EH47" s="321"/>
      <c r="EI47" s="321"/>
      <c r="EJ47" s="321"/>
      <c r="EK47" s="321"/>
      <c r="EL47" s="321"/>
      <c r="EM47" s="321"/>
      <c r="EN47" s="321"/>
      <c r="EO47" s="321"/>
      <c r="EP47" s="321"/>
      <c r="EQ47" s="321"/>
      <c r="ER47" s="321"/>
      <c r="ES47" s="321"/>
      <c r="ET47" s="321"/>
      <c r="EU47" s="321"/>
      <c r="EV47" s="321"/>
      <c r="EW47" s="321"/>
      <c r="EX47" s="321"/>
      <c r="EY47" s="321"/>
      <c r="EZ47" s="321"/>
      <c r="FA47" s="321"/>
      <c r="FB47" s="321"/>
      <c r="FC47" s="321"/>
      <c r="FD47" s="321"/>
      <c r="FE47" s="321"/>
      <c r="FF47" s="321"/>
      <c r="FG47" s="321"/>
      <c r="FH47" s="321"/>
      <c r="FI47" s="321"/>
      <c r="FJ47" s="321"/>
      <c r="FK47" s="321"/>
      <c r="FL47" s="321"/>
      <c r="FM47" s="321"/>
      <c r="FN47" s="321"/>
      <c r="FO47" s="321"/>
      <c r="FP47" s="321"/>
      <c r="FQ47" s="321"/>
      <c r="FR47" s="321"/>
      <c r="FS47" s="321"/>
      <c r="FT47" s="321"/>
      <c r="FU47" s="321"/>
      <c r="FV47" s="321"/>
      <c r="FW47" s="321"/>
      <c r="FX47" s="321"/>
      <c r="FY47" s="321"/>
      <c r="FZ47" s="321"/>
      <c r="GA47" s="321"/>
      <c r="GB47" s="321"/>
      <c r="GC47" s="321"/>
      <c r="GD47" s="321"/>
      <c r="GE47" s="321"/>
      <c r="GF47" s="321"/>
      <c r="GG47" s="321"/>
      <c r="GH47" s="321"/>
      <c r="GI47" s="321"/>
      <c r="GJ47" s="321"/>
      <c r="GK47" s="321"/>
      <c r="GL47" s="321"/>
      <c r="GM47" s="321"/>
      <c r="GN47" s="321"/>
      <c r="GO47" s="321"/>
      <c r="GP47" s="321"/>
      <c r="GQ47" s="321"/>
      <c r="GR47" s="321"/>
      <c r="GS47" s="321"/>
      <c r="GT47" s="321"/>
      <c r="GU47" s="321"/>
      <c r="GV47" s="321"/>
      <c r="GW47" s="321"/>
      <c r="GX47" s="321"/>
      <c r="GY47" s="321"/>
      <c r="GZ47" s="321"/>
      <c r="HA47" s="321"/>
      <c r="HB47" s="321"/>
      <c r="HC47" s="321"/>
      <c r="HD47" s="321"/>
      <c r="HE47" s="321"/>
      <c r="HF47" s="321"/>
      <c r="HG47" s="321"/>
      <c r="HH47" s="321"/>
      <c r="HI47" s="321"/>
      <c r="HJ47" s="321"/>
      <c r="HK47" s="321"/>
      <c r="HL47" s="321"/>
      <c r="HM47" s="321"/>
      <c r="HN47" s="321"/>
      <c r="HO47" s="321"/>
      <c r="HP47" s="321"/>
      <c r="HQ47" s="321"/>
      <c r="HR47" s="321"/>
      <c r="HS47" s="321"/>
      <c r="HT47" s="321"/>
      <c r="HU47" s="321"/>
      <c r="HV47" s="321"/>
      <c r="HW47" s="321"/>
      <c r="HX47" s="321"/>
      <c r="HY47" s="321"/>
      <c r="HZ47" s="321"/>
      <c r="IA47" s="321"/>
      <c r="IB47" s="321"/>
      <c r="IC47" s="321"/>
      <c r="ID47" s="321"/>
      <c r="IE47" s="321"/>
      <c r="IF47" s="321"/>
      <c r="IG47" s="321"/>
      <c r="IH47" s="321"/>
      <c r="II47" s="321"/>
      <c r="IJ47" s="321"/>
      <c r="IK47" s="321"/>
      <c r="IL47" s="321"/>
      <c r="IM47" s="321"/>
      <c r="IN47" s="321"/>
      <c r="IO47" s="321"/>
      <c r="IP47" s="321"/>
      <c r="IQ47" s="321"/>
      <c r="IR47" s="321"/>
      <c r="IS47" s="321"/>
      <c r="IT47" s="321"/>
      <c r="IU47" s="321"/>
      <c r="IV47" s="321"/>
    </row>
    <row r="48" spans="1:256" s="546" customFormat="1" ht="18" customHeight="1">
      <c r="A48" s="561">
        <v>40</v>
      </c>
      <c r="B48" s="554"/>
      <c r="C48" s="322"/>
      <c r="D48" s="436" t="s">
        <v>994</v>
      </c>
      <c r="E48" s="330"/>
      <c r="F48" s="550"/>
      <c r="G48" s="331"/>
      <c r="H48" s="762"/>
      <c r="I48" s="777"/>
      <c r="J48" s="773"/>
      <c r="K48" s="773"/>
      <c r="L48" s="773"/>
      <c r="M48" s="1131">
        <v>1905</v>
      </c>
      <c r="N48" s="1131"/>
      <c r="O48" s="555">
        <f>SUM(I48:N48)</f>
        <v>1905</v>
      </c>
      <c r="P48" s="55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AU48" s="321"/>
      <c r="AV48" s="321"/>
      <c r="AW48" s="321"/>
      <c r="AX48" s="321"/>
      <c r="AY48" s="321"/>
      <c r="AZ48" s="321"/>
      <c r="BA48" s="321"/>
      <c r="BB48" s="321"/>
      <c r="BC48" s="321"/>
      <c r="BD48" s="321"/>
      <c r="BE48" s="321"/>
      <c r="BF48" s="321"/>
      <c r="BG48" s="321"/>
      <c r="BH48" s="321"/>
      <c r="BI48" s="321"/>
      <c r="BJ48" s="321"/>
      <c r="BK48" s="321"/>
      <c r="BL48" s="321"/>
      <c r="BM48" s="321"/>
      <c r="BN48" s="321"/>
      <c r="BO48" s="321"/>
      <c r="BP48" s="321"/>
      <c r="BQ48" s="321"/>
      <c r="BR48" s="321"/>
      <c r="BS48" s="321"/>
      <c r="BT48" s="321"/>
      <c r="BU48" s="321"/>
      <c r="BV48" s="321"/>
      <c r="BW48" s="321"/>
      <c r="BX48" s="321"/>
      <c r="BY48" s="321"/>
      <c r="BZ48" s="321"/>
      <c r="CA48" s="321"/>
      <c r="CB48" s="321"/>
      <c r="CC48" s="321"/>
      <c r="CD48" s="321"/>
      <c r="CE48" s="321"/>
      <c r="CF48" s="321"/>
      <c r="CG48" s="321"/>
      <c r="CH48" s="321"/>
      <c r="CI48" s="321"/>
      <c r="CJ48" s="321"/>
      <c r="CK48" s="321"/>
      <c r="CL48" s="321"/>
      <c r="CM48" s="321"/>
      <c r="CN48" s="321"/>
      <c r="CO48" s="321"/>
      <c r="CP48" s="321"/>
      <c r="CQ48" s="321"/>
      <c r="CR48" s="321"/>
      <c r="CS48" s="321"/>
      <c r="CT48" s="321"/>
      <c r="CU48" s="321"/>
      <c r="CV48" s="321"/>
      <c r="CW48" s="321"/>
      <c r="CX48" s="321"/>
      <c r="CY48" s="321"/>
      <c r="CZ48" s="321"/>
      <c r="DA48" s="321"/>
      <c r="DB48" s="321"/>
      <c r="DC48" s="321"/>
      <c r="DD48" s="321"/>
      <c r="DE48" s="321"/>
      <c r="DF48" s="321"/>
      <c r="DG48" s="321"/>
      <c r="DH48" s="321"/>
      <c r="DI48" s="321"/>
      <c r="DJ48" s="321"/>
      <c r="DK48" s="321"/>
      <c r="DL48" s="321"/>
      <c r="DM48" s="321"/>
      <c r="DN48" s="321"/>
      <c r="DO48" s="321"/>
      <c r="DP48" s="321"/>
      <c r="DQ48" s="321"/>
      <c r="DR48" s="321"/>
      <c r="DS48" s="321"/>
      <c r="DT48" s="321"/>
      <c r="DU48" s="321"/>
      <c r="DV48" s="321"/>
      <c r="DW48" s="321"/>
      <c r="DX48" s="321"/>
      <c r="DY48" s="321"/>
      <c r="DZ48" s="321"/>
      <c r="EA48" s="321"/>
      <c r="EB48" s="321"/>
      <c r="EC48" s="321"/>
      <c r="ED48" s="321"/>
      <c r="EE48" s="321"/>
      <c r="EF48" s="321"/>
      <c r="EG48" s="321"/>
      <c r="EH48" s="321"/>
      <c r="EI48" s="321"/>
      <c r="EJ48" s="321"/>
      <c r="EK48" s="321"/>
      <c r="EL48" s="321"/>
      <c r="EM48" s="321"/>
      <c r="EN48" s="321"/>
      <c r="EO48" s="321"/>
      <c r="EP48" s="321"/>
      <c r="EQ48" s="321"/>
      <c r="ER48" s="321"/>
      <c r="ES48" s="321"/>
      <c r="ET48" s="321"/>
      <c r="EU48" s="321"/>
      <c r="EV48" s="321"/>
      <c r="EW48" s="321"/>
      <c r="EX48" s="321"/>
      <c r="EY48" s="321"/>
      <c r="EZ48" s="321"/>
      <c r="FA48" s="321"/>
      <c r="FB48" s="321"/>
      <c r="FC48" s="321"/>
      <c r="FD48" s="321"/>
      <c r="FE48" s="321"/>
      <c r="FF48" s="321"/>
      <c r="FG48" s="321"/>
      <c r="FH48" s="321"/>
      <c r="FI48" s="321"/>
      <c r="FJ48" s="321"/>
      <c r="FK48" s="321"/>
      <c r="FL48" s="321"/>
      <c r="FM48" s="321"/>
      <c r="FN48" s="321"/>
      <c r="FO48" s="321"/>
      <c r="FP48" s="321"/>
      <c r="FQ48" s="321"/>
      <c r="FR48" s="321"/>
      <c r="FS48" s="321"/>
      <c r="FT48" s="321"/>
      <c r="FU48" s="321"/>
      <c r="FV48" s="321"/>
      <c r="FW48" s="321"/>
      <c r="FX48" s="321"/>
      <c r="FY48" s="321"/>
      <c r="FZ48" s="321"/>
      <c r="GA48" s="321"/>
      <c r="GB48" s="321"/>
      <c r="GC48" s="321"/>
      <c r="GD48" s="321"/>
      <c r="GE48" s="321"/>
      <c r="GF48" s="321"/>
      <c r="GG48" s="321"/>
      <c r="GH48" s="321"/>
      <c r="GI48" s="321"/>
      <c r="GJ48" s="321"/>
      <c r="GK48" s="321"/>
      <c r="GL48" s="321"/>
      <c r="GM48" s="321"/>
      <c r="GN48" s="321"/>
      <c r="GO48" s="321"/>
      <c r="GP48" s="321"/>
      <c r="GQ48" s="321"/>
      <c r="GR48" s="321"/>
      <c r="GS48" s="321"/>
      <c r="GT48" s="321"/>
      <c r="GU48" s="321"/>
      <c r="GV48" s="321"/>
      <c r="GW48" s="321"/>
      <c r="GX48" s="321"/>
      <c r="GY48" s="321"/>
      <c r="GZ48" s="321"/>
      <c r="HA48" s="321"/>
      <c r="HB48" s="321"/>
      <c r="HC48" s="321"/>
      <c r="HD48" s="321"/>
      <c r="HE48" s="321"/>
      <c r="HF48" s="321"/>
      <c r="HG48" s="321"/>
      <c r="HH48" s="321"/>
      <c r="HI48" s="321"/>
      <c r="HJ48" s="321"/>
      <c r="HK48" s="321"/>
      <c r="HL48" s="321"/>
      <c r="HM48" s="321"/>
      <c r="HN48" s="321"/>
      <c r="HO48" s="321"/>
      <c r="HP48" s="321"/>
      <c r="HQ48" s="321"/>
      <c r="HR48" s="321"/>
      <c r="HS48" s="321"/>
      <c r="HT48" s="321"/>
      <c r="HU48" s="321"/>
      <c r="HV48" s="321"/>
      <c r="HW48" s="321"/>
      <c r="HX48" s="321"/>
      <c r="HY48" s="321"/>
      <c r="HZ48" s="321"/>
      <c r="IA48" s="321"/>
      <c r="IB48" s="321"/>
      <c r="IC48" s="321"/>
      <c r="ID48" s="321"/>
      <c r="IE48" s="321"/>
      <c r="IF48" s="321"/>
      <c r="IG48" s="321"/>
      <c r="IH48" s="321"/>
      <c r="II48" s="321"/>
      <c r="IJ48" s="321"/>
      <c r="IK48" s="321"/>
      <c r="IL48" s="321"/>
      <c r="IM48" s="321"/>
      <c r="IN48" s="321"/>
      <c r="IO48" s="321"/>
      <c r="IP48" s="321"/>
      <c r="IQ48" s="321"/>
      <c r="IR48" s="321"/>
      <c r="IS48" s="321"/>
      <c r="IT48" s="321"/>
      <c r="IU48" s="321"/>
      <c r="IV48" s="321"/>
    </row>
    <row r="49" spans="1:256" s="546" customFormat="1" ht="18" customHeight="1">
      <c r="A49" s="561">
        <v>41</v>
      </c>
      <c r="B49" s="554"/>
      <c r="C49" s="322"/>
      <c r="D49" s="987" t="s">
        <v>1036</v>
      </c>
      <c r="E49" s="330"/>
      <c r="F49" s="550"/>
      <c r="G49" s="331"/>
      <c r="H49" s="762"/>
      <c r="I49" s="758"/>
      <c r="J49" s="547"/>
      <c r="K49" s="547"/>
      <c r="L49" s="547"/>
      <c r="M49" s="1266">
        <v>0</v>
      </c>
      <c r="N49" s="547"/>
      <c r="O49" s="1175">
        <f>SUM(I49:N49)</f>
        <v>0</v>
      </c>
      <c r="P49" s="55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1"/>
      <c r="BN49" s="321"/>
      <c r="BO49" s="321"/>
      <c r="BP49" s="321"/>
      <c r="BQ49" s="321"/>
      <c r="BR49" s="321"/>
      <c r="BS49" s="321"/>
      <c r="BT49" s="321"/>
      <c r="BU49" s="321"/>
      <c r="BV49" s="321"/>
      <c r="BW49" s="321"/>
      <c r="BX49" s="321"/>
      <c r="BY49" s="321"/>
      <c r="BZ49" s="321"/>
      <c r="CA49" s="321"/>
      <c r="CB49" s="321"/>
      <c r="CC49" s="321"/>
      <c r="CD49" s="321"/>
      <c r="CE49" s="321"/>
      <c r="CF49" s="321"/>
      <c r="CG49" s="321"/>
      <c r="CH49" s="321"/>
      <c r="CI49" s="321"/>
      <c r="CJ49" s="321"/>
      <c r="CK49" s="321"/>
      <c r="CL49" s="321"/>
      <c r="CM49" s="321"/>
      <c r="CN49" s="321"/>
      <c r="CO49" s="321"/>
      <c r="CP49" s="321"/>
      <c r="CQ49" s="321"/>
      <c r="CR49" s="321"/>
      <c r="CS49" s="321"/>
      <c r="CT49" s="321"/>
      <c r="CU49" s="321"/>
      <c r="CV49" s="321"/>
      <c r="CW49" s="321"/>
      <c r="CX49" s="321"/>
      <c r="CY49" s="321"/>
      <c r="CZ49" s="321"/>
      <c r="DA49" s="321"/>
      <c r="DB49" s="321"/>
      <c r="DC49" s="321"/>
      <c r="DD49" s="321"/>
      <c r="DE49" s="321"/>
      <c r="DF49" s="321"/>
      <c r="DG49" s="321"/>
      <c r="DH49" s="321"/>
      <c r="DI49" s="321"/>
      <c r="DJ49" s="321"/>
      <c r="DK49" s="321"/>
      <c r="DL49" s="321"/>
      <c r="DM49" s="321"/>
      <c r="DN49" s="321"/>
      <c r="DO49" s="321"/>
      <c r="DP49" s="321"/>
      <c r="DQ49" s="321"/>
      <c r="DR49" s="321"/>
      <c r="DS49" s="321"/>
      <c r="DT49" s="321"/>
      <c r="DU49" s="321"/>
      <c r="DV49" s="321"/>
      <c r="DW49" s="321"/>
      <c r="DX49" s="321"/>
      <c r="DY49" s="321"/>
      <c r="DZ49" s="321"/>
      <c r="EA49" s="321"/>
      <c r="EB49" s="321"/>
      <c r="EC49" s="321"/>
      <c r="ED49" s="321"/>
      <c r="EE49" s="321"/>
      <c r="EF49" s="321"/>
      <c r="EG49" s="321"/>
      <c r="EH49" s="321"/>
      <c r="EI49" s="321"/>
      <c r="EJ49" s="321"/>
      <c r="EK49" s="321"/>
      <c r="EL49" s="321"/>
      <c r="EM49" s="321"/>
      <c r="EN49" s="321"/>
      <c r="EO49" s="321"/>
      <c r="EP49" s="321"/>
      <c r="EQ49" s="321"/>
      <c r="ER49" s="321"/>
      <c r="ES49" s="321"/>
      <c r="ET49" s="321"/>
      <c r="EU49" s="321"/>
      <c r="EV49" s="321"/>
      <c r="EW49" s="321"/>
      <c r="EX49" s="321"/>
      <c r="EY49" s="321"/>
      <c r="EZ49" s="321"/>
      <c r="FA49" s="321"/>
      <c r="FB49" s="321"/>
      <c r="FC49" s="321"/>
      <c r="FD49" s="321"/>
      <c r="FE49" s="321"/>
      <c r="FF49" s="321"/>
      <c r="FG49" s="321"/>
      <c r="FH49" s="321"/>
      <c r="FI49" s="321"/>
      <c r="FJ49" s="321"/>
      <c r="FK49" s="321"/>
      <c r="FL49" s="321"/>
      <c r="FM49" s="321"/>
      <c r="FN49" s="321"/>
      <c r="FO49" s="321"/>
      <c r="FP49" s="321"/>
      <c r="FQ49" s="321"/>
      <c r="FR49" s="321"/>
      <c r="FS49" s="321"/>
      <c r="FT49" s="321"/>
      <c r="FU49" s="321"/>
      <c r="FV49" s="321"/>
      <c r="FW49" s="321"/>
      <c r="FX49" s="321"/>
      <c r="FY49" s="321"/>
      <c r="FZ49" s="321"/>
      <c r="GA49" s="321"/>
      <c r="GB49" s="321"/>
      <c r="GC49" s="321"/>
      <c r="GD49" s="321"/>
      <c r="GE49" s="321"/>
      <c r="GF49" s="321"/>
      <c r="GG49" s="321"/>
      <c r="GH49" s="321"/>
      <c r="GI49" s="321"/>
      <c r="GJ49" s="321"/>
      <c r="GK49" s="321"/>
      <c r="GL49" s="321"/>
      <c r="GM49" s="321"/>
      <c r="GN49" s="321"/>
      <c r="GO49" s="321"/>
      <c r="GP49" s="321"/>
      <c r="GQ49" s="321"/>
      <c r="GR49" s="321"/>
      <c r="GS49" s="321"/>
      <c r="GT49" s="321"/>
      <c r="GU49" s="321"/>
      <c r="GV49" s="321"/>
      <c r="GW49" s="321"/>
      <c r="GX49" s="321"/>
      <c r="GY49" s="321"/>
      <c r="GZ49" s="321"/>
      <c r="HA49" s="321"/>
      <c r="HB49" s="321"/>
      <c r="HC49" s="321"/>
      <c r="HD49" s="321"/>
      <c r="HE49" s="321"/>
      <c r="HF49" s="321"/>
      <c r="HG49" s="321"/>
      <c r="HH49" s="321"/>
      <c r="HI49" s="321"/>
      <c r="HJ49" s="321"/>
      <c r="HK49" s="321"/>
      <c r="HL49" s="321"/>
      <c r="HM49" s="321"/>
      <c r="HN49" s="321"/>
      <c r="HO49" s="321"/>
      <c r="HP49" s="321"/>
      <c r="HQ49" s="321"/>
      <c r="HR49" s="321"/>
      <c r="HS49" s="321"/>
      <c r="HT49" s="321"/>
      <c r="HU49" s="321"/>
      <c r="HV49" s="321"/>
      <c r="HW49" s="321"/>
      <c r="HX49" s="321"/>
      <c r="HY49" s="321"/>
      <c r="HZ49" s="321"/>
      <c r="IA49" s="321"/>
      <c r="IB49" s="321"/>
      <c r="IC49" s="321"/>
      <c r="ID49" s="321"/>
      <c r="IE49" s="321"/>
      <c r="IF49" s="321"/>
      <c r="IG49" s="321"/>
      <c r="IH49" s="321"/>
      <c r="II49" s="321"/>
      <c r="IJ49" s="321"/>
      <c r="IK49" s="321"/>
      <c r="IL49" s="321"/>
      <c r="IM49" s="321"/>
      <c r="IN49" s="321"/>
      <c r="IO49" s="321"/>
      <c r="IP49" s="321"/>
      <c r="IQ49" s="321"/>
      <c r="IR49" s="321"/>
      <c r="IS49" s="321"/>
      <c r="IT49" s="321"/>
      <c r="IU49" s="321"/>
      <c r="IV49" s="321"/>
    </row>
    <row r="50" spans="1:256" s="546" customFormat="1" ht="22.5" customHeight="1">
      <c r="A50" s="561">
        <v>42</v>
      </c>
      <c r="B50" s="554"/>
      <c r="C50" s="959">
        <v>11</v>
      </c>
      <c r="D50" s="958" t="s">
        <v>753</v>
      </c>
      <c r="E50" s="330"/>
      <c r="F50" s="550"/>
      <c r="G50" s="331"/>
      <c r="H50" s="762" t="s">
        <v>24</v>
      </c>
      <c r="I50" s="777"/>
      <c r="J50" s="773"/>
      <c r="K50" s="773"/>
      <c r="L50" s="773"/>
      <c r="M50" s="773"/>
      <c r="N50" s="773"/>
      <c r="O50" s="745"/>
      <c r="P50" s="55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1"/>
      <c r="BP50" s="321"/>
      <c r="BQ50" s="321"/>
      <c r="BR50" s="321"/>
      <c r="BS50" s="321"/>
      <c r="BT50" s="321"/>
      <c r="BU50" s="321"/>
      <c r="BV50" s="321"/>
      <c r="BW50" s="321"/>
      <c r="BX50" s="321"/>
      <c r="BY50" s="321"/>
      <c r="BZ50" s="321"/>
      <c r="CA50" s="321"/>
      <c r="CB50" s="321"/>
      <c r="CC50" s="321"/>
      <c r="CD50" s="321"/>
      <c r="CE50" s="321"/>
      <c r="CF50" s="321"/>
      <c r="CG50" s="321"/>
      <c r="CH50" s="321"/>
      <c r="CI50" s="321"/>
      <c r="CJ50" s="321"/>
      <c r="CK50" s="321"/>
      <c r="CL50" s="321"/>
      <c r="CM50" s="321"/>
      <c r="CN50" s="321"/>
      <c r="CO50" s="321"/>
      <c r="CP50" s="321"/>
      <c r="CQ50" s="321"/>
      <c r="CR50" s="321"/>
      <c r="CS50" s="321"/>
      <c r="CT50" s="321"/>
      <c r="CU50" s="321"/>
      <c r="CV50" s="321"/>
      <c r="CW50" s="321"/>
      <c r="CX50" s="321"/>
      <c r="CY50" s="321"/>
      <c r="CZ50" s="321"/>
      <c r="DA50" s="321"/>
      <c r="DB50" s="321"/>
      <c r="DC50" s="321"/>
      <c r="DD50" s="321"/>
      <c r="DE50" s="321"/>
      <c r="DF50" s="321"/>
      <c r="DG50" s="321"/>
      <c r="DH50" s="321"/>
      <c r="DI50" s="321"/>
      <c r="DJ50" s="321"/>
      <c r="DK50" s="321"/>
      <c r="DL50" s="321"/>
      <c r="DM50" s="321"/>
      <c r="DN50" s="321"/>
      <c r="DO50" s="321"/>
      <c r="DP50" s="321"/>
      <c r="DQ50" s="321"/>
      <c r="DR50" s="321"/>
      <c r="DS50" s="321"/>
      <c r="DT50" s="321"/>
      <c r="DU50" s="321"/>
      <c r="DV50" s="321"/>
      <c r="DW50" s="321"/>
      <c r="DX50" s="321"/>
      <c r="DY50" s="321"/>
      <c r="DZ50" s="321"/>
      <c r="EA50" s="321"/>
      <c r="EB50" s="321"/>
      <c r="EC50" s="321"/>
      <c r="ED50" s="321"/>
      <c r="EE50" s="321"/>
      <c r="EF50" s="321"/>
      <c r="EG50" s="321"/>
      <c r="EH50" s="321"/>
      <c r="EI50" s="321"/>
      <c r="EJ50" s="321"/>
      <c r="EK50" s="321"/>
      <c r="EL50" s="321"/>
      <c r="EM50" s="321"/>
      <c r="EN50" s="321"/>
      <c r="EO50" s="321"/>
      <c r="EP50" s="321"/>
      <c r="EQ50" s="321"/>
      <c r="ER50" s="321"/>
      <c r="ES50" s="321"/>
      <c r="ET50" s="321"/>
      <c r="EU50" s="321"/>
      <c r="EV50" s="321"/>
      <c r="EW50" s="321"/>
      <c r="EX50" s="321"/>
      <c r="EY50" s="321"/>
      <c r="EZ50" s="321"/>
      <c r="FA50" s="321"/>
      <c r="FB50" s="321"/>
      <c r="FC50" s="321"/>
      <c r="FD50" s="321"/>
      <c r="FE50" s="321"/>
      <c r="FF50" s="321"/>
      <c r="FG50" s="321"/>
      <c r="FH50" s="321"/>
      <c r="FI50" s="321"/>
      <c r="FJ50" s="321"/>
      <c r="FK50" s="321"/>
      <c r="FL50" s="321"/>
      <c r="FM50" s="321"/>
      <c r="FN50" s="321"/>
      <c r="FO50" s="321"/>
      <c r="FP50" s="321"/>
      <c r="FQ50" s="321"/>
      <c r="FR50" s="321"/>
      <c r="FS50" s="321"/>
      <c r="FT50" s="321"/>
      <c r="FU50" s="321"/>
      <c r="FV50" s="321"/>
      <c r="FW50" s="321"/>
      <c r="FX50" s="321"/>
      <c r="FY50" s="321"/>
      <c r="FZ50" s="321"/>
      <c r="GA50" s="321"/>
      <c r="GB50" s="321"/>
      <c r="GC50" s="321"/>
      <c r="GD50" s="321"/>
      <c r="GE50" s="321"/>
      <c r="GF50" s="321"/>
      <c r="GG50" s="321"/>
      <c r="GH50" s="321"/>
      <c r="GI50" s="321"/>
      <c r="GJ50" s="321"/>
      <c r="GK50" s="321"/>
      <c r="GL50" s="321"/>
      <c r="GM50" s="321"/>
      <c r="GN50" s="321"/>
      <c r="GO50" s="321"/>
      <c r="GP50" s="321"/>
      <c r="GQ50" s="321"/>
      <c r="GR50" s="321"/>
      <c r="GS50" s="321"/>
      <c r="GT50" s="321"/>
      <c r="GU50" s="321"/>
      <c r="GV50" s="321"/>
      <c r="GW50" s="321"/>
      <c r="GX50" s="321"/>
      <c r="GY50" s="321"/>
      <c r="GZ50" s="321"/>
      <c r="HA50" s="321"/>
      <c r="HB50" s="321"/>
      <c r="HC50" s="321"/>
      <c r="HD50" s="321"/>
      <c r="HE50" s="321"/>
      <c r="HF50" s="321"/>
      <c r="HG50" s="321"/>
      <c r="HH50" s="321"/>
      <c r="HI50" s="321"/>
      <c r="HJ50" s="321"/>
      <c r="HK50" s="321"/>
      <c r="HL50" s="321"/>
      <c r="HM50" s="321"/>
      <c r="HN50" s="321"/>
      <c r="HO50" s="321"/>
      <c r="HP50" s="321"/>
      <c r="HQ50" s="321"/>
      <c r="HR50" s="321"/>
      <c r="HS50" s="321"/>
      <c r="HT50" s="321"/>
      <c r="HU50" s="321"/>
      <c r="HV50" s="321"/>
      <c r="HW50" s="321"/>
      <c r="HX50" s="321"/>
      <c r="HY50" s="321"/>
      <c r="HZ50" s="321"/>
      <c r="IA50" s="321"/>
      <c r="IB50" s="321"/>
      <c r="IC50" s="321"/>
      <c r="ID50" s="321"/>
      <c r="IE50" s="321"/>
      <c r="IF50" s="321"/>
      <c r="IG50" s="321"/>
      <c r="IH50" s="321"/>
      <c r="II50" s="321"/>
      <c r="IJ50" s="321"/>
      <c r="IK50" s="321"/>
      <c r="IL50" s="321"/>
      <c r="IM50" s="321"/>
      <c r="IN50" s="321"/>
      <c r="IO50" s="321"/>
      <c r="IP50" s="321"/>
      <c r="IQ50" s="321"/>
      <c r="IR50" s="321"/>
      <c r="IS50" s="321"/>
      <c r="IT50" s="321"/>
      <c r="IU50" s="321"/>
      <c r="IV50" s="321"/>
    </row>
    <row r="51" spans="1:256" s="546" customFormat="1" ht="18" customHeight="1">
      <c r="A51" s="561">
        <v>43</v>
      </c>
      <c r="B51" s="554"/>
      <c r="C51" s="322"/>
      <c r="D51" s="755" t="s">
        <v>303</v>
      </c>
      <c r="E51" s="330">
        <f>F51+G51+O52+P51</f>
        <v>3755</v>
      </c>
      <c r="F51" s="550"/>
      <c r="G51" s="331"/>
      <c r="H51" s="762"/>
      <c r="I51" s="777"/>
      <c r="J51" s="773"/>
      <c r="K51" s="773"/>
      <c r="L51" s="773"/>
      <c r="M51" s="773">
        <v>3755</v>
      </c>
      <c r="N51" s="773"/>
      <c r="O51" s="745">
        <f>SUM(I51:N51)</f>
        <v>3755</v>
      </c>
      <c r="P51" s="55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1"/>
      <c r="BN51" s="321"/>
      <c r="BO51" s="321"/>
      <c r="BP51" s="321"/>
      <c r="BQ51" s="321"/>
      <c r="BR51" s="321"/>
      <c r="BS51" s="321"/>
      <c r="BT51" s="321"/>
      <c r="BU51" s="321"/>
      <c r="BV51" s="321"/>
      <c r="BW51" s="321"/>
      <c r="BX51" s="321"/>
      <c r="BY51" s="321"/>
      <c r="BZ51" s="321"/>
      <c r="CA51" s="321"/>
      <c r="CB51" s="321"/>
      <c r="CC51" s="321"/>
      <c r="CD51" s="321"/>
      <c r="CE51" s="321"/>
      <c r="CF51" s="321"/>
      <c r="CG51" s="321"/>
      <c r="CH51" s="321"/>
      <c r="CI51" s="321"/>
      <c r="CJ51" s="321"/>
      <c r="CK51" s="321"/>
      <c r="CL51" s="321"/>
      <c r="CM51" s="321"/>
      <c r="CN51" s="321"/>
      <c r="CO51" s="321"/>
      <c r="CP51" s="321"/>
      <c r="CQ51" s="321"/>
      <c r="CR51" s="321"/>
      <c r="CS51" s="321"/>
      <c r="CT51" s="321"/>
      <c r="CU51" s="321"/>
      <c r="CV51" s="321"/>
      <c r="CW51" s="321"/>
      <c r="CX51" s="321"/>
      <c r="CY51" s="321"/>
      <c r="CZ51" s="321"/>
      <c r="DA51" s="321"/>
      <c r="DB51" s="321"/>
      <c r="DC51" s="321"/>
      <c r="DD51" s="321"/>
      <c r="DE51" s="321"/>
      <c r="DF51" s="321"/>
      <c r="DG51" s="321"/>
      <c r="DH51" s="321"/>
      <c r="DI51" s="321"/>
      <c r="DJ51" s="321"/>
      <c r="DK51" s="321"/>
      <c r="DL51" s="321"/>
      <c r="DM51" s="321"/>
      <c r="DN51" s="321"/>
      <c r="DO51" s="321"/>
      <c r="DP51" s="321"/>
      <c r="DQ51" s="321"/>
      <c r="DR51" s="321"/>
      <c r="DS51" s="321"/>
      <c r="DT51" s="321"/>
      <c r="DU51" s="321"/>
      <c r="DV51" s="321"/>
      <c r="DW51" s="321"/>
      <c r="DX51" s="321"/>
      <c r="DY51" s="321"/>
      <c r="DZ51" s="321"/>
      <c r="EA51" s="321"/>
      <c r="EB51" s="321"/>
      <c r="EC51" s="321"/>
      <c r="ED51" s="321"/>
      <c r="EE51" s="321"/>
      <c r="EF51" s="321"/>
      <c r="EG51" s="321"/>
      <c r="EH51" s="321"/>
      <c r="EI51" s="321"/>
      <c r="EJ51" s="321"/>
      <c r="EK51" s="321"/>
      <c r="EL51" s="321"/>
      <c r="EM51" s="321"/>
      <c r="EN51" s="321"/>
      <c r="EO51" s="321"/>
      <c r="EP51" s="321"/>
      <c r="EQ51" s="321"/>
      <c r="ER51" s="321"/>
      <c r="ES51" s="321"/>
      <c r="ET51" s="321"/>
      <c r="EU51" s="321"/>
      <c r="EV51" s="321"/>
      <c r="EW51" s="321"/>
      <c r="EX51" s="321"/>
      <c r="EY51" s="321"/>
      <c r="EZ51" s="321"/>
      <c r="FA51" s="321"/>
      <c r="FB51" s="321"/>
      <c r="FC51" s="321"/>
      <c r="FD51" s="321"/>
      <c r="FE51" s="321"/>
      <c r="FF51" s="321"/>
      <c r="FG51" s="321"/>
      <c r="FH51" s="321"/>
      <c r="FI51" s="321"/>
      <c r="FJ51" s="321"/>
      <c r="FK51" s="321"/>
      <c r="FL51" s="321"/>
      <c r="FM51" s="321"/>
      <c r="FN51" s="321"/>
      <c r="FO51" s="321"/>
      <c r="FP51" s="321"/>
      <c r="FQ51" s="321"/>
      <c r="FR51" s="321"/>
      <c r="FS51" s="321"/>
      <c r="FT51" s="321"/>
      <c r="FU51" s="321"/>
      <c r="FV51" s="321"/>
      <c r="FW51" s="321"/>
      <c r="FX51" s="321"/>
      <c r="FY51" s="321"/>
      <c r="FZ51" s="321"/>
      <c r="GA51" s="321"/>
      <c r="GB51" s="321"/>
      <c r="GC51" s="321"/>
      <c r="GD51" s="321"/>
      <c r="GE51" s="321"/>
      <c r="GF51" s="321"/>
      <c r="GG51" s="321"/>
      <c r="GH51" s="321"/>
      <c r="GI51" s="321"/>
      <c r="GJ51" s="321"/>
      <c r="GK51" s="321"/>
      <c r="GL51" s="321"/>
      <c r="GM51" s="321"/>
      <c r="GN51" s="321"/>
      <c r="GO51" s="321"/>
      <c r="GP51" s="321"/>
      <c r="GQ51" s="321"/>
      <c r="GR51" s="321"/>
      <c r="GS51" s="321"/>
      <c r="GT51" s="321"/>
      <c r="GU51" s="321"/>
      <c r="GV51" s="321"/>
      <c r="GW51" s="321"/>
      <c r="GX51" s="321"/>
      <c r="GY51" s="321"/>
      <c r="GZ51" s="321"/>
      <c r="HA51" s="321"/>
      <c r="HB51" s="321"/>
      <c r="HC51" s="321"/>
      <c r="HD51" s="321"/>
      <c r="HE51" s="321"/>
      <c r="HF51" s="321"/>
      <c r="HG51" s="321"/>
      <c r="HH51" s="321"/>
      <c r="HI51" s="321"/>
      <c r="HJ51" s="321"/>
      <c r="HK51" s="321"/>
      <c r="HL51" s="321"/>
      <c r="HM51" s="321"/>
      <c r="HN51" s="321"/>
      <c r="HO51" s="321"/>
      <c r="HP51" s="321"/>
      <c r="HQ51" s="321"/>
      <c r="HR51" s="321"/>
      <c r="HS51" s="321"/>
      <c r="HT51" s="321"/>
      <c r="HU51" s="321"/>
      <c r="HV51" s="321"/>
      <c r="HW51" s="321"/>
      <c r="HX51" s="321"/>
      <c r="HY51" s="321"/>
      <c r="HZ51" s="321"/>
      <c r="IA51" s="321"/>
      <c r="IB51" s="321"/>
      <c r="IC51" s="321"/>
      <c r="ID51" s="321"/>
      <c r="IE51" s="321"/>
      <c r="IF51" s="321"/>
      <c r="IG51" s="321"/>
      <c r="IH51" s="321"/>
      <c r="II51" s="321"/>
      <c r="IJ51" s="321"/>
      <c r="IK51" s="321"/>
      <c r="IL51" s="321"/>
      <c r="IM51" s="321"/>
      <c r="IN51" s="321"/>
      <c r="IO51" s="321"/>
      <c r="IP51" s="321"/>
      <c r="IQ51" s="321"/>
      <c r="IR51" s="321"/>
      <c r="IS51" s="321"/>
      <c r="IT51" s="321"/>
      <c r="IU51" s="321"/>
      <c r="IV51" s="321"/>
    </row>
    <row r="52" spans="1:256" s="546" customFormat="1" ht="18" customHeight="1">
      <c r="A52" s="561">
        <v>44</v>
      </c>
      <c r="B52" s="554"/>
      <c r="C52" s="322"/>
      <c r="D52" s="436" t="s">
        <v>994</v>
      </c>
      <c r="E52" s="330"/>
      <c r="F52" s="550"/>
      <c r="G52" s="331"/>
      <c r="H52" s="762"/>
      <c r="I52" s="777"/>
      <c r="J52" s="773"/>
      <c r="K52" s="773"/>
      <c r="L52" s="773"/>
      <c r="M52" s="1131">
        <v>3755</v>
      </c>
      <c r="N52" s="547"/>
      <c r="O52" s="555">
        <f>SUM(I52:N52)</f>
        <v>3755</v>
      </c>
      <c r="P52" s="55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c r="AU52" s="321"/>
      <c r="AV52" s="321"/>
      <c r="AW52" s="321"/>
      <c r="AX52" s="321"/>
      <c r="AY52" s="321"/>
      <c r="AZ52" s="321"/>
      <c r="BA52" s="321"/>
      <c r="BB52" s="321"/>
      <c r="BC52" s="321"/>
      <c r="BD52" s="321"/>
      <c r="BE52" s="321"/>
      <c r="BF52" s="321"/>
      <c r="BG52" s="321"/>
      <c r="BH52" s="321"/>
      <c r="BI52" s="321"/>
      <c r="BJ52" s="321"/>
      <c r="BK52" s="321"/>
      <c r="BL52" s="321"/>
      <c r="BM52" s="321"/>
      <c r="BN52" s="321"/>
      <c r="BO52" s="321"/>
      <c r="BP52" s="321"/>
      <c r="BQ52" s="321"/>
      <c r="BR52" s="321"/>
      <c r="BS52" s="321"/>
      <c r="BT52" s="321"/>
      <c r="BU52" s="321"/>
      <c r="BV52" s="321"/>
      <c r="BW52" s="321"/>
      <c r="BX52" s="321"/>
      <c r="BY52" s="321"/>
      <c r="BZ52" s="321"/>
      <c r="CA52" s="321"/>
      <c r="CB52" s="321"/>
      <c r="CC52" s="321"/>
      <c r="CD52" s="321"/>
      <c r="CE52" s="321"/>
      <c r="CF52" s="321"/>
      <c r="CG52" s="321"/>
      <c r="CH52" s="321"/>
      <c r="CI52" s="321"/>
      <c r="CJ52" s="321"/>
      <c r="CK52" s="321"/>
      <c r="CL52" s="321"/>
      <c r="CM52" s="321"/>
      <c r="CN52" s="321"/>
      <c r="CO52" s="321"/>
      <c r="CP52" s="321"/>
      <c r="CQ52" s="321"/>
      <c r="CR52" s="321"/>
      <c r="CS52" s="321"/>
      <c r="CT52" s="321"/>
      <c r="CU52" s="321"/>
      <c r="CV52" s="321"/>
      <c r="CW52" s="321"/>
      <c r="CX52" s="321"/>
      <c r="CY52" s="321"/>
      <c r="CZ52" s="321"/>
      <c r="DA52" s="321"/>
      <c r="DB52" s="321"/>
      <c r="DC52" s="321"/>
      <c r="DD52" s="321"/>
      <c r="DE52" s="321"/>
      <c r="DF52" s="321"/>
      <c r="DG52" s="321"/>
      <c r="DH52" s="321"/>
      <c r="DI52" s="321"/>
      <c r="DJ52" s="321"/>
      <c r="DK52" s="321"/>
      <c r="DL52" s="321"/>
      <c r="DM52" s="321"/>
      <c r="DN52" s="321"/>
      <c r="DO52" s="321"/>
      <c r="DP52" s="321"/>
      <c r="DQ52" s="321"/>
      <c r="DR52" s="321"/>
      <c r="DS52" s="321"/>
      <c r="DT52" s="321"/>
      <c r="DU52" s="321"/>
      <c r="DV52" s="321"/>
      <c r="DW52" s="321"/>
      <c r="DX52" s="321"/>
      <c r="DY52" s="321"/>
      <c r="DZ52" s="321"/>
      <c r="EA52" s="321"/>
      <c r="EB52" s="321"/>
      <c r="EC52" s="321"/>
      <c r="ED52" s="321"/>
      <c r="EE52" s="321"/>
      <c r="EF52" s="321"/>
      <c r="EG52" s="321"/>
      <c r="EH52" s="321"/>
      <c r="EI52" s="321"/>
      <c r="EJ52" s="321"/>
      <c r="EK52" s="321"/>
      <c r="EL52" s="321"/>
      <c r="EM52" s="321"/>
      <c r="EN52" s="321"/>
      <c r="EO52" s="321"/>
      <c r="EP52" s="321"/>
      <c r="EQ52" s="321"/>
      <c r="ER52" s="321"/>
      <c r="ES52" s="321"/>
      <c r="ET52" s="321"/>
      <c r="EU52" s="321"/>
      <c r="EV52" s="321"/>
      <c r="EW52" s="321"/>
      <c r="EX52" s="321"/>
      <c r="EY52" s="321"/>
      <c r="EZ52" s="321"/>
      <c r="FA52" s="321"/>
      <c r="FB52" s="321"/>
      <c r="FC52" s="321"/>
      <c r="FD52" s="321"/>
      <c r="FE52" s="321"/>
      <c r="FF52" s="321"/>
      <c r="FG52" s="321"/>
      <c r="FH52" s="321"/>
      <c r="FI52" s="321"/>
      <c r="FJ52" s="321"/>
      <c r="FK52" s="321"/>
      <c r="FL52" s="321"/>
      <c r="FM52" s="321"/>
      <c r="FN52" s="321"/>
      <c r="FO52" s="321"/>
      <c r="FP52" s="321"/>
      <c r="FQ52" s="321"/>
      <c r="FR52" s="321"/>
      <c r="FS52" s="321"/>
      <c r="FT52" s="321"/>
      <c r="FU52" s="321"/>
      <c r="FV52" s="321"/>
      <c r="FW52" s="321"/>
      <c r="FX52" s="321"/>
      <c r="FY52" s="321"/>
      <c r="FZ52" s="321"/>
      <c r="GA52" s="321"/>
      <c r="GB52" s="321"/>
      <c r="GC52" s="321"/>
      <c r="GD52" s="321"/>
      <c r="GE52" s="321"/>
      <c r="GF52" s="321"/>
      <c r="GG52" s="321"/>
      <c r="GH52" s="321"/>
      <c r="GI52" s="321"/>
      <c r="GJ52" s="321"/>
      <c r="GK52" s="321"/>
      <c r="GL52" s="321"/>
      <c r="GM52" s="321"/>
      <c r="GN52" s="321"/>
      <c r="GO52" s="321"/>
      <c r="GP52" s="321"/>
      <c r="GQ52" s="321"/>
      <c r="GR52" s="321"/>
      <c r="GS52" s="321"/>
      <c r="GT52" s="321"/>
      <c r="GU52" s="321"/>
      <c r="GV52" s="321"/>
      <c r="GW52" s="321"/>
      <c r="GX52" s="321"/>
      <c r="GY52" s="321"/>
      <c r="GZ52" s="321"/>
      <c r="HA52" s="321"/>
      <c r="HB52" s="321"/>
      <c r="HC52" s="321"/>
      <c r="HD52" s="321"/>
      <c r="HE52" s="321"/>
      <c r="HF52" s="321"/>
      <c r="HG52" s="321"/>
      <c r="HH52" s="321"/>
      <c r="HI52" s="321"/>
      <c r="HJ52" s="321"/>
      <c r="HK52" s="321"/>
      <c r="HL52" s="321"/>
      <c r="HM52" s="321"/>
      <c r="HN52" s="321"/>
      <c r="HO52" s="321"/>
      <c r="HP52" s="321"/>
      <c r="HQ52" s="321"/>
      <c r="HR52" s="321"/>
      <c r="HS52" s="321"/>
      <c r="HT52" s="321"/>
      <c r="HU52" s="321"/>
      <c r="HV52" s="321"/>
      <c r="HW52" s="321"/>
      <c r="HX52" s="321"/>
      <c r="HY52" s="321"/>
      <c r="HZ52" s="321"/>
      <c r="IA52" s="321"/>
      <c r="IB52" s="321"/>
      <c r="IC52" s="321"/>
      <c r="ID52" s="321"/>
      <c r="IE52" s="321"/>
      <c r="IF52" s="321"/>
      <c r="IG52" s="321"/>
      <c r="IH52" s="321"/>
      <c r="II52" s="321"/>
      <c r="IJ52" s="321"/>
      <c r="IK52" s="321"/>
      <c r="IL52" s="321"/>
      <c r="IM52" s="321"/>
      <c r="IN52" s="321"/>
      <c r="IO52" s="321"/>
      <c r="IP52" s="321"/>
      <c r="IQ52" s="321"/>
      <c r="IR52" s="321"/>
      <c r="IS52" s="321"/>
      <c r="IT52" s="321"/>
      <c r="IU52" s="321"/>
      <c r="IV52" s="321"/>
    </row>
    <row r="53" spans="1:256" s="546" customFormat="1" ht="18" customHeight="1">
      <c r="A53" s="561">
        <v>45</v>
      </c>
      <c r="B53" s="554"/>
      <c r="C53" s="322"/>
      <c r="D53" s="987" t="s">
        <v>1036</v>
      </c>
      <c r="E53" s="330"/>
      <c r="F53" s="550"/>
      <c r="G53" s="331"/>
      <c r="H53" s="762"/>
      <c r="I53" s="758"/>
      <c r="J53" s="547"/>
      <c r="K53" s="547"/>
      <c r="L53" s="547"/>
      <c r="M53" s="1460">
        <v>3755</v>
      </c>
      <c r="N53" s="547"/>
      <c r="O53" s="1175">
        <f>SUM(I53:N53)</f>
        <v>3755</v>
      </c>
      <c r="P53" s="55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c r="AN53" s="321"/>
      <c r="AO53" s="321"/>
      <c r="AP53" s="321"/>
      <c r="AQ53" s="321"/>
      <c r="AR53" s="321"/>
      <c r="AS53" s="321"/>
      <c r="AT53" s="321"/>
      <c r="AU53" s="321"/>
      <c r="AV53" s="321"/>
      <c r="AW53" s="321"/>
      <c r="AX53" s="321"/>
      <c r="AY53" s="321"/>
      <c r="AZ53" s="321"/>
      <c r="BA53" s="321"/>
      <c r="BB53" s="321"/>
      <c r="BC53" s="321"/>
      <c r="BD53" s="321"/>
      <c r="BE53" s="321"/>
      <c r="BF53" s="321"/>
      <c r="BG53" s="321"/>
      <c r="BH53" s="321"/>
      <c r="BI53" s="321"/>
      <c r="BJ53" s="321"/>
      <c r="BK53" s="321"/>
      <c r="BL53" s="321"/>
      <c r="BM53" s="321"/>
      <c r="BN53" s="321"/>
      <c r="BO53" s="321"/>
      <c r="BP53" s="321"/>
      <c r="BQ53" s="321"/>
      <c r="BR53" s="321"/>
      <c r="BS53" s="321"/>
      <c r="BT53" s="321"/>
      <c r="BU53" s="321"/>
      <c r="BV53" s="321"/>
      <c r="BW53" s="321"/>
      <c r="BX53" s="321"/>
      <c r="BY53" s="321"/>
      <c r="BZ53" s="321"/>
      <c r="CA53" s="321"/>
      <c r="CB53" s="321"/>
      <c r="CC53" s="321"/>
      <c r="CD53" s="321"/>
      <c r="CE53" s="321"/>
      <c r="CF53" s="321"/>
      <c r="CG53" s="321"/>
      <c r="CH53" s="321"/>
      <c r="CI53" s="321"/>
      <c r="CJ53" s="321"/>
      <c r="CK53" s="321"/>
      <c r="CL53" s="321"/>
      <c r="CM53" s="321"/>
      <c r="CN53" s="321"/>
      <c r="CO53" s="321"/>
      <c r="CP53" s="321"/>
      <c r="CQ53" s="321"/>
      <c r="CR53" s="321"/>
      <c r="CS53" s="321"/>
      <c r="CT53" s="321"/>
      <c r="CU53" s="321"/>
      <c r="CV53" s="321"/>
      <c r="CW53" s="321"/>
      <c r="CX53" s="321"/>
      <c r="CY53" s="321"/>
      <c r="CZ53" s="321"/>
      <c r="DA53" s="321"/>
      <c r="DB53" s="321"/>
      <c r="DC53" s="321"/>
      <c r="DD53" s="321"/>
      <c r="DE53" s="321"/>
      <c r="DF53" s="321"/>
      <c r="DG53" s="321"/>
      <c r="DH53" s="321"/>
      <c r="DI53" s="321"/>
      <c r="DJ53" s="321"/>
      <c r="DK53" s="321"/>
      <c r="DL53" s="321"/>
      <c r="DM53" s="321"/>
      <c r="DN53" s="321"/>
      <c r="DO53" s="321"/>
      <c r="DP53" s="321"/>
      <c r="DQ53" s="321"/>
      <c r="DR53" s="321"/>
      <c r="DS53" s="321"/>
      <c r="DT53" s="321"/>
      <c r="DU53" s="321"/>
      <c r="DV53" s="321"/>
      <c r="DW53" s="321"/>
      <c r="DX53" s="321"/>
      <c r="DY53" s="321"/>
      <c r="DZ53" s="321"/>
      <c r="EA53" s="321"/>
      <c r="EB53" s="321"/>
      <c r="EC53" s="321"/>
      <c r="ED53" s="321"/>
      <c r="EE53" s="321"/>
      <c r="EF53" s="321"/>
      <c r="EG53" s="321"/>
      <c r="EH53" s="321"/>
      <c r="EI53" s="321"/>
      <c r="EJ53" s="321"/>
      <c r="EK53" s="321"/>
      <c r="EL53" s="321"/>
      <c r="EM53" s="321"/>
      <c r="EN53" s="321"/>
      <c r="EO53" s="321"/>
      <c r="EP53" s="321"/>
      <c r="EQ53" s="321"/>
      <c r="ER53" s="321"/>
      <c r="ES53" s="321"/>
      <c r="ET53" s="321"/>
      <c r="EU53" s="321"/>
      <c r="EV53" s="321"/>
      <c r="EW53" s="321"/>
      <c r="EX53" s="321"/>
      <c r="EY53" s="321"/>
      <c r="EZ53" s="321"/>
      <c r="FA53" s="321"/>
      <c r="FB53" s="321"/>
      <c r="FC53" s="321"/>
      <c r="FD53" s="321"/>
      <c r="FE53" s="321"/>
      <c r="FF53" s="321"/>
      <c r="FG53" s="321"/>
      <c r="FH53" s="321"/>
      <c r="FI53" s="321"/>
      <c r="FJ53" s="321"/>
      <c r="FK53" s="321"/>
      <c r="FL53" s="321"/>
      <c r="FM53" s="321"/>
      <c r="FN53" s="321"/>
      <c r="FO53" s="321"/>
      <c r="FP53" s="321"/>
      <c r="FQ53" s="321"/>
      <c r="FR53" s="321"/>
      <c r="FS53" s="321"/>
      <c r="FT53" s="321"/>
      <c r="FU53" s="321"/>
      <c r="FV53" s="321"/>
      <c r="FW53" s="321"/>
      <c r="FX53" s="321"/>
      <c r="FY53" s="321"/>
      <c r="FZ53" s="321"/>
      <c r="GA53" s="321"/>
      <c r="GB53" s="321"/>
      <c r="GC53" s="321"/>
      <c r="GD53" s="321"/>
      <c r="GE53" s="321"/>
      <c r="GF53" s="321"/>
      <c r="GG53" s="321"/>
      <c r="GH53" s="321"/>
      <c r="GI53" s="321"/>
      <c r="GJ53" s="321"/>
      <c r="GK53" s="321"/>
      <c r="GL53" s="321"/>
      <c r="GM53" s="321"/>
      <c r="GN53" s="321"/>
      <c r="GO53" s="321"/>
      <c r="GP53" s="321"/>
      <c r="GQ53" s="321"/>
      <c r="GR53" s="321"/>
      <c r="GS53" s="321"/>
      <c r="GT53" s="321"/>
      <c r="GU53" s="321"/>
      <c r="GV53" s="321"/>
      <c r="GW53" s="321"/>
      <c r="GX53" s="321"/>
      <c r="GY53" s="321"/>
      <c r="GZ53" s="321"/>
      <c r="HA53" s="321"/>
      <c r="HB53" s="321"/>
      <c r="HC53" s="321"/>
      <c r="HD53" s="321"/>
      <c r="HE53" s="321"/>
      <c r="HF53" s="321"/>
      <c r="HG53" s="321"/>
      <c r="HH53" s="321"/>
      <c r="HI53" s="321"/>
      <c r="HJ53" s="321"/>
      <c r="HK53" s="321"/>
      <c r="HL53" s="321"/>
      <c r="HM53" s="321"/>
      <c r="HN53" s="321"/>
      <c r="HO53" s="321"/>
      <c r="HP53" s="321"/>
      <c r="HQ53" s="321"/>
      <c r="HR53" s="321"/>
      <c r="HS53" s="321"/>
      <c r="HT53" s="321"/>
      <c r="HU53" s="321"/>
      <c r="HV53" s="321"/>
      <c r="HW53" s="321"/>
      <c r="HX53" s="321"/>
      <c r="HY53" s="321"/>
      <c r="HZ53" s="321"/>
      <c r="IA53" s="321"/>
      <c r="IB53" s="321"/>
      <c r="IC53" s="321"/>
      <c r="ID53" s="321"/>
      <c r="IE53" s="321"/>
      <c r="IF53" s="321"/>
      <c r="IG53" s="321"/>
      <c r="IH53" s="321"/>
      <c r="II53" s="321"/>
      <c r="IJ53" s="321"/>
      <c r="IK53" s="321"/>
      <c r="IL53" s="321"/>
      <c r="IM53" s="321"/>
      <c r="IN53" s="321"/>
      <c r="IO53" s="321"/>
      <c r="IP53" s="321"/>
      <c r="IQ53" s="321"/>
      <c r="IR53" s="321"/>
      <c r="IS53" s="321"/>
      <c r="IT53" s="321"/>
      <c r="IU53" s="321"/>
      <c r="IV53" s="321"/>
    </row>
    <row r="54" spans="1:256" s="546" customFormat="1" ht="22.5" customHeight="1">
      <c r="A54" s="561">
        <v>46</v>
      </c>
      <c r="B54" s="554"/>
      <c r="C54" s="361">
        <v>12</v>
      </c>
      <c r="D54" s="558" t="s">
        <v>700</v>
      </c>
      <c r="E54" s="330"/>
      <c r="F54" s="550"/>
      <c r="G54" s="331"/>
      <c r="H54" s="762" t="s">
        <v>24</v>
      </c>
      <c r="I54" s="777"/>
      <c r="J54" s="773"/>
      <c r="K54" s="773"/>
      <c r="L54" s="773"/>
      <c r="M54" s="773"/>
      <c r="N54" s="773"/>
      <c r="O54" s="745"/>
      <c r="P54" s="55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1"/>
      <c r="AV54" s="321"/>
      <c r="AW54" s="321"/>
      <c r="AX54" s="321"/>
      <c r="AY54" s="321"/>
      <c r="AZ54" s="321"/>
      <c r="BA54" s="321"/>
      <c r="BB54" s="321"/>
      <c r="BC54" s="321"/>
      <c r="BD54" s="321"/>
      <c r="BE54" s="321"/>
      <c r="BF54" s="321"/>
      <c r="BG54" s="321"/>
      <c r="BH54" s="321"/>
      <c r="BI54" s="321"/>
      <c r="BJ54" s="321"/>
      <c r="BK54" s="321"/>
      <c r="BL54" s="321"/>
      <c r="BM54" s="321"/>
      <c r="BN54" s="321"/>
      <c r="BO54" s="321"/>
      <c r="BP54" s="321"/>
      <c r="BQ54" s="321"/>
      <c r="BR54" s="321"/>
      <c r="BS54" s="321"/>
      <c r="BT54" s="321"/>
      <c r="BU54" s="321"/>
      <c r="BV54" s="321"/>
      <c r="BW54" s="321"/>
      <c r="BX54" s="321"/>
      <c r="BY54" s="321"/>
      <c r="BZ54" s="321"/>
      <c r="CA54" s="321"/>
      <c r="CB54" s="321"/>
      <c r="CC54" s="321"/>
      <c r="CD54" s="321"/>
      <c r="CE54" s="321"/>
      <c r="CF54" s="321"/>
      <c r="CG54" s="321"/>
      <c r="CH54" s="321"/>
      <c r="CI54" s="321"/>
      <c r="CJ54" s="321"/>
      <c r="CK54" s="321"/>
      <c r="CL54" s="321"/>
      <c r="CM54" s="321"/>
      <c r="CN54" s="321"/>
      <c r="CO54" s="321"/>
      <c r="CP54" s="321"/>
      <c r="CQ54" s="321"/>
      <c r="CR54" s="321"/>
      <c r="CS54" s="321"/>
      <c r="CT54" s="321"/>
      <c r="CU54" s="321"/>
      <c r="CV54" s="321"/>
      <c r="CW54" s="321"/>
      <c r="CX54" s="321"/>
      <c r="CY54" s="321"/>
      <c r="CZ54" s="321"/>
      <c r="DA54" s="321"/>
      <c r="DB54" s="321"/>
      <c r="DC54" s="321"/>
      <c r="DD54" s="321"/>
      <c r="DE54" s="321"/>
      <c r="DF54" s="321"/>
      <c r="DG54" s="321"/>
      <c r="DH54" s="321"/>
      <c r="DI54" s="321"/>
      <c r="DJ54" s="321"/>
      <c r="DK54" s="321"/>
      <c r="DL54" s="321"/>
      <c r="DM54" s="321"/>
      <c r="DN54" s="321"/>
      <c r="DO54" s="321"/>
      <c r="DP54" s="321"/>
      <c r="DQ54" s="321"/>
      <c r="DR54" s="321"/>
      <c r="DS54" s="321"/>
      <c r="DT54" s="321"/>
      <c r="DU54" s="321"/>
      <c r="DV54" s="321"/>
      <c r="DW54" s="321"/>
      <c r="DX54" s="321"/>
      <c r="DY54" s="321"/>
      <c r="DZ54" s="321"/>
      <c r="EA54" s="321"/>
      <c r="EB54" s="321"/>
      <c r="EC54" s="321"/>
      <c r="ED54" s="321"/>
      <c r="EE54" s="321"/>
      <c r="EF54" s="321"/>
      <c r="EG54" s="321"/>
      <c r="EH54" s="321"/>
      <c r="EI54" s="321"/>
      <c r="EJ54" s="321"/>
      <c r="EK54" s="321"/>
      <c r="EL54" s="321"/>
      <c r="EM54" s="321"/>
      <c r="EN54" s="321"/>
      <c r="EO54" s="321"/>
      <c r="EP54" s="321"/>
      <c r="EQ54" s="321"/>
      <c r="ER54" s="321"/>
      <c r="ES54" s="321"/>
      <c r="ET54" s="321"/>
      <c r="EU54" s="321"/>
      <c r="EV54" s="321"/>
      <c r="EW54" s="321"/>
      <c r="EX54" s="321"/>
      <c r="EY54" s="321"/>
      <c r="EZ54" s="321"/>
      <c r="FA54" s="321"/>
      <c r="FB54" s="321"/>
      <c r="FC54" s="321"/>
      <c r="FD54" s="321"/>
      <c r="FE54" s="321"/>
      <c r="FF54" s="321"/>
      <c r="FG54" s="321"/>
      <c r="FH54" s="321"/>
      <c r="FI54" s="321"/>
      <c r="FJ54" s="321"/>
      <c r="FK54" s="321"/>
      <c r="FL54" s="321"/>
      <c r="FM54" s="321"/>
      <c r="FN54" s="321"/>
      <c r="FO54" s="321"/>
      <c r="FP54" s="321"/>
      <c r="FQ54" s="321"/>
      <c r="FR54" s="321"/>
      <c r="FS54" s="321"/>
      <c r="FT54" s="321"/>
      <c r="FU54" s="321"/>
      <c r="FV54" s="321"/>
      <c r="FW54" s="321"/>
      <c r="FX54" s="321"/>
      <c r="FY54" s="321"/>
      <c r="FZ54" s="321"/>
      <c r="GA54" s="321"/>
      <c r="GB54" s="321"/>
      <c r="GC54" s="321"/>
      <c r="GD54" s="321"/>
      <c r="GE54" s="321"/>
      <c r="GF54" s="321"/>
      <c r="GG54" s="321"/>
      <c r="GH54" s="321"/>
      <c r="GI54" s="321"/>
      <c r="GJ54" s="321"/>
      <c r="GK54" s="321"/>
      <c r="GL54" s="321"/>
      <c r="GM54" s="321"/>
      <c r="GN54" s="321"/>
      <c r="GO54" s="321"/>
      <c r="GP54" s="321"/>
      <c r="GQ54" s="321"/>
      <c r="GR54" s="321"/>
      <c r="GS54" s="321"/>
      <c r="GT54" s="321"/>
      <c r="GU54" s="321"/>
      <c r="GV54" s="321"/>
      <c r="GW54" s="321"/>
      <c r="GX54" s="321"/>
      <c r="GY54" s="321"/>
      <c r="GZ54" s="321"/>
      <c r="HA54" s="321"/>
      <c r="HB54" s="321"/>
      <c r="HC54" s="321"/>
      <c r="HD54" s="321"/>
      <c r="HE54" s="321"/>
      <c r="HF54" s="321"/>
      <c r="HG54" s="321"/>
      <c r="HH54" s="321"/>
      <c r="HI54" s="321"/>
      <c r="HJ54" s="321"/>
      <c r="HK54" s="321"/>
      <c r="HL54" s="321"/>
      <c r="HM54" s="321"/>
      <c r="HN54" s="321"/>
      <c r="HO54" s="321"/>
      <c r="HP54" s="321"/>
      <c r="HQ54" s="321"/>
      <c r="HR54" s="321"/>
      <c r="HS54" s="321"/>
      <c r="HT54" s="321"/>
      <c r="HU54" s="321"/>
      <c r="HV54" s="321"/>
      <c r="HW54" s="321"/>
      <c r="HX54" s="321"/>
      <c r="HY54" s="321"/>
      <c r="HZ54" s="321"/>
      <c r="IA54" s="321"/>
      <c r="IB54" s="321"/>
      <c r="IC54" s="321"/>
      <c r="ID54" s="321"/>
      <c r="IE54" s="321"/>
      <c r="IF54" s="321"/>
      <c r="IG54" s="321"/>
      <c r="IH54" s="321"/>
      <c r="II54" s="321"/>
      <c r="IJ54" s="321"/>
      <c r="IK54" s="321"/>
      <c r="IL54" s="321"/>
      <c r="IM54" s="321"/>
      <c r="IN54" s="321"/>
      <c r="IO54" s="321"/>
      <c r="IP54" s="321"/>
      <c r="IQ54" s="321"/>
      <c r="IR54" s="321"/>
      <c r="IS54" s="321"/>
      <c r="IT54" s="321"/>
      <c r="IU54" s="321"/>
      <c r="IV54" s="321"/>
    </row>
    <row r="55" spans="1:256" s="546" customFormat="1" ht="18" customHeight="1">
      <c r="A55" s="561">
        <v>47</v>
      </c>
      <c r="B55" s="554"/>
      <c r="C55" s="322"/>
      <c r="D55" s="755" t="s">
        <v>303</v>
      </c>
      <c r="E55" s="330">
        <f>F55+G55+O56+P55</f>
        <v>8973</v>
      </c>
      <c r="F55" s="550"/>
      <c r="G55" s="331"/>
      <c r="H55" s="762"/>
      <c r="I55" s="777"/>
      <c r="J55" s="773"/>
      <c r="K55" s="773">
        <v>79</v>
      </c>
      <c r="L55" s="773"/>
      <c r="M55" s="773">
        <v>3900</v>
      </c>
      <c r="N55" s="773"/>
      <c r="O55" s="745">
        <f>SUM(I55:N55)</f>
        <v>3979</v>
      </c>
      <c r="P55" s="55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c r="AN55" s="321"/>
      <c r="AO55" s="321"/>
      <c r="AP55" s="321"/>
      <c r="AQ55" s="321"/>
      <c r="AR55" s="321"/>
      <c r="AS55" s="321"/>
      <c r="AT55" s="321"/>
      <c r="AU55" s="321"/>
      <c r="AV55" s="321"/>
      <c r="AW55" s="321"/>
      <c r="AX55" s="321"/>
      <c r="AY55" s="321"/>
      <c r="AZ55" s="321"/>
      <c r="BA55" s="321"/>
      <c r="BB55" s="321"/>
      <c r="BC55" s="321"/>
      <c r="BD55" s="321"/>
      <c r="BE55" s="321"/>
      <c r="BF55" s="321"/>
      <c r="BG55" s="321"/>
      <c r="BH55" s="321"/>
      <c r="BI55" s="321"/>
      <c r="BJ55" s="321"/>
      <c r="BK55" s="321"/>
      <c r="BL55" s="321"/>
      <c r="BM55" s="321"/>
      <c r="BN55" s="321"/>
      <c r="BO55" s="321"/>
      <c r="BP55" s="321"/>
      <c r="BQ55" s="321"/>
      <c r="BR55" s="321"/>
      <c r="BS55" s="321"/>
      <c r="BT55" s="321"/>
      <c r="BU55" s="321"/>
      <c r="BV55" s="321"/>
      <c r="BW55" s="321"/>
      <c r="BX55" s="321"/>
      <c r="BY55" s="321"/>
      <c r="BZ55" s="321"/>
      <c r="CA55" s="321"/>
      <c r="CB55" s="321"/>
      <c r="CC55" s="321"/>
      <c r="CD55" s="321"/>
      <c r="CE55" s="321"/>
      <c r="CF55" s="321"/>
      <c r="CG55" s="321"/>
      <c r="CH55" s="321"/>
      <c r="CI55" s="321"/>
      <c r="CJ55" s="321"/>
      <c r="CK55" s="321"/>
      <c r="CL55" s="321"/>
      <c r="CM55" s="321"/>
      <c r="CN55" s="321"/>
      <c r="CO55" s="321"/>
      <c r="CP55" s="321"/>
      <c r="CQ55" s="321"/>
      <c r="CR55" s="321"/>
      <c r="CS55" s="321"/>
      <c r="CT55" s="321"/>
      <c r="CU55" s="321"/>
      <c r="CV55" s="321"/>
      <c r="CW55" s="321"/>
      <c r="CX55" s="321"/>
      <c r="CY55" s="321"/>
      <c r="CZ55" s="321"/>
      <c r="DA55" s="321"/>
      <c r="DB55" s="321"/>
      <c r="DC55" s="321"/>
      <c r="DD55" s="321"/>
      <c r="DE55" s="321"/>
      <c r="DF55" s="321"/>
      <c r="DG55" s="321"/>
      <c r="DH55" s="321"/>
      <c r="DI55" s="321"/>
      <c r="DJ55" s="321"/>
      <c r="DK55" s="321"/>
      <c r="DL55" s="321"/>
      <c r="DM55" s="321"/>
      <c r="DN55" s="321"/>
      <c r="DO55" s="321"/>
      <c r="DP55" s="321"/>
      <c r="DQ55" s="321"/>
      <c r="DR55" s="321"/>
      <c r="DS55" s="321"/>
      <c r="DT55" s="321"/>
      <c r="DU55" s="321"/>
      <c r="DV55" s="321"/>
      <c r="DW55" s="321"/>
      <c r="DX55" s="321"/>
      <c r="DY55" s="321"/>
      <c r="DZ55" s="321"/>
      <c r="EA55" s="321"/>
      <c r="EB55" s="321"/>
      <c r="EC55" s="321"/>
      <c r="ED55" s="321"/>
      <c r="EE55" s="321"/>
      <c r="EF55" s="321"/>
      <c r="EG55" s="321"/>
      <c r="EH55" s="321"/>
      <c r="EI55" s="321"/>
      <c r="EJ55" s="321"/>
      <c r="EK55" s="321"/>
      <c r="EL55" s="321"/>
      <c r="EM55" s="321"/>
      <c r="EN55" s="321"/>
      <c r="EO55" s="321"/>
      <c r="EP55" s="321"/>
      <c r="EQ55" s="321"/>
      <c r="ER55" s="321"/>
      <c r="ES55" s="321"/>
      <c r="ET55" s="321"/>
      <c r="EU55" s="321"/>
      <c r="EV55" s="321"/>
      <c r="EW55" s="321"/>
      <c r="EX55" s="321"/>
      <c r="EY55" s="321"/>
      <c r="EZ55" s="321"/>
      <c r="FA55" s="321"/>
      <c r="FB55" s="321"/>
      <c r="FC55" s="321"/>
      <c r="FD55" s="321"/>
      <c r="FE55" s="321"/>
      <c r="FF55" s="321"/>
      <c r="FG55" s="321"/>
      <c r="FH55" s="321"/>
      <c r="FI55" s="321"/>
      <c r="FJ55" s="321"/>
      <c r="FK55" s="321"/>
      <c r="FL55" s="321"/>
      <c r="FM55" s="321"/>
      <c r="FN55" s="321"/>
      <c r="FO55" s="321"/>
      <c r="FP55" s="321"/>
      <c r="FQ55" s="321"/>
      <c r="FR55" s="321"/>
      <c r="FS55" s="321"/>
      <c r="FT55" s="321"/>
      <c r="FU55" s="321"/>
      <c r="FV55" s="321"/>
      <c r="FW55" s="321"/>
      <c r="FX55" s="321"/>
      <c r="FY55" s="321"/>
      <c r="FZ55" s="321"/>
      <c r="GA55" s="321"/>
      <c r="GB55" s="321"/>
      <c r="GC55" s="321"/>
      <c r="GD55" s="321"/>
      <c r="GE55" s="321"/>
      <c r="GF55" s="321"/>
      <c r="GG55" s="321"/>
      <c r="GH55" s="321"/>
      <c r="GI55" s="321"/>
      <c r="GJ55" s="321"/>
      <c r="GK55" s="321"/>
      <c r="GL55" s="321"/>
      <c r="GM55" s="321"/>
      <c r="GN55" s="321"/>
      <c r="GO55" s="321"/>
      <c r="GP55" s="321"/>
      <c r="GQ55" s="321"/>
      <c r="GR55" s="321"/>
      <c r="GS55" s="321"/>
      <c r="GT55" s="321"/>
      <c r="GU55" s="321"/>
      <c r="GV55" s="321"/>
      <c r="GW55" s="321"/>
      <c r="GX55" s="321"/>
      <c r="GY55" s="321"/>
      <c r="GZ55" s="321"/>
      <c r="HA55" s="321"/>
      <c r="HB55" s="321"/>
      <c r="HC55" s="321"/>
      <c r="HD55" s="321"/>
      <c r="HE55" s="321"/>
      <c r="HF55" s="321"/>
      <c r="HG55" s="321"/>
      <c r="HH55" s="321"/>
      <c r="HI55" s="321"/>
      <c r="HJ55" s="321"/>
      <c r="HK55" s="321"/>
      <c r="HL55" s="321"/>
      <c r="HM55" s="321"/>
      <c r="HN55" s="321"/>
      <c r="HO55" s="321"/>
      <c r="HP55" s="321"/>
      <c r="HQ55" s="321"/>
      <c r="HR55" s="321"/>
      <c r="HS55" s="321"/>
      <c r="HT55" s="321"/>
      <c r="HU55" s="321"/>
      <c r="HV55" s="321"/>
      <c r="HW55" s="321"/>
      <c r="HX55" s="321"/>
      <c r="HY55" s="321"/>
      <c r="HZ55" s="321"/>
      <c r="IA55" s="321"/>
      <c r="IB55" s="321"/>
      <c r="IC55" s="321"/>
      <c r="ID55" s="321"/>
      <c r="IE55" s="321"/>
      <c r="IF55" s="321"/>
      <c r="IG55" s="321"/>
      <c r="IH55" s="321"/>
      <c r="II55" s="321"/>
      <c r="IJ55" s="321"/>
      <c r="IK55" s="321"/>
      <c r="IL55" s="321"/>
      <c r="IM55" s="321"/>
      <c r="IN55" s="321"/>
      <c r="IO55" s="321"/>
      <c r="IP55" s="321"/>
      <c r="IQ55" s="321"/>
      <c r="IR55" s="321"/>
      <c r="IS55" s="321"/>
      <c r="IT55" s="321"/>
      <c r="IU55" s="321"/>
      <c r="IV55" s="321"/>
    </row>
    <row r="56" spans="1:256" s="546" customFormat="1" ht="18" customHeight="1">
      <c r="A56" s="561">
        <v>48</v>
      </c>
      <c r="B56" s="554"/>
      <c r="C56" s="322"/>
      <c r="D56" s="436" t="s">
        <v>994</v>
      </c>
      <c r="E56" s="330"/>
      <c r="F56" s="550"/>
      <c r="G56" s="331"/>
      <c r="H56" s="762"/>
      <c r="I56" s="777"/>
      <c r="J56" s="773"/>
      <c r="K56" s="1131">
        <v>79</v>
      </c>
      <c r="L56" s="1131"/>
      <c r="M56" s="1131">
        <v>8894</v>
      </c>
      <c r="N56" s="1131"/>
      <c r="O56" s="555">
        <f>SUM(I56:N56)</f>
        <v>8973</v>
      </c>
      <c r="P56" s="55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1"/>
      <c r="AY56" s="321"/>
      <c r="AZ56" s="321"/>
      <c r="BA56" s="321"/>
      <c r="BB56" s="321"/>
      <c r="BC56" s="321"/>
      <c r="BD56" s="321"/>
      <c r="BE56" s="321"/>
      <c r="BF56" s="321"/>
      <c r="BG56" s="321"/>
      <c r="BH56" s="321"/>
      <c r="BI56" s="321"/>
      <c r="BJ56" s="321"/>
      <c r="BK56" s="321"/>
      <c r="BL56" s="321"/>
      <c r="BM56" s="321"/>
      <c r="BN56" s="321"/>
      <c r="BO56" s="321"/>
      <c r="BP56" s="321"/>
      <c r="BQ56" s="321"/>
      <c r="BR56" s="321"/>
      <c r="BS56" s="321"/>
      <c r="BT56" s="321"/>
      <c r="BU56" s="321"/>
      <c r="BV56" s="321"/>
      <c r="BW56" s="321"/>
      <c r="BX56" s="321"/>
      <c r="BY56" s="321"/>
      <c r="BZ56" s="321"/>
      <c r="CA56" s="321"/>
      <c r="CB56" s="321"/>
      <c r="CC56" s="321"/>
      <c r="CD56" s="321"/>
      <c r="CE56" s="321"/>
      <c r="CF56" s="321"/>
      <c r="CG56" s="321"/>
      <c r="CH56" s="321"/>
      <c r="CI56" s="321"/>
      <c r="CJ56" s="321"/>
      <c r="CK56" s="321"/>
      <c r="CL56" s="321"/>
      <c r="CM56" s="321"/>
      <c r="CN56" s="321"/>
      <c r="CO56" s="321"/>
      <c r="CP56" s="321"/>
      <c r="CQ56" s="321"/>
      <c r="CR56" s="321"/>
      <c r="CS56" s="321"/>
      <c r="CT56" s="321"/>
      <c r="CU56" s="321"/>
      <c r="CV56" s="321"/>
      <c r="CW56" s="321"/>
      <c r="CX56" s="321"/>
      <c r="CY56" s="321"/>
      <c r="CZ56" s="321"/>
      <c r="DA56" s="321"/>
      <c r="DB56" s="321"/>
      <c r="DC56" s="321"/>
      <c r="DD56" s="321"/>
      <c r="DE56" s="321"/>
      <c r="DF56" s="321"/>
      <c r="DG56" s="321"/>
      <c r="DH56" s="321"/>
      <c r="DI56" s="321"/>
      <c r="DJ56" s="321"/>
      <c r="DK56" s="321"/>
      <c r="DL56" s="321"/>
      <c r="DM56" s="321"/>
      <c r="DN56" s="321"/>
      <c r="DO56" s="321"/>
      <c r="DP56" s="321"/>
      <c r="DQ56" s="321"/>
      <c r="DR56" s="321"/>
      <c r="DS56" s="321"/>
      <c r="DT56" s="321"/>
      <c r="DU56" s="321"/>
      <c r="DV56" s="321"/>
      <c r="DW56" s="321"/>
      <c r="DX56" s="321"/>
      <c r="DY56" s="321"/>
      <c r="DZ56" s="321"/>
      <c r="EA56" s="321"/>
      <c r="EB56" s="321"/>
      <c r="EC56" s="321"/>
      <c r="ED56" s="321"/>
      <c r="EE56" s="321"/>
      <c r="EF56" s="321"/>
      <c r="EG56" s="321"/>
      <c r="EH56" s="321"/>
      <c r="EI56" s="321"/>
      <c r="EJ56" s="321"/>
      <c r="EK56" s="321"/>
      <c r="EL56" s="321"/>
      <c r="EM56" s="321"/>
      <c r="EN56" s="321"/>
      <c r="EO56" s="321"/>
      <c r="EP56" s="321"/>
      <c r="EQ56" s="321"/>
      <c r="ER56" s="321"/>
      <c r="ES56" s="321"/>
      <c r="ET56" s="321"/>
      <c r="EU56" s="321"/>
      <c r="EV56" s="321"/>
      <c r="EW56" s="321"/>
      <c r="EX56" s="321"/>
      <c r="EY56" s="321"/>
      <c r="EZ56" s="321"/>
      <c r="FA56" s="321"/>
      <c r="FB56" s="321"/>
      <c r="FC56" s="321"/>
      <c r="FD56" s="321"/>
      <c r="FE56" s="321"/>
      <c r="FF56" s="321"/>
      <c r="FG56" s="321"/>
      <c r="FH56" s="321"/>
      <c r="FI56" s="321"/>
      <c r="FJ56" s="321"/>
      <c r="FK56" s="321"/>
      <c r="FL56" s="321"/>
      <c r="FM56" s="321"/>
      <c r="FN56" s="321"/>
      <c r="FO56" s="321"/>
      <c r="FP56" s="321"/>
      <c r="FQ56" s="321"/>
      <c r="FR56" s="321"/>
      <c r="FS56" s="321"/>
      <c r="FT56" s="321"/>
      <c r="FU56" s="321"/>
      <c r="FV56" s="321"/>
      <c r="FW56" s="321"/>
      <c r="FX56" s="321"/>
      <c r="FY56" s="321"/>
      <c r="FZ56" s="321"/>
      <c r="GA56" s="321"/>
      <c r="GB56" s="321"/>
      <c r="GC56" s="321"/>
      <c r="GD56" s="321"/>
      <c r="GE56" s="321"/>
      <c r="GF56" s="321"/>
      <c r="GG56" s="321"/>
      <c r="GH56" s="321"/>
      <c r="GI56" s="321"/>
      <c r="GJ56" s="321"/>
      <c r="GK56" s="321"/>
      <c r="GL56" s="321"/>
      <c r="GM56" s="321"/>
      <c r="GN56" s="321"/>
      <c r="GO56" s="321"/>
      <c r="GP56" s="321"/>
      <c r="GQ56" s="321"/>
      <c r="GR56" s="321"/>
      <c r="GS56" s="321"/>
      <c r="GT56" s="321"/>
      <c r="GU56" s="321"/>
      <c r="GV56" s="321"/>
      <c r="GW56" s="321"/>
      <c r="GX56" s="321"/>
      <c r="GY56" s="321"/>
      <c r="GZ56" s="321"/>
      <c r="HA56" s="321"/>
      <c r="HB56" s="321"/>
      <c r="HC56" s="321"/>
      <c r="HD56" s="321"/>
      <c r="HE56" s="321"/>
      <c r="HF56" s="321"/>
      <c r="HG56" s="321"/>
      <c r="HH56" s="321"/>
      <c r="HI56" s="321"/>
      <c r="HJ56" s="321"/>
      <c r="HK56" s="321"/>
      <c r="HL56" s="321"/>
      <c r="HM56" s="321"/>
      <c r="HN56" s="321"/>
      <c r="HO56" s="321"/>
      <c r="HP56" s="321"/>
      <c r="HQ56" s="321"/>
      <c r="HR56" s="321"/>
      <c r="HS56" s="321"/>
      <c r="HT56" s="321"/>
      <c r="HU56" s="321"/>
      <c r="HV56" s="321"/>
      <c r="HW56" s="321"/>
      <c r="HX56" s="321"/>
      <c r="HY56" s="321"/>
      <c r="HZ56" s="321"/>
      <c r="IA56" s="321"/>
      <c r="IB56" s="321"/>
      <c r="IC56" s="321"/>
      <c r="ID56" s="321"/>
      <c r="IE56" s="321"/>
      <c r="IF56" s="321"/>
      <c r="IG56" s="321"/>
      <c r="IH56" s="321"/>
      <c r="II56" s="321"/>
      <c r="IJ56" s="321"/>
      <c r="IK56" s="321"/>
      <c r="IL56" s="321"/>
      <c r="IM56" s="321"/>
      <c r="IN56" s="321"/>
      <c r="IO56" s="321"/>
      <c r="IP56" s="321"/>
      <c r="IQ56" s="321"/>
      <c r="IR56" s="321"/>
      <c r="IS56" s="321"/>
      <c r="IT56" s="321"/>
      <c r="IU56" s="321"/>
      <c r="IV56" s="321"/>
    </row>
    <row r="57" spans="1:256" s="546" customFormat="1" ht="18" customHeight="1">
      <c r="A57" s="561">
        <v>49</v>
      </c>
      <c r="B57" s="554"/>
      <c r="C57" s="322"/>
      <c r="D57" s="987" t="s">
        <v>1035</v>
      </c>
      <c r="E57" s="330"/>
      <c r="F57" s="550"/>
      <c r="G57" s="331"/>
      <c r="H57" s="762"/>
      <c r="I57" s="758"/>
      <c r="J57" s="547"/>
      <c r="K57" s="1460">
        <v>0</v>
      </c>
      <c r="L57" s="1460"/>
      <c r="M57" s="1460">
        <v>3452</v>
      </c>
      <c r="N57" s="547"/>
      <c r="O57" s="1175">
        <f>SUM(I57:N57)</f>
        <v>3452</v>
      </c>
      <c r="P57" s="55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1"/>
      <c r="AY57" s="321"/>
      <c r="AZ57" s="321"/>
      <c r="BA57" s="321"/>
      <c r="BB57" s="321"/>
      <c r="BC57" s="321"/>
      <c r="BD57" s="321"/>
      <c r="BE57" s="321"/>
      <c r="BF57" s="321"/>
      <c r="BG57" s="321"/>
      <c r="BH57" s="321"/>
      <c r="BI57" s="321"/>
      <c r="BJ57" s="321"/>
      <c r="BK57" s="321"/>
      <c r="BL57" s="321"/>
      <c r="BM57" s="321"/>
      <c r="BN57" s="321"/>
      <c r="BO57" s="321"/>
      <c r="BP57" s="321"/>
      <c r="BQ57" s="321"/>
      <c r="BR57" s="321"/>
      <c r="BS57" s="321"/>
      <c r="BT57" s="321"/>
      <c r="BU57" s="321"/>
      <c r="BV57" s="321"/>
      <c r="BW57" s="321"/>
      <c r="BX57" s="321"/>
      <c r="BY57" s="321"/>
      <c r="BZ57" s="321"/>
      <c r="CA57" s="321"/>
      <c r="CB57" s="321"/>
      <c r="CC57" s="321"/>
      <c r="CD57" s="321"/>
      <c r="CE57" s="321"/>
      <c r="CF57" s="321"/>
      <c r="CG57" s="321"/>
      <c r="CH57" s="321"/>
      <c r="CI57" s="321"/>
      <c r="CJ57" s="321"/>
      <c r="CK57" s="321"/>
      <c r="CL57" s="321"/>
      <c r="CM57" s="321"/>
      <c r="CN57" s="321"/>
      <c r="CO57" s="321"/>
      <c r="CP57" s="321"/>
      <c r="CQ57" s="321"/>
      <c r="CR57" s="321"/>
      <c r="CS57" s="321"/>
      <c r="CT57" s="321"/>
      <c r="CU57" s="321"/>
      <c r="CV57" s="321"/>
      <c r="CW57" s="321"/>
      <c r="CX57" s="321"/>
      <c r="CY57" s="321"/>
      <c r="CZ57" s="321"/>
      <c r="DA57" s="321"/>
      <c r="DB57" s="321"/>
      <c r="DC57" s="321"/>
      <c r="DD57" s="321"/>
      <c r="DE57" s="321"/>
      <c r="DF57" s="321"/>
      <c r="DG57" s="321"/>
      <c r="DH57" s="321"/>
      <c r="DI57" s="321"/>
      <c r="DJ57" s="321"/>
      <c r="DK57" s="321"/>
      <c r="DL57" s="321"/>
      <c r="DM57" s="321"/>
      <c r="DN57" s="321"/>
      <c r="DO57" s="321"/>
      <c r="DP57" s="321"/>
      <c r="DQ57" s="321"/>
      <c r="DR57" s="321"/>
      <c r="DS57" s="321"/>
      <c r="DT57" s="321"/>
      <c r="DU57" s="321"/>
      <c r="DV57" s="321"/>
      <c r="DW57" s="321"/>
      <c r="DX57" s="321"/>
      <c r="DY57" s="321"/>
      <c r="DZ57" s="321"/>
      <c r="EA57" s="321"/>
      <c r="EB57" s="321"/>
      <c r="EC57" s="321"/>
      <c r="ED57" s="321"/>
      <c r="EE57" s="321"/>
      <c r="EF57" s="321"/>
      <c r="EG57" s="321"/>
      <c r="EH57" s="321"/>
      <c r="EI57" s="321"/>
      <c r="EJ57" s="321"/>
      <c r="EK57" s="321"/>
      <c r="EL57" s="321"/>
      <c r="EM57" s="321"/>
      <c r="EN57" s="321"/>
      <c r="EO57" s="321"/>
      <c r="EP57" s="321"/>
      <c r="EQ57" s="321"/>
      <c r="ER57" s="321"/>
      <c r="ES57" s="321"/>
      <c r="ET57" s="321"/>
      <c r="EU57" s="321"/>
      <c r="EV57" s="321"/>
      <c r="EW57" s="321"/>
      <c r="EX57" s="321"/>
      <c r="EY57" s="321"/>
      <c r="EZ57" s="321"/>
      <c r="FA57" s="321"/>
      <c r="FB57" s="321"/>
      <c r="FC57" s="321"/>
      <c r="FD57" s="321"/>
      <c r="FE57" s="321"/>
      <c r="FF57" s="321"/>
      <c r="FG57" s="321"/>
      <c r="FH57" s="321"/>
      <c r="FI57" s="321"/>
      <c r="FJ57" s="321"/>
      <c r="FK57" s="321"/>
      <c r="FL57" s="321"/>
      <c r="FM57" s="321"/>
      <c r="FN57" s="321"/>
      <c r="FO57" s="321"/>
      <c r="FP57" s="321"/>
      <c r="FQ57" s="321"/>
      <c r="FR57" s="321"/>
      <c r="FS57" s="321"/>
      <c r="FT57" s="321"/>
      <c r="FU57" s="321"/>
      <c r="FV57" s="321"/>
      <c r="FW57" s="321"/>
      <c r="FX57" s="321"/>
      <c r="FY57" s="321"/>
      <c r="FZ57" s="321"/>
      <c r="GA57" s="321"/>
      <c r="GB57" s="321"/>
      <c r="GC57" s="321"/>
      <c r="GD57" s="321"/>
      <c r="GE57" s="321"/>
      <c r="GF57" s="321"/>
      <c r="GG57" s="321"/>
      <c r="GH57" s="321"/>
      <c r="GI57" s="321"/>
      <c r="GJ57" s="321"/>
      <c r="GK57" s="321"/>
      <c r="GL57" s="321"/>
      <c r="GM57" s="321"/>
      <c r="GN57" s="321"/>
      <c r="GO57" s="321"/>
      <c r="GP57" s="321"/>
      <c r="GQ57" s="321"/>
      <c r="GR57" s="321"/>
      <c r="GS57" s="321"/>
      <c r="GT57" s="321"/>
      <c r="GU57" s="321"/>
      <c r="GV57" s="321"/>
      <c r="GW57" s="321"/>
      <c r="GX57" s="321"/>
      <c r="GY57" s="321"/>
      <c r="GZ57" s="321"/>
      <c r="HA57" s="321"/>
      <c r="HB57" s="321"/>
      <c r="HC57" s="321"/>
      <c r="HD57" s="321"/>
      <c r="HE57" s="321"/>
      <c r="HF57" s="321"/>
      <c r="HG57" s="321"/>
      <c r="HH57" s="321"/>
      <c r="HI57" s="321"/>
      <c r="HJ57" s="321"/>
      <c r="HK57" s="321"/>
      <c r="HL57" s="321"/>
      <c r="HM57" s="321"/>
      <c r="HN57" s="321"/>
      <c r="HO57" s="321"/>
      <c r="HP57" s="321"/>
      <c r="HQ57" s="321"/>
      <c r="HR57" s="321"/>
      <c r="HS57" s="321"/>
      <c r="HT57" s="321"/>
      <c r="HU57" s="321"/>
      <c r="HV57" s="321"/>
      <c r="HW57" s="321"/>
      <c r="HX57" s="321"/>
      <c r="HY57" s="321"/>
      <c r="HZ57" s="321"/>
      <c r="IA57" s="321"/>
      <c r="IB57" s="321"/>
      <c r="IC57" s="321"/>
      <c r="ID57" s="321"/>
      <c r="IE57" s="321"/>
      <c r="IF57" s="321"/>
      <c r="IG57" s="321"/>
      <c r="IH57" s="321"/>
      <c r="II57" s="321"/>
      <c r="IJ57" s="321"/>
      <c r="IK57" s="321"/>
      <c r="IL57" s="321"/>
      <c r="IM57" s="321"/>
      <c r="IN57" s="321"/>
      <c r="IO57" s="321"/>
      <c r="IP57" s="321"/>
      <c r="IQ57" s="321"/>
      <c r="IR57" s="321"/>
      <c r="IS57" s="321"/>
      <c r="IT57" s="321"/>
      <c r="IU57" s="321"/>
      <c r="IV57" s="321"/>
    </row>
    <row r="58" spans="1:256" s="546" customFormat="1" ht="22.5" customHeight="1">
      <c r="A58" s="561">
        <v>50</v>
      </c>
      <c r="B58" s="554"/>
      <c r="C58" s="361">
        <v>13</v>
      </c>
      <c r="D58" s="558" t="s">
        <v>754</v>
      </c>
      <c r="E58" s="330"/>
      <c r="F58" s="550"/>
      <c r="G58" s="331"/>
      <c r="H58" s="762" t="s">
        <v>24</v>
      </c>
      <c r="I58" s="777"/>
      <c r="J58" s="773"/>
      <c r="K58" s="773"/>
      <c r="L58" s="773"/>
      <c r="M58" s="773"/>
      <c r="N58" s="773"/>
      <c r="O58" s="745"/>
      <c r="P58" s="55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c r="AN58" s="321"/>
      <c r="AO58" s="321"/>
      <c r="AP58" s="321"/>
      <c r="AQ58" s="321"/>
      <c r="AR58" s="321"/>
      <c r="AS58" s="321"/>
      <c r="AT58" s="321"/>
      <c r="AU58" s="321"/>
      <c r="AV58" s="321"/>
      <c r="AW58" s="321"/>
      <c r="AX58" s="321"/>
      <c r="AY58" s="321"/>
      <c r="AZ58" s="321"/>
      <c r="BA58" s="321"/>
      <c r="BB58" s="321"/>
      <c r="BC58" s="321"/>
      <c r="BD58" s="321"/>
      <c r="BE58" s="321"/>
      <c r="BF58" s="321"/>
      <c r="BG58" s="321"/>
      <c r="BH58" s="321"/>
      <c r="BI58" s="321"/>
      <c r="BJ58" s="321"/>
      <c r="BK58" s="321"/>
      <c r="BL58" s="321"/>
      <c r="BM58" s="321"/>
      <c r="BN58" s="321"/>
      <c r="BO58" s="321"/>
      <c r="BP58" s="321"/>
      <c r="BQ58" s="321"/>
      <c r="BR58" s="321"/>
      <c r="BS58" s="321"/>
      <c r="BT58" s="321"/>
      <c r="BU58" s="321"/>
      <c r="BV58" s="321"/>
      <c r="BW58" s="321"/>
      <c r="BX58" s="321"/>
      <c r="BY58" s="321"/>
      <c r="BZ58" s="321"/>
      <c r="CA58" s="321"/>
      <c r="CB58" s="321"/>
      <c r="CC58" s="321"/>
      <c r="CD58" s="321"/>
      <c r="CE58" s="321"/>
      <c r="CF58" s="321"/>
      <c r="CG58" s="321"/>
      <c r="CH58" s="321"/>
      <c r="CI58" s="321"/>
      <c r="CJ58" s="321"/>
      <c r="CK58" s="321"/>
      <c r="CL58" s="321"/>
      <c r="CM58" s="321"/>
      <c r="CN58" s="321"/>
      <c r="CO58" s="321"/>
      <c r="CP58" s="321"/>
      <c r="CQ58" s="321"/>
      <c r="CR58" s="321"/>
      <c r="CS58" s="321"/>
      <c r="CT58" s="321"/>
      <c r="CU58" s="321"/>
      <c r="CV58" s="321"/>
      <c r="CW58" s="321"/>
      <c r="CX58" s="321"/>
      <c r="CY58" s="321"/>
      <c r="CZ58" s="321"/>
      <c r="DA58" s="321"/>
      <c r="DB58" s="321"/>
      <c r="DC58" s="321"/>
      <c r="DD58" s="321"/>
      <c r="DE58" s="321"/>
      <c r="DF58" s="321"/>
      <c r="DG58" s="321"/>
      <c r="DH58" s="321"/>
      <c r="DI58" s="321"/>
      <c r="DJ58" s="321"/>
      <c r="DK58" s="321"/>
      <c r="DL58" s="321"/>
      <c r="DM58" s="321"/>
      <c r="DN58" s="321"/>
      <c r="DO58" s="321"/>
      <c r="DP58" s="321"/>
      <c r="DQ58" s="321"/>
      <c r="DR58" s="321"/>
      <c r="DS58" s="321"/>
      <c r="DT58" s="321"/>
      <c r="DU58" s="321"/>
      <c r="DV58" s="321"/>
      <c r="DW58" s="321"/>
      <c r="DX58" s="321"/>
      <c r="DY58" s="321"/>
      <c r="DZ58" s="321"/>
      <c r="EA58" s="321"/>
      <c r="EB58" s="321"/>
      <c r="EC58" s="321"/>
      <c r="ED58" s="321"/>
      <c r="EE58" s="321"/>
      <c r="EF58" s="321"/>
      <c r="EG58" s="321"/>
      <c r="EH58" s="321"/>
      <c r="EI58" s="321"/>
      <c r="EJ58" s="321"/>
      <c r="EK58" s="321"/>
      <c r="EL58" s="321"/>
      <c r="EM58" s="321"/>
      <c r="EN58" s="321"/>
      <c r="EO58" s="321"/>
      <c r="EP58" s="321"/>
      <c r="EQ58" s="321"/>
      <c r="ER58" s="321"/>
      <c r="ES58" s="321"/>
      <c r="ET58" s="321"/>
      <c r="EU58" s="321"/>
      <c r="EV58" s="321"/>
      <c r="EW58" s="321"/>
      <c r="EX58" s="321"/>
      <c r="EY58" s="321"/>
      <c r="EZ58" s="321"/>
      <c r="FA58" s="321"/>
      <c r="FB58" s="321"/>
      <c r="FC58" s="321"/>
      <c r="FD58" s="321"/>
      <c r="FE58" s="321"/>
      <c r="FF58" s="321"/>
      <c r="FG58" s="321"/>
      <c r="FH58" s="321"/>
      <c r="FI58" s="321"/>
      <c r="FJ58" s="321"/>
      <c r="FK58" s="321"/>
      <c r="FL58" s="321"/>
      <c r="FM58" s="321"/>
      <c r="FN58" s="321"/>
      <c r="FO58" s="321"/>
      <c r="FP58" s="321"/>
      <c r="FQ58" s="321"/>
      <c r="FR58" s="321"/>
      <c r="FS58" s="321"/>
      <c r="FT58" s="321"/>
      <c r="FU58" s="321"/>
      <c r="FV58" s="321"/>
      <c r="FW58" s="321"/>
      <c r="FX58" s="321"/>
      <c r="FY58" s="321"/>
      <c r="FZ58" s="321"/>
      <c r="GA58" s="321"/>
      <c r="GB58" s="321"/>
      <c r="GC58" s="321"/>
      <c r="GD58" s="321"/>
      <c r="GE58" s="321"/>
      <c r="GF58" s="321"/>
      <c r="GG58" s="321"/>
      <c r="GH58" s="321"/>
      <c r="GI58" s="321"/>
      <c r="GJ58" s="321"/>
      <c r="GK58" s="321"/>
      <c r="GL58" s="321"/>
      <c r="GM58" s="321"/>
      <c r="GN58" s="321"/>
      <c r="GO58" s="321"/>
      <c r="GP58" s="321"/>
      <c r="GQ58" s="321"/>
      <c r="GR58" s="321"/>
      <c r="GS58" s="321"/>
      <c r="GT58" s="321"/>
      <c r="GU58" s="321"/>
      <c r="GV58" s="321"/>
      <c r="GW58" s="321"/>
      <c r="GX58" s="321"/>
      <c r="GY58" s="321"/>
      <c r="GZ58" s="321"/>
      <c r="HA58" s="321"/>
      <c r="HB58" s="321"/>
      <c r="HC58" s="321"/>
      <c r="HD58" s="321"/>
      <c r="HE58" s="321"/>
      <c r="HF58" s="321"/>
      <c r="HG58" s="321"/>
      <c r="HH58" s="321"/>
      <c r="HI58" s="321"/>
      <c r="HJ58" s="321"/>
      <c r="HK58" s="321"/>
      <c r="HL58" s="321"/>
      <c r="HM58" s="321"/>
      <c r="HN58" s="321"/>
      <c r="HO58" s="321"/>
      <c r="HP58" s="321"/>
      <c r="HQ58" s="321"/>
      <c r="HR58" s="321"/>
      <c r="HS58" s="321"/>
      <c r="HT58" s="321"/>
      <c r="HU58" s="321"/>
      <c r="HV58" s="321"/>
      <c r="HW58" s="321"/>
      <c r="HX58" s="321"/>
      <c r="HY58" s="321"/>
      <c r="HZ58" s="321"/>
      <c r="IA58" s="321"/>
      <c r="IB58" s="321"/>
      <c r="IC58" s="321"/>
      <c r="ID58" s="321"/>
      <c r="IE58" s="321"/>
      <c r="IF58" s="321"/>
      <c r="IG58" s="321"/>
      <c r="IH58" s="321"/>
      <c r="II58" s="321"/>
      <c r="IJ58" s="321"/>
      <c r="IK58" s="321"/>
      <c r="IL58" s="321"/>
      <c r="IM58" s="321"/>
      <c r="IN58" s="321"/>
      <c r="IO58" s="321"/>
      <c r="IP58" s="321"/>
      <c r="IQ58" s="321"/>
      <c r="IR58" s="321"/>
      <c r="IS58" s="321"/>
      <c r="IT58" s="321"/>
      <c r="IU58" s="321"/>
      <c r="IV58" s="321"/>
    </row>
    <row r="59" spans="1:256" s="546" customFormat="1" ht="18" customHeight="1">
      <c r="A59" s="561">
        <v>51</v>
      </c>
      <c r="B59" s="554"/>
      <c r="C59" s="322"/>
      <c r="D59" s="755" t="s">
        <v>303</v>
      </c>
      <c r="E59" s="330">
        <f>F59+G59+O60+P59</f>
        <v>2000</v>
      </c>
      <c r="F59" s="550"/>
      <c r="G59" s="331"/>
      <c r="H59" s="762"/>
      <c r="I59" s="777"/>
      <c r="J59" s="773"/>
      <c r="K59" s="773"/>
      <c r="L59" s="773"/>
      <c r="M59" s="773">
        <v>2000</v>
      </c>
      <c r="N59" s="773"/>
      <c r="O59" s="745">
        <f>SUM(I59:N59)</f>
        <v>2000</v>
      </c>
      <c r="P59" s="551"/>
      <c r="Q59" s="321"/>
      <c r="R59" s="321"/>
      <c r="S59" s="321"/>
      <c r="T59" s="321"/>
      <c r="U59" s="321"/>
      <c r="V59" s="321"/>
      <c r="W59" s="321"/>
      <c r="X59" s="321"/>
      <c r="Y59" s="321"/>
      <c r="Z59" s="321"/>
      <c r="AA59" s="321"/>
      <c r="AB59" s="321"/>
      <c r="AC59" s="321"/>
      <c r="AD59" s="321"/>
      <c r="AE59" s="321"/>
      <c r="AF59" s="321"/>
      <c r="AG59" s="321"/>
      <c r="AH59" s="321"/>
      <c r="AI59" s="321"/>
      <c r="AJ59" s="321"/>
      <c r="AK59" s="321"/>
      <c r="AL59" s="321"/>
      <c r="AM59" s="321"/>
      <c r="AN59" s="321"/>
      <c r="AO59" s="321"/>
      <c r="AP59" s="321"/>
      <c r="AQ59" s="321"/>
      <c r="AR59" s="321"/>
      <c r="AS59" s="321"/>
      <c r="AT59" s="321"/>
      <c r="AU59" s="321"/>
      <c r="AV59" s="321"/>
      <c r="AW59" s="321"/>
      <c r="AX59" s="321"/>
      <c r="AY59" s="321"/>
      <c r="AZ59" s="321"/>
      <c r="BA59" s="321"/>
      <c r="BB59" s="321"/>
      <c r="BC59" s="321"/>
      <c r="BD59" s="321"/>
      <c r="BE59" s="321"/>
      <c r="BF59" s="321"/>
      <c r="BG59" s="321"/>
      <c r="BH59" s="321"/>
      <c r="BI59" s="321"/>
      <c r="BJ59" s="321"/>
      <c r="BK59" s="321"/>
      <c r="BL59" s="321"/>
      <c r="BM59" s="321"/>
      <c r="BN59" s="321"/>
      <c r="BO59" s="321"/>
      <c r="BP59" s="321"/>
      <c r="BQ59" s="321"/>
      <c r="BR59" s="321"/>
      <c r="BS59" s="321"/>
      <c r="BT59" s="321"/>
      <c r="BU59" s="321"/>
      <c r="BV59" s="321"/>
      <c r="BW59" s="321"/>
      <c r="BX59" s="321"/>
      <c r="BY59" s="321"/>
      <c r="BZ59" s="321"/>
      <c r="CA59" s="321"/>
      <c r="CB59" s="321"/>
      <c r="CC59" s="321"/>
      <c r="CD59" s="321"/>
      <c r="CE59" s="321"/>
      <c r="CF59" s="321"/>
      <c r="CG59" s="321"/>
      <c r="CH59" s="321"/>
      <c r="CI59" s="321"/>
      <c r="CJ59" s="321"/>
      <c r="CK59" s="321"/>
      <c r="CL59" s="321"/>
      <c r="CM59" s="321"/>
      <c r="CN59" s="321"/>
      <c r="CO59" s="321"/>
      <c r="CP59" s="321"/>
      <c r="CQ59" s="321"/>
      <c r="CR59" s="321"/>
      <c r="CS59" s="321"/>
      <c r="CT59" s="321"/>
      <c r="CU59" s="321"/>
      <c r="CV59" s="321"/>
      <c r="CW59" s="321"/>
      <c r="CX59" s="321"/>
      <c r="CY59" s="321"/>
      <c r="CZ59" s="321"/>
      <c r="DA59" s="321"/>
      <c r="DB59" s="321"/>
      <c r="DC59" s="321"/>
      <c r="DD59" s="321"/>
      <c r="DE59" s="321"/>
      <c r="DF59" s="321"/>
      <c r="DG59" s="321"/>
      <c r="DH59" s="321"/>
      <c r="DI59" s="321"/>
      <c r="DJ59" s="321"/>
      <c r="DK59" s="321"/>
      <c r="DL59" s="321"/>
      <c r="DM59" s="321"/>
      <c r="DN59" s="321"/>
      <c r="DO59" s="321"/>
      <c r="DP59" s="321"/>
      <c r="DQ59" s="321"/>
      <c r="DR59" s="321"/>
      <c r="DS59" s="321"/>
      <c r="DT59" s="321"/>
      <c r="DU59" s="321"/>
      <c r="DV59" s="321"/>
      <c r="DW59" s="321"/>
      <c r="DX59" s="321"/>
      <c r="DY59" s="321"/>
      <c r="DZ59" s="321"/>
      <c r="EA59" s="321"/>
      <c r="EB59" s="321"/>
      <c r="EC59" s="321"/>
      <c r="ED59" s="321"/>
      <c r="EE59" s="321"/>
      <c r="EF59" s="321"/>
      <c r="EG59" s="321"/>
      <c r="EH59" s="321"/>
      <c r="EI59" s="321"/>
      <c r="EJ59" s="321"/>
      <c r="EK59" s="321"/>
      <c r="EL59" s="321"/>
      <c r="EM59" s="321"/>
      <c r="EN59" s="321"/>
      <c r="EO59" s="321"/>
      <c r="EP59" s="321"/>
      <c r="EQ59" s="321"/>
      <c r="ER59" s="321"/>
      <c r="ES59" s="321"/>
      <c r="ET59" s="321"/>
      <c r="EU59" s="321"/>
      <c r="EV59" s="321"/>
      <c r="EW59" s="321"/>
      <c r="EX59" s="321"/>
      <c r="EY59" s="321"/>
      <c r="EZ59" s="321"/>
      <c r="FA59" s="321"/>
      <c r="FB59" s="321"/>
      <c r="FC59" s="321"/>
      <c r="FD59" s="321"/>
      <c r="FE59" s="321"/>
      <c r="FF59" s="321"/>
      <c r="FG59" s="321"/>
      <c r="FH59" s="321"/>
      <c r="FI59" s="321"/>
      <c r="FJ59" s="321"/>
      <c r="FK59" s="321"/>
      <c r="FL59" s="321"/>
      <c r="FM59" s="321"/>
      <c r="FN59" s="321"/>
      <c r="FO59" s="321"/>
      <c r="FP59" s="321"/>
      <c r="FQ59" s="321"/>
      <c r="FR59" s="321"/>
      <c r="FS59" s="321"/>
      <c r="FT59" s="321"/>
      <c r="FU59" s="321"/>
      <c r="FV59" s="321"/>
      <c r="FW59" s="321"/>
      <c r="FX59" s="321"/>
      <c r="FY59" s="321"/>
      <c r="FZ59" s="321"/>
      <c r="GA59" s="321"/>
      <c r="GB59" s="321"/>
      <c r="GC59" s="321"/>
      <c r="GD59" s="321"/>
      <c r="GE59" s="321"/>
      <c r="GF59" s="321"/>
      <c r="GG59" s="321"/>
      <c r="GH59" s="321"/>
      <c r="GI59" s="321"/>
      <c r="GJ59" s="321"/>
      <c r="GK59" s="321"/>
      <c r="GL59" s="321"/>
      <c r="GM59" s="321"/>
      <c r="GN59" s="321"/>
      <c r="GO59" s="321"/>
      <c r="GP59" s="321"/>
      <c r="GQ59" s="321"/>
      <c r="GR59" s="321"/>
      <c r="GS59" s="321"/>
      <c r="GT59" s="321"/>
      <c r="GU59" s="321"/>
      <c r="GV59" s="321"/>
      <c r="GW59" s="321"/>
      <c r="GX59" s="321"/>
      <c r="GY59" s="321"/>
      <c r="GZ59" s="321"/>
      <c r="HA59" s="321"/>
      <c r="HB59" s="321"/>
      <c r="HC59" s="321"/>
      <c r="HD59" s="321"/>
      <c r="HE59" s="321"/>
      <c r="HF59" s="321"/>
      <c r="HG59" s="321"/>
      <c r="HH59" s="321"/>
      <c r="HI59" s="321"/>
      <c r="HJ59" s="321"/>
      <c r="HK59" s="321"/>
      <c r="HL59" s="321"/>
      <c r="HM59" s="321"/>
      <c r="HN59" s="321"/>
      <c r="HO59" s="321"/>
      <c r="HP59" s="321"/>
      <c r="HQ59" s="321"/>
      <c r="HR59" s="321"/>
      <c r="HS59" s="321"/>
      <c r="HT59" s="321"/>
      <c r="HU59" s="321"/>
      <c r="HV59" s="321"/>
      <c r="HW59" s="321"/>
      <c r="HX59" s="321"/>
      <c r="HY59" s="321"/>
      <c r="HZ59" s="321"/>
      <c r="IA59" s="321"/>
      <c r="IB59" s="321"/>
      <c r="IC59" s="321"/>
      <c r="ID59" s="321"/>
      <c r="IE59" s="321"/>
      <c r="IF59" s="321"/>
      <c r="IG59" s="321"/>
      <c r="IH59" s="321"/>
      <c r="II59" s="321"/>
      <c r="IJ59" s="321"/>
      <c r="IK59" s="321"/>
      <c r="IL59" s="321"/>
      <c r="IM59" s="321"/>
      <c r="IN59" s="321"/>
      <c r="IO59" s="321"/>
      <c r="IP59" s="321"/>
      <c r="IQ59" s="321"/>
      <c r="IR59" s="321"/>
      <c r="IS59" s="321"/>
      <c r="IT59" s="321"/>
      <c r="IU59" s="321"/>
      <c r="IV59" s="321"/>
    </row>
    <row r="60" spans="1:256" s="546" customFormat="1" ht="18" customHeight="1">
      <c r="A60" s="561">
        <v>52</v>
      </c>
      <c r="B60" s="554"/>
      <c r="C60" s="322"/>
      <c r="D60" s="436" t="s">
        <v>994</v>
      </c>
      <c r="E60" s="330"/>
      <c r="F60" s="550"/>
      <c r="G60" s="331"/>
      <c r="H60" s="762"/>
      <c r="I60" s="777"/>
      <c r="J60" s="773"/>
      <c r="K60" s="773"/>
      <c r="L60" s="773"/>
      <c r="M60" s="1131">
        <v>2000</v>
      </c>
      <c r="N60" s="547"/>
      <c r="O60" s="555">
        <f>SUM(I60:N60)</f>
        <v>2000</v>
      </c>
      <c r="P60" s="55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1"/>
      <c r="AP60" s="321"/>
      <c r="AQ60" s="321"/>
      <c r="AR60" s="321"/>
      <c r="AS60" s="321"/>
      <c r="AT60" s="321"/>
      <c r="AU60" s="321"/>
      <c r="AV60" s="321"/>
      <c r="AW60" s="321"/>
      <c r="AX60" s="321"/>
      <c r="AY60" s="321"/>
      <c r="AZ60" s="321"/>
      <c r="BA60" s="321"/>
      <c r="BB60" s="321"/>
      <c r="BC60" s="321"/>
      <c r="BD60" s="321"/>
      <c r="BE60" s="321"/>
      <c r="BF60" s="321"/>
      <c r="BG60" s="321"/>
      <c r="BH60" s="321"/>
      <c r="BI60" s="321"/>
      <c r="BJ60" s="321"/>
      <c r="BK60" s="321"/>
      <c r="BL60" s="321"/>
      <c r="BM60" s="321"/>
      <c r="BN60" s="321"/>
      <c r="BO60" s="321"/>
      <c r="BP60" s="321"/>
      <c r="BQ60" s="321"/>
      <c r="BR60" s="321"/>
      <c r="BS60" s="321"/>
      <c r="BT60" s="321"/>
      <c r="BU60" s="321"/>
      <c r="BV60" s="321"/>
      <c r="BW60" s="321"/>
      <c r="BX60" s="321"/>
      <c r="BY60" s="321"/>
      <c r="BZ60" s="321"/>
      <c r="CA60" s="321"/>
      <c r="CB60" s="321"/>
      <c r="CC60" s="321"/>
      <c r="CD60" s="321"/>
      <c r="CE60" s="321"/>
      <c r="CF60" s="321"/>
      <c r="CG60" s="321"/>
      <c r="CH60" s="321"/>
      <c r="CI60" s="321"/>
      <c r="CJ60" s="321"/>
      <c r="CK60" s="321"/>
      <c r="CL60" s="321"/>
      <c r="CM60" s="321"/>
      <c r="CN60" s="321"/>
      <c r="CO60" s="321"/>
      <c r="CP60" s="321"/>
      <c r="CQ60" s="321"/>
      <c r="CR60" s="321"/>
      <c r="CS60" s="321"/>
      <c r="CT60" s="321"/>
      <c r="CU60" s="321"/>
      <c r="CV60" s="321"/>
      <c r="CW60" s="321"/>
      <c r="CX60" s="321"/>
      <c r="CY60" s="321"/>
      <c r="CZ60" s="321"/>
      <c r="DA60" s="321"/>
      <c r="DB60" s="321"/>
      <c r="DC60" s="321"/>
      <c r="DD60" s="321"/>
      <c r="DE60" s="321"/>
      <c r="DF60" s="321"/>
      <c r="DG60" s="321"/>
      <c r="DH60" s="321"/>
      <c r="DI60" s="321"/>
      <c r="DJ60" s="321"/>
      <c r="DK60" s="321"/>
      <c r="DL60" s="321"/>
      <c r="DM60" s="321"/>
      <c r="DN60" s="321"/>
      <c r="DO60" s="321"/>
      <c r="DP60" s="321"/>
      <c r="DQ60" s="321"/>
      <c r="DR60" s="321"/>
      <c r="DS60" s="321"/>
      <c r="DT60" s="321"/>
      <c r="DU60" s="321"/>
      <c r="DV60" s="321"/>
      <c r="DW60" s="321"/>
      <c r="DX60" s="321"/>
      <c r="DY60" s="321"/>
      <c r="DZ60" s="321"/>
      <c r="EA60" s="321"/>
      <c r="EB60" s="321"/>
      <c r="EC60" s="321"/>
      <c r="ED60" s="321"/>
      <c r="EE60" s="321"/>
      <c r="EF60" s="321"/>
      <c r="EG60" s="321"/>
      <c r="EH60" s="321"/>
      <c r="EI60" s="321"/>
      <c r="EJ60" s="321"/>
      <c r="EK60" s="321"/>
      <c r="EL60" s="321"/>
      <c r="EM60" s="321"/>
      <c r="EN60" s="321"/>
      <c r="EO60" s="321"/>
      <c r="EP60" s="321"/>
      <c r="EQ60" s="321"/>
      <c r="ER60" s="321"/>
      <c r="ES60" s="321"/>
      <c r="ET60" s="321"/>
      <c r="EU60" s="321"/>
      <c r="EV60" s="321"/>
      <c r="EW60" s="321"/>
      <c r="EX60" s="321"/>
      <c r="EY60" s="321"/>
      <c r="EZ60" s="321"/>
      <c r="FA60" s="321"/>
      <c r="FB60" s="321"/>
      <c r="FC60" s="321"/>
      <c r="FD60" s="321"/>
      <c r="FE60" s="321"/>
      <c r="FF60" s="321"/>
      <c r="FG60" s="321"/>
      <c r="FH60" s="321"/>
      <c r="FI60" s="321"/>
      <c r="FJ60" s="321"/>
      <c r="FK60" s="321"/>
      <c r="FL60" s="321"/>
      <c r="FM60" s="321"/>
      <c r="FN60" s="321"/>
      <c r="FO60" s="321"/>
      <c r="FP60" s="321"/>
      <c r="FQ60" s="321"/>
      <c r="FR60" s="321"/>
      <c r="FS60" s="321"/>
      <c r="FT60" s="321"/>
      <c r="FU60" s="321"/>
      <c r="FV60" s="321"/>
      <c r="FW60" s="321"/>
      <c r="FX60" s="321"/>
      <c r="FY60" s="321"/>
      <c r="FZ60" s="321"/>
      <c r="GA60" s="321"/>
      <c r="GB60" s="321"/>
      <c r="GC60" s="321"/>
      <c r="GD60" s="321"/>
      <c r="GE60" s="321"/>
      <c r="GF60" s="321"/>
      <c r="GG60" s="321"/>
      <c r="GH60" s="321"/>
      <c r="GI60" s="321"/>
      <c r="GJ60" s="321"/>
      <c r="GK60" s="321"/>
      <c r="GL60" s="321"/>
      <c r="GM60" s="321"/>
      <c r="GN60" s="321"/>
      <c r="GO60" s="321"/>
      <c r="GP60" s="321"/>
      <c r="GQ60" s="321"/>
      <c r="GR60" s="321"/>
      <c r="GS60" s="321"/>
      <c r="GT60" s="321"/>
      <c r="GU60" s="321"/>
      <c r="GV60" s="321"/>
      <c r="GW60" s="321"/>
      <c r="GX60" s="321"/>
      <c r="GY60" s="321"/>
      <c r="GZ60" s="321"/>
      <c r="HA60" s="321"/>
      <c r="HB60" s="321"/>
      <c r="HC60" s="321"/>
      <c r="HD60" s="321"/>
      <c r="HE60" s="321"/>
      <c r="HF60" s="321"/>
      <c r="HG60" s="321"/>
      <c r="HH60" s="321"/>
      <c r="HI60" s="321"/>
      <c r="HJ60" s="321"/>
      <c r="HK60" s="321"/>
      <c r="HL60" s="321"/>
      <c r="HM60" s="321"/>
      <c r="HN60" s="321"/>
      <c r="HO60" s="321"/>
      <c r="HP60" s="321"/>
      <c r="HQ60" s="321"/>
      <c r="HR60" s="321"/>
      <c r="HS60" s="321"/>
      <c r="HT60" s="321"/>
      <c r="HU60" s="321"/>
      <c r="HV60" s="321"/>
      <c r="HW60" s="321"/>
      <c r="HX60" s="321"/>
      <c r="HY60" s="321"/>
      <c r="HZ60" s="321"/>
      <c r="IA60" s="321"/>
      <c r="IB60" s="321"/>
      <c r="IC60" s="321"/>
      <c r="ID60" s="321"/>
      <c r="IE60" s="321"/>
      <c r="IF60" s="321"/>
      <c r="IG60" s="321"/>
      <c r="IH60" s="321"/>
      <c r="II60" s="321"/>
      <c r="IJ60" s="321"/>
      <c r="IK60" s="321"/>
      <c r="IL60" s="321"/>
      <c r="IM60" s="321"/>
      <c r="IN60" s="321"/>
      <c r="IO60" s="321"/>
      <c r="IP60" s="321"/>
      <c r="IQ60" s="321"/>
      <c r="IR60" s="321"/>
      <c r="IS60" s="321"/>
      <c r="IT60" s="321"/>
      <c r="IU60" s="321"/>
      <c r="IV60" s="321"/>
    </row>
    <row r="61" spans="1:256" s="546" customFormat="1" ht="18" customHeight="1">
      <c r="A61" s="561">
        <v>53</v>
      </c>
      <c r="B61" s="554"/>
      <c r="C61" s="322"/>
      <c r="D61" s="987" t="s">
        <v>1036</v>
      </c>
      <c r="E61" s="330"/>
      <c r="F61" s="550"/>
      <c r="G61" s="331"/>
      <c r="H61" s="762"/>
      <c r="I61" s="547"/>
      <c r="J61" s="547"/>
      <c r="K61" s="547"/>
      <c r="L61" s="547"/>
      <c r="M61" s="1460">
        <v>1999</v>
      </c>
      <c r="N61" s="547"/>
      <c r="O61" s="1175">
        <f>SUM(I61:N61)</f>
        <v>1999</v>
      </c>
      <c r="P61" s="55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21"/>
      <c r="AT61" s="321"/>
      <c r="AU61" s="321"/>
      <c r="AV61" s="321"/>
      <c r="AW61" s="321"/>
      <c r="AX61" s="321"/>
      <c r="AY61" s="321"/>
      <c r="AZ61" s="321"/>
      <c r="BA61" s="321"/>
      <c r="BB61" s="321"/>
      <c r="BC61" s="321"/>
      <c r="BD61" s="321"/>
      <c r="BE61" s="321"/>
      <c r="BF61" s="321"/>
      <c r="BG61" s="321"/>
      <c r="BH61" s="321"/>
      <c r="BI61" s="321"/>
      <c r="BJ61" s="321"/>
      <c r="BK61" s="321"/>
      <c r="BL61" s="321"/>
      <c r="BM61" s="321"/>
      <c r="BN61" s="321"/>
      <c r="BO61" s="321"/>
      <c r="BP61" s="321"/>
      <c r="BQ61" s="321"/>
      <c r="BR61" s="321"/>
      <c r="BS61" s="321"/>
      <c r="BT61" s="321"/>
      <c r="BU61" s="321"/>
      <c r="BV61" s="321"/>
      <c r="BW61" s="321"/>
      <c r="BX61" s="321"/>
      <c r="BY61" s="321"/>
      <c r="BZ61" s="321"/>
      <c r="CA61" s="321"/>
      <c r="CB61" s="321"/>
      <c r="CC61" s="321"/>
      <c r="CD61" s="321"/>
      <c r="CE61" s="321"/>
      <c r="CF61" s="321"/>
      <c r="CG61" s="321"/>
      <c r="CH61" s="321"/>
      <c r="CI61" s="321"/>
      <c r="CJ61" s="321"/>
      <c r="CK61" s="321"/>
      <c r="CL61" s="321"/>
      <c r="CM61" s="321"/>
      <c r="CN61" s="321"/>
      <c r="CO61" s="321"/>
      <c r="CP61" s="321"/>
      <c r="CQ61" s="321"/>
      <c r="CR61" s="321"/>
      <c r="CS61" s="321"/>
      <c r="CT61" s="321"/>
      <c r="CU61" s="321"/>
      <c r="CV61" s="321"/>
      <c r="CW61" s="321"/>
      <c r="CX61" s="321"/>
      <c r="CY61" s="321"/>
      <c r="CZ61" s="321"/>
      <c r="DA61" s="321"/>
      <c r="DB61" s="321"/>
      <c r="DC61" s="321"/>
      <c r="DD61" s="321"/>
      <c r="DE61" s="321"/>
      <c r="DF61" s="321"/>
      <c r="DG61" s="321"/>
      <c r="DH61" s="321"/>
      <c r="DI61" s="321"/>
      <c r="DJ61" s="321"/>
      <c r="DK61" s="321"/>
      <c r="DL61" s="321"/>
      <c r="DM61" s="321"/>
      <c r="DN61" s="321"/>
      <c r="DO61" s="321"/>
      <c r="DP61" s="321"/>
      <c r="DQ61" s="321"/>
      <c r="DR61" s="321"/>
      <c r="DS61" s="321"/>
      <c r="DT61" s="321"/>
      <c r="DU61" s="321"/>
      <c r="DV61" s="321"/>
      <c r="DW61" s="321"/>
      <c r="DX61" s="321"/>
      <c r="DY61" s="321"/>
      <c r="DZ61" s="321"/>
      <c r="EA61" s="321"/>
      <c r="EB61" s="321"/>
      <c r="EC61" s="321"/>
      <c r="ED61" s="321"/>
      <c r="EE61" s="321"/>
      <c r="EF61" s="321"/>
      <c r="EG61" s="321"/>
      <c r="EH61" s="321"/>
      <c r="EI61" s="321"/>
      <c r="EJ61" s="321"/>
      <c r="EK61" s="321"/>
      <c r="EL61" s="321"/>
      <c r="EM61" s="321"/>
      <c r="EN61" s="321"/>
      <c r="EO61" s="321"/>
      <c r="EP61" s="321"/>
      <c r="EQ61" s="321"/>
      <c r="ER61" s="321"/>
      <c r="ES61" s="321"/>
      <c r="ET61" s="321"/>
      <c r="EU61" s="321"/>
      <c r="EV61" s="321"/>
      <c r="EW61" s="321"/>
      <c r="EX61" s="321"/>
      <c r="EY61" s="321"/>
      <c r="EZ61" s="321"/>
      <c r="FA61" s="321"/>
      <c r="FB61" s="321"/>
      <c r="FC61" s="321"/>
      <c r="FD61" s="321"/>
      <c r="FE61" s="321"/>
      <c r="FF61" s="321"/>
      <c r="FG61" s="321"/>
      <c r="FH61" s="321"/>
      <c r="FI61" s="321"/>
      <c r="FJ61" s="321"/>
      <c r="FK61" s="321"/>
      <c r="FL61" s="321"/>
      <c r="FM61" s="321"/>
      <c r="FN61" s="321"/>
      <c r="FO61" s="321"/>
      <c r="FP61" s="321"/>
      <c r="FQ61" s="321"/>
      <c r="FR61" s="321"/>
      <c r="FS61" s="321"/>
      <c r="FT61" s="321"/>
      <c r="FU61" s="321"/>
      <c r="FV61" s="321"/>
      <c r="FW61" s="321"/>
      <c r="FX61" s="321"/>
      <c r="FY61" s="321"/>
      <c r="FZ61" s="321"/>
      <c r="GA61" s="321"/>
      <c r="GB61" s="321"/>
      <c r="GC61" s="321"/>
      <c r="GD61" s="321"/>
      <c r="GE61" s="321"/>
      <c r="GF61" s="321"/>
      <c r="GG61" s="321"/>
      <c r="GH61" s="321"/>
      <c r="GI61" s="321"/>
      <c r="GJ61" s="321"/>
      <c r="GK61" s="321"/>
      <c r="GL61" s="321"/>
      <c r="GM61" s="321"/>
      <c r="GN61" s="321"/>
      <c r="GO61" s="321"/>
      <c r="GP61" s="321"/>
      <c r="GQ61" s="321"/>
      <c r="GR61" s="321"/>
      <c r="GS61" s="321"/>
      <c r="GT61" s="321"/>
      <c r="GU61" s="321"/>
      <c r="GV61" s="321"/>
      <c r="GW61" s="321"/>
      <c r="GX61" s="321"/>
      <c r="GY61" s="321"/>
      <c r="GZ61" s="321"/>
      <c r="HA61" s="321"/>
      <c r="HB61" s="321"/>
      <c r="HC61" s="321"/>
      <c r="HD61" s="321"/>
      <c r="HE61" s="321"/>
      <c r="HF61" s="321"/>
      <c r="HG61" s="321"/>
      <c r="HH61" s="321"/>
      <c r="HI61" s="321"/>
      <c r="HJ61" s="321"/>
      <c r="HK61" s="321"/>
      <c r="HL61" s="321"/>
      <c r="HM61" s="321"/>
      <c r="HN61" s="321"/>
      <c r="HO61" s="321"/>
      <c r="HP61" s="321"/>
      <c r="HQ61" s="321"/>
      <c r="HR61" s="321"/>
      <c r="HS61" s="321"/>
      <c r="HT61" s="321"/>
      <c r="HU61" s="321"/>
      <c r="HV61" s="321"/>
      <c r="HW61" s="321"/>
      <c r="HX61" s="321"/>
      <c r="HY61" s="321"/>
      <c r="HZ61" s="321"/>
      <c r="IA61" s="321"/>
      <c r="IB61" s="321"/>
      <c r="IC61" s="321"/>
      <c r="ID61" s="321"/>
      <c r="IE61" s="321"/>
      <c r="IF61" s="321"/>
      <c r="IG61" s="321"/>
      <c r="IH61" s="321"/>
      <c r="II61" s="321"/>
      <c r="IJ61" s="321"/>
      <c r="IK61" s="321"/>
      <c r="IL61" s="321"/>
      <c r="IM61" s="321"/>
      <c r="IN61" s="321"/>
      <c r="IO61" s="321"/>
      <c r="IP61" s="321"/>
      <c r="IQ61" s="321"/>
      <c r="IR61" s="321"/>
      <c r="IS61" s="321"/>
      <c r="IT61" s="321"/>
      <c r="IU61" s="321"/>
      <c r="IV61" s="321"/>
    </row>
    <row r="62" spans="1:256" s="546" customFormat="1" ht="22.5" customHeight="1">
      <c r="A62" s="561">
        <v>54</v>
      </c>
      <c r="B62" s="1457"/>
      <c r="C62" s="1360">
        <v>14</v>
      </c>
      <c r="D62" s="558" t="s">
        <v>980</v>
      </c>
      <c r="E62" s="828"/>
      <c r="F62" s="829"/>
      <c r="G62" s="1454"/>
      <c r="H62" s="831" t="s">
        <v>24</v>
      </c>
      <c r="I62" s="832"/>
      <c r="J62" s="832"/>
      <c r="K62" s="832"/>
      <c r="L62" s="832"/>
      <c r="M62" s="1295"/>
      <c r="N62" s="832"/>
      <c r="O62" s="1458"/>
      <c r="P62" s="8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1"/>
      <c r="AP62" s="321"/>
      <c r="AQ62" s="321"/>
      <c r="AR62" s="321"/>
      <c r="AS62" s="321"/>
      <c r="AT62" s="321"/>
      <c r="AU62" s="321"/>
      <c r="AV62" s="321"/>
      <c r="AW62" s="321"/>
      <c r="AX62" s="321"/>
      <c r="AY62" s="321"/>
      <c r="AZ62" s="321"/>
      <c r="BA62" s="321"/>
      <c r="BB62" s="321"/>
      <c r="BC62" s="321"/>
      <c r="BD62" s="321"/>
      <c r="BE62" s="321"/>
      <c r="BF62" s="321"/>
      <c r="BG62" s="321"/>
      <c r="BH62" s="321"/>
      <c r="BI62" s="321"/>
      <c r="BJ62" s="321"/>
      <c r="BK62" s="321"/>
      <c r="BL62" s="321"/>
      <c r="BM62" s="321"/>
      <c r="BN62" s="321"/>
      <c r="BO62" s="321"/>
      <c r="BP62" s="321"/>
      <c r="BQ62" s="321"/>
      <c r="BR62" s="321"/>
      <c r="BS62" s="321"/>
      <c r="BT62" s="321"/>
      <c r="BU62" s="321"/>
      <c r="BV62" s="321"/>
      <c r="BW62" s="321"/>
      <c r="BX62" s="321"/>
      <c r="BY62" s="321"/>
      <c r="BZ62" s="321"/>
      <c r="CA62" s="321"/>
      <c r="CB62" s="321"/>
      <c r="CC62" s="321"/>
      <c r="CD62" s="321"/>
      <c r="CE62" s="321"/>
      <c r="CF62" s="321"/>
      <c r="CG62" s="321"/>
      <c r="CH62" s="321"/>
      <c r="CI62" s="321"/>
      <c r="CJ62" s="321"/>
      <c r="CK62" s="321"/>
      <c r="CL62" s="321"/>
      <c r="CM62" s="321"/>
      <c r="CN62" s="321"/>
      <c r="CO62" s="321"/>
      <c r="CP62" s="321"/>
      <c r="CQ62" s="321"/>
      <c r="CR62" s="321"/>
      <c r="CS62" s="321"/>
      <c r="CT62" s="321"/>
      <c r="CU62" s="321"/>
      <c r="CV62" s="321"/>
      <c r="CW62" s="321"/>
      <c r="CX62" s="321"/>
      <c r="CY62" s="321"/>
      <c r="CZ62" s="321"/>
      <c r="DA62" s="321"/>
      <c r="DB62" s="321"/>
      <c r="DC62" s="321"/>
      <c r="DD62" s="321"/>
      <c r="DE62" s="321"/>
      <c r="DF62" s="321"/>
      <c r="DG62" s="321"/>
      <c r="DH62" s="321"/>
      <c r="DI62" s="321"/>
      <c r="DJ62" s="321"/>
      <c r="DK62" s="321"/>
      <c r="DL62" s="321"/>
      <c r="DM62" s="321"/>
      <c r="DN62" s="321"/>
      <c r="DO62" s="321"/>
      <c r="DP62" s="321"/>
      <c r="DQ62" s="321"/>
      <c r="DR62" s="321"/>
      <c r="DS62" s="321"/>
      <c r="DT62" s="321"/>
      <c r="DU62" s="321"/>
      <c r="DV62" s="321"/>
      <c r="DW62" s="321"/>
      <c r="DX62" s="321"/>
      <c r="DY62" s="321"/>
      <c r="DZ62" s="321"/>
      <c r="EA62" s="321"/>
      <c r="EB62" s="321"/>
      <c r="EC62" s="321"/>
      <c r="ED62" s="321"/>
      <c r="EE62" s="321"/>
      <c r="EF62" s="321"/>
      <c r="EG62" s="321"/>
      <c r="EH62" s="321"/>
      <c r="EI62" s="321"/>
      <c r="EJ62" s="321"/>
      <c r="EK62" s="321"/>
      <c r="EL62" s="321"/>
      <c r="EM62" s="321"/>
      <c r="EN62" s="321"/>
      <c r="EO62" s="321"/>
      <c r="EP62" s="321"/>
      <c r="EQ62" s="321"/>
      <c r="ER62" s="321"/>
      <c r="ES62" s="321"/>
      <c r="ET62" s="321"/>
      <c r="EU62" s="321"/>
      <c r="EV62" s="321"/>
      <c r="EW62" s="321"/>
      <c r="EX62" s="321"/>
      <c r="EY62" s="321"/>
      <c r="EZ62" s="321"/>
      <c r="FA62" s="321"/>
      <c r="FB62" s="321"/>
      <c r="FC62" s="321"/>
      <c r="FD62" s="321"/>
      <c r="FE62" s="321"/>
      <c r="FF62" s="321"/>
      <c r="FG62" s="321"/>
      <c r="FH62" s="321"/>
      <c r="FI62" s="321"/>
      <c r="FJ62" s="321"/>
      <c r="FK62" s="321"/>
      <c r="FL62" s="321"/>
      <c r="FM62" s="321"/>
      <c r="FN62" s="321"/>
      <c r="FO62" s="321"/>
      <c r="FP62" s="321"/>
      <c r="FQ62" s="321"/>
      <c r="FR62" s="321"/>
      <c r="FS62" s="321"/>
      <c r="FT62" s="321"/>
      <c r="FU62" s="321"/>
      <c r="FV62" s="321"/>
      <c r="FW62" s="321"/>
      <c r="FX62" s="321"/>
      <c r="FY62" s="321"/>
      <c r="FZ62" s="321"/>
      <c r="GA62" s="321"/>
      <c r="GB62" s="321"/>
      <c r="GC62" s="321"/>
      <c r="GD62" s="321"/>
      <c r="GE62" s="321"/>
      <c r="GF62" s="321"/>
      <c r="GG62" s="321"/>
      <c r="GH62" s="321"/>
      <c r="GI62" s="321"/>
      <c r="GJ62" s="321"/>
      <c r="GK62" s="321"/>
      <c r="GL62" s="321"/>
      <c r="GM62" s="321"/>
      <c r="GN62" s="321"/>
      <c r="GO62" s="321"/>
      <c r="GP62" s="321"/>
      <c r="GQ62" s="321"/>
      <c r="GR62" s="321"/>
      <c r="GS62" s="321"/>
      <c r="GT62" s="321"/>
      <c r="GU62" s="321"/>
      <c r="GV62" s="321"/>
      <c r="GW62" s="321"/>
      <c r="GX62" s="321"/>
      <c r="GY62" s="321"/>
      <c r="GZ62" s="321"/>
      <c r="HA62" s="321"/>
      <c r="HB62" s="321"/>
      <c r="HC62" s="321"/>
      <c r="HD62" s="321"/>
      <c r="HE62" s="321"/>
      <c r="HF62" s="321"/>
      <c r="HG62" s="321"/>
      <c r="HH62" s="321"/>
      <c r="HI62" s="321"/>
      <c r="HJ62" s="321"/>
      <c r="HK62" s="321"/>
      <c r="HL62" s="321"/>
      <c r="HM62" s="321"/>
      <c r="HN62" s="321"/>
      <c r="HO62" s="321"/>
      <c r="HP62" s="321"/>
      <c r="HQ62" s="321"/>
      <c r="HR62" s="321"/>
      <c r="HS62" s="321"/>
      <c r="HT62" s="321"/>
      <c r="HU62" s="321"/>
      <c r="HV62" s="321"/>
      <c r="HW62" s="321"/>
      <c r="HX62" s="321"/>
      <c r="HY62" s="321"/>
      <c r="HZ62" s="321"/>
      <c r="IA62" s="321"/>
      <c r="IB62" s="321"/>
      <c r="IC62" s="321"/>
      <c r="ID62" s="321"/>
      <c r="IE62" s="321"/>
      <c r="IF62" s="321"/>
      <c r="IG62" s="321"/>
      <c r="IH62" s="321"/>
      <c r="II62" s="321"/>
      <c r="IJ62" s="321"/>
      <c r="IK62" s="321"/>
      <c r="IL62" s="321"/>
      <c r="IM62" s="321"/>
      <c r="IN62" s="321"/>
      <c r="IO62" s="321"/>
      <c r="IP62" s="321"/>
      <c r="IQ62" s="321"/>
      <c r="IR62" s="321"/>
      <c r="IS62" s="321"/>
      <c r="IT62" s="321"/>
      <c r="IU62" s="321"/>
      <c r="IV62" s="321"/>
    </row>
    <row r="63" spans="1:256" s="546" customFormat="1" ht="18" customHeight="1">
      <c r="A63" s="561">
        <v>55</v>
      </c>
      <c r="B63" s="1457"/>
      <c r="C63" s="1360"/>
      <c r="D63" s="436" t="s">
        <v>994</v>
      </c>
      <c r="E63" s="828">
        <v>18903</v>
      </c>
      <c r="F63" s="829"/>
      <c r="G63" s="1454"/>
      <c r="H63" s="831"/>
      <c r="I63" s="832"/>
      <c r="J63" s="832"/>
      <c r="K63" s="832">
        <v>18903</v>
      </c>
      <c r="L63" s="832"/>
      <c r="M63" s="1295"/>
      <c r="N63" s="832"/>
      <c r="O63" s="1458">
        <f>SUM(I63:N63)</f>
        <v>18903</v>
      </c>
      <c r="P63" s="8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321"/>
      <c r="AY63" s="321"/>
      <c r="AZ63" s="321"/>
      <c r="BA63" s="321"/>
      <c r="BB63" s="321"/>
      <c r="BC63" s="321"/>
      <c r="BD63" s="321"/>
      <c r="BE63" s="321"/>
      <c r="BF63" s="321"/>
      <c r="BG63" s="321"/>
      <c r="BH63" s="321"/>
      <c r="BI63" s="321"/>
      <c r="BJ63" s="321"/>
      <c r="BK63" s="321"/>
      <c r="BL63" s="321"/>
      <c r="BM63" s="321"/>
      <c r="BN63" s="321"/>
      <c r="BO63" s="321"/>
      <c r="BP63" s="321"/>
      <c r="BQ63" s="321"/>
      <c r="BR63" s="321"/>
      <c r="BS63" s="321"/>
      <c r="BT63" s="321"/>
      <c r="BU63" s="321"/>
      <c r="BV63" s="321"/>
      <c r="BW63" s="321"/>
      <c r="BX63" s="321"/>
      <c r="BY63" s="321"/>
      <c r="BZ63" s="321"/>
      <c r="CA63" s="321"/>
      <c r="CB63" s="321"/>
      <c r="CC63" s="321"/>
      <c r="CD63" s="321"/>
      <c r="CE63" s="321"/>
      <c r="CF63" s="321"/>
      <c r="CG63" s="321"/>
      <c r="CH63" s="321"/>
      <c r="CI63" s="321"/>
      <c r="CJ63" s="321"/>
      <c r="CK63" s="321"/>
      <c r="CL63" s="321"/>
      <c r="CM63" s="321"/>
      <c r="CN63" s="321"/>
      <c r="CO63" s="321"/>
      <c r="CP63" s="321"/>
      <c r="CQ63" s="321"/>
      <c r="CR63" s="321"/>
      <c r="CS63" s="321"/>
      <c r="CT63" s="321"/>
      <c r="CU63" s="321"/>
      <c r="CV63" s="321"/>
      <c r="CW63" s="321"/>
      <c r="CX63" s="321"/>
      <c r="CY63" s="321"/>
      <c r="CZ63" s="321"/>
      <c r="DA63" s="321"/>
      <c r="DB63" s="321"/>
      <c r="DC63" s="321"/>
      <c r="DD63" s="321"/>
      <c r="DE63" s="321"/>
      <c r="DF63" s="321"/>
      <c r="DG63" s="321"/>
      <c r="DH63" s="321"/>
      <c r="DI63" s="321"/>
      <c r="DJ63" s="321"/>
      <c r="DK63" s="321"/>
      <c r="DL63" s="321"/>
      <c r="DM63" s="321"/>
      <c r="DN63" s="321"/>
      <c r="DO63" s="321"/>
      <c r="DP63" s="321"/>
      <c r="DQ63" s="321"/>
      <c r="DR63" s="321"/>
      <c r="DS63" s="321"/>
      <c r="DT63" s="321"/>
      <c r="DU63" s="321"/>
      <c r="DV63" s="321"/>
      <c r="DW63" s="321"/>
      <c r="DX63" s="321"/>
      <c r="DY63" s="321"/>
      <c r="DZ63" s="321"/>
      <c r="EA63" s="321"/>
      <c r="EB63" s="321"/>
      <c r="EC63" s="321"/>
      <c r="ED63" s="321"/>
      <c r="EE63" s="321"/>
      <c r="EF63" s="321"/>
      <c r="EG63" s="321"/>
      <c r="EH63" s="321"/>
      <c r="EI63" s="321"/>
      <c r="EJ63" s="321"/>
      <c r="EK63" s="321"/>
      <c r="EL63" s="321"/>
      <c r="EM63" s="321"/>
      <c r="EN63" s="321"/>
      <c r="EO63" s="321"/>
      <c r="EP63" s="321"/>
      <c r="EQ63" s="321"/>
      <c r="ER63" s="321"/>
      <c r="ES63" s="321"/>
      <c r="ET63" s="321"/>
      <c r="EU63" s="321"/>
      <c r="EV63" s="321"/>
      <c r="EW63" s="321"/>
      <c r="EX63" s="321"/>
      <c r="EY63" s="321"/>
      <c r="EZ63" s="321"/>
      <c r="FA63" s="321"/>
      <c r="FB63" s="321"/>
      <c r="FC63" s="321"/>
      <c r="FD63" s="321"/>
      <c r="FE63" s="321"/>
      <c r="FF63" s="321"/>
      <c r="FG63" s="321"/>
      <c r="FH63" s="321"/>
      <c r="FI63" s="321"/>
      <c r="FJ63" s="321"/>
      <c r="FK63" s="321"/>
      <c r="FL63" s="321"/>
      <c r="FM63" s="321"/>
      <c r="FN63" s="321"/>
      <c r="FO63" s="321"/>
      <c r="FP63" s="321"/>
      <c r="FQ63" s="321"/>
      <c r="FR63" s="321"/>
      <c r="FS63" s="321"/>
      <c r="FT63" s="321"/>
      <c r="FU63" s="321"/>
      <c r="FV63" s="321"/>
      <c r="FW63" s="321"/>
      <c r="FX63" s="321"/>
      <c r="FY63" s="321"/>
      <c r="FZ63" s="321"/>
      <c r="GA63" s="321"/>
      <c r="GB63" s="321"/>
      <c r="GC63" s="321"/>
      <c r="GD63" s="321"/>
      <c r="GE63" s="321"/>
      <c r="GF63" s="321"/>
      <c r="GG63" s="321"/>
      <c r="GH63" s="321"/>
      <c r="GI63" s="321"/>
      <c r="GJ63" s="321"/>
      <c r="GK63" s="321"/>
      <c r="GL63" s="321"/>
      <c r="GM63" s="321"/>
      <c r="GN63" s="321"/>
      <c r="GO63" s="321"/>
      <c r="GP63" s="321"/>
      <c r="GQ63" s="321"/>
      <c r="GR63" s="321"/>
      <c r="GS63" s="321"/>
      <c r="GT63" s="321"/>
      <c r="GU63" s="321"/>
      <c r="GV63" s="321"/>
      <c r="GW63" s="321"/>
      <c r="GX63" s="321"/>
      <c r="GY63" s="321"/>
      <c r="GZ63" s="321"/>
      <c r="HA63" s="321"/>
      <c r="HB63" s="321"/>
      <c r="HC63" s="321"/>
      <c r="HD63" s="321"/>
      <c r="HE63" s="321"/>
      <c r="HF63" s="321"/>
      <c r="HG63" s="321"/>
      <c r="HH63" s="321"/>
      <c r="HI63" s="321"/>
      <c r="HJ63" s="321"/>
      <c r="HK63" s="321"/>
      <c r="HL63" s="321"/>
      <c r="HM63" s="321"/>
      <c r="HN63" s="321"/>
      <c r="HO63" s="321"/>
      <c r="HP63" s="321"/>
      <c r="HQ63" s="321"/>
      <c r="HR63" s="321"/>
      <c r="HS63" s="321"/>
      <c r="HT63" s="321"/>
      <c r="HU63" s="321"/>
      <c r="HV63" s="321"/>
      <c r="HW63" s="321"/>
      <c r="HX63" s="321"/>
      <c r="HY63" s="321"/>
      <c r="HZ63" s="321"/>
      <c r="IA63" s="321"/>
      <c r="IB63" s="321"/>
      <c r="IC63" s="321"/>
      <c r="ID63" s="321"/>
      <c r="IE63" s="321"/>
      <c r="IF63" s="321"/>
      <c r="IG63" s="321"/>
      <c r="IH63" s="321"/>
      <c r="II63" s="321"/>
      <c r="IJ63" s="321"/>
      <c r="IK63" s="321"/>
      <c r="IL63" s="321"/>
      <c r="IM63" s="321"/>
      <c r="IN63" s="321"/>
      <c r="IO63" s="321"/>
      <c r="IP63" s="321"/>
      <c r="IQ63" s="321"/>
      <c r="IR63" s="321"/>
      <c r="IS63" s="321"/>
      <c r="IT63" s="321"/>
      <c r="IU63" s="321"/>
      <c r="IV63" s="321"/>
    </row>
    <row r="64" spans="1:256" s="546" customFormat="1" ht="18" customHeight="1">
      <c r="A64" s="561">
        <v>56</v>
      </c>
      <c r="B64" s="1457"/>
      <c r="C64" s="1360"/>
      <c r="D64" s="1459" t="s">
        <v>1035</v>
      </c>
      <c r="E64" s="828"/>
      <c r="F64" s="829"/>
      <c r="G64" s="1454"/>
      <c r="H64" s="831"/>
      <c r="I64" s="832"/>
      <c r="J64" s="832"/>
      <c r="K64" s="1460">
        <v>0</v>
      </c>
      <c r="L64" s="832"/>
      <c r="M64" s="1295"/>
      <c r="N64" s="832"/>
      <c r="O64" s="1986">
        <f>SUM(I64:N64)</f>
        <v>0</v>
      </c>
      <c r="P64" s="8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1"/>
      <c r="AY64" s="321"/>
      <c r="AZ64" s="321"/>
      <c r="BA64" s="321"/>
      <c r="BB64" s="321"/>
      <c r="BC64" s="321"/>
      <c r="BD64" s="321"/>
      <c r="BE64" s="321"/>
      <c r="BF64" s="321"/>
      <c r="BG64" s="321"/>
      <c r="BH64" s="321"/>
      <c r="BI64" s="321"/>
      <c r="BJ64" s="321"/>
      <c r="BK64" s="321"/>
      <c r="BL64" s="321"/>
      <c r="BM64" s="321"/>
      <c r="BN64" s="321"/>
      <c r="BO64" s="321"/>
      <c r="BP64" s="321"/>
      <c r="BQ64" s="321"/>
      <c r="BR64" s="321"/>
      <c r="BS64" s="321"/>
      <c r="BT64" s="321"/>
      <c r="BU64" s="321"/>
      <c r="BV64" s="321"/>
      <c r="BW64" s="321"/>
      <c r="BX64" s="321"/>
      <c r="BY64" s="321"/>
      <c r="BZ64" s="321"/>
      <c r="CA64" s="321"/>
      <c r="CB64" s="321"/>
      <c r="CC64" s="321"/>
      <c r="CD64" s="321"/>
      <c r="CE64" s="321"/>
      <c r="CF64" s="321"/>
      <c r="CG64" s="321"/>
      <c r="CH64" s="321"/>
      <c r="CI64" s="321"/>
      <c r="CJ64" s="321"/>
      <c r="CK64" s="321"/>
      <c r="CL64" s="321"/>
      <c r="CM64" s="321"/>
      <c r="CN64" s="321"/>
      <c r="CO64" s="321"/>
      <c r="CP64" s="321"/>
      <c r="CQ64" s="321"/>
      <c r="CR64" s="321"/>
      <c r="CS64" s="321"/>
      <c r="CT64" s="321"/>
      <c r="CU64" s="321"/>
      <c r="CV64" s="321"/>
      <c r="CW64" s="321"/>
      <c r="CX64" s="321"/>
      <c r="CY64" s="321"/>
      <c r="CZ64" s="321"/>
      <c r="DA64" s="321"/>
      <c r="DB64" s="321"/>
      <c r="DC64" s="321"/>
      <c r="DD64" s="321"/>
      <c r="DE64" s="321"/>
      <c r="DF64" s="321"/>
      <c r="DG64" s="321"/>
      <c r="DH64" s="321"/>
      <c r="DI64" s="321"/>
      <c r="DJ64" s="321"/>
      <c r="DK64" s="321"/>
      <c r="DL64" s="321"/>
      <c r="DM64" s="321"/>
      <c r="DN64" s="321"/>
      <c r="DO64" s="321"/>
      <c r="DP64" s="321"/>
      <c r="DQ64" s="321"/>
      <c r="DR64" s="321"/>
      <c r="DS64" s="321"/>
      <c r="DT64" s="321"/>
      <c r="DU64" s="321"/>
      <c r="DV64" s="321"/>
      <c r="DW64" s="321"/>
      <c r="DX64" s="321"/>
      <c r="DY64" s="321"/>
      <c r="DZ64" s="321"/>
      <c r="EA64" s="321"/>
      <c r="EB64" s="321"/>
      <c r="EC64" s="321"/>
      <c r="ED64" s="321"/>
      <c r="EE64" s="321"/>
      <c r="EF64" s="321"/>
      <c r="EG64" s="321"/>
      <c r="EH64" s="321"/>
      <c r="EI64" s="321"/>
      <c r="EJ64" s="321"/>
      <c r="EK64" s="321"/>
      <c r="EL64" s="321"/>
      <c r="EM64" s="321"/>
      <c r="EN64" s="321"/>
      <c r="EO64" s="321"/>
      <c r="EP64" s="321"/>
      <c r="EQ64" s="321"/>
      <c r="ER64" s="321"/>
      <c r="ES64" s="321"/>
      <c r="ET64" s="321"/>
      <c r="EU64" s="321"/>
      <c r="EV64" s="321"/>
      <c r="EW64" s="321"/>
      <c r="EX64" s="321"/>
      <c r="EY64" s="321"/>
      <c r="EZ64" s="321"/>
      <c r="FA64" s="321"/>
      <c r="FB64" s="321"/>
      <c r="FC64" s="321"/>
      <c r="FD64" s="321"/>
      <c r="FE64" s="321"/>
      <c r="FF64" s="321"/>
      <c r="FG64" s="321"/>
      <c r="FH64" s="321"/>
      <c r="FI64" s="321"/>
      <c r="FJ64" s="321"/>
      <c r="FK64" s="321"/>
      <c r="FL64" s="321"/>
      <c r="FM64" s="321"/>
      <c r="FN64" s="321"/>
      <c r="FO64" s="321"/>
      <c r="FP64" s="321"/>
      <c r="FQ64" s="321"/>
      <c r="FR64" s="321"/>
      <c r="FS64" s="321"/>
      <c r="FT64" s="321"/>
      <c r="FU64" s="321"/>
      <c r="FV64" s="321"/>
      <c r="FW64" s="321"/>
      <c r="FX64" s="321"/>
      <c r="FY64" s="321"/>
      <c r="FZ64" s="321"/>
      <c r="GA64" s="321"/>
      <c r="GB64" s="321"/>
      <c r="GC64" s="321"/>
      <c r="GD64" s="321"/>
      <c r="GE64" s="321"/>
      <c r="GF64" s="321"/>
      <c r="GG64" s="321"/>
      <c r="GH64" s="321"/>
      <c r="GI64" s="321"/>
      <c r="GJ64" s="321"/>
      <c r="GK64" s="321"/>
      <c r="GL64" s="321"/>
      <c r="GM64" s="321"/>
      <c r="GN64" s="321"/>
      <c r="GO64" s="321"/>
      <c r="GP64" s="321"/>
      <c r="GQ64" s="321"/>
      <c r="GR64" s="321"/>
      <c r="GS64" s="321"/>
      <c r="GT64" s="321"/>
      <c r="GU64" s="321"/>
      <c r="GV64" s="321"/>
      <c r="GW64" s="321"/>
      <c r="GX64" s="321"/>
      <c r="GY64" s="321"/>
      <c r="GZ64" s="321"/>
      <c r="HA64" s="321"/>
      <c r="HB64" s="321"/>
      <c r="HC64" s="321"/>
      <c r="HD64" s="321"/>
      <c r="HE64" s="321"/>
      <c r="HF64" s="321"/>
      <c r="HG64" s="321"/>
      <c r="HH64" s="321"/>
      <c r="HI64" s="321"/>
      <c r="HJ64" s="321"/>
      <c r="HK64" s="321"/>
      <c r="HL64" s="321"/>
      <c r="HM64" s="321"/>
      <c r="HN64" s="321"/>
      <c r="HO64" s="321"/>
      <c r="HP64" s="321"/>
      <c r="HQ64" s="321"/>
      <c r="HR64" s="321"/>
      <c r="HS64" s="321"/>
      <c r="HT64" s="321"/>
      <c r="HU64" s="321"/>
      <c r="HV64" s="321"/>
      <c r="HW64" s="321"/>
      <c r="HX64" s="321"/>
      <c r="HY64" s="321"/>
      <c r="HZ64" s="321"/>
      <c r="IA64" s="321"/>
      <c r="IB64" s="321"/>
      <c r="IC64" s="321"/>
      <c r="ID64" s="321"/>
      <c r="IE64" s="321"/>
      <c r="IF64" s="321"/>
      <c r="IG64" s="321"/>
      <c r="IH64" s="321"/>
      <c r="II64" s="321"/>
      <c r="IJ64" s="321"/>
      <c r="IK64" s="321"/>
      <c r="IL64" s="321"/>
      <c r="IM64" s="321"/>
      <c r="IN64" s="321"/>
      <c r="IO64" s="321"/>
      <c r="IP64" s="321"/>
      <c r="IQ64" s="321"/>
      <c r="IR64" s="321"/>
      <c r="IS64" s="321"/>
      <c r="IT64" s="321"/>
      <c r="IU64" s="321"/>
      <c r="IV64" s="321"/>
    </row>
    <row r="65" spans="1:256" s="546" customFormat="1" ht="22.5" customHeight="1">
      <c r="A65" s="561">
        <v>57</v>
      </c>
      <c r="B65" s="1457"/>
      <c r="C65" s="1360">
        <v>15</v>
      </c>
      <c r="D65" s="558" t="s">
        <v>979</v>
      </c>
      <c r="E65" s="330"/>
      <c r="F65" s="550"/>
      <c r="G65" s="1454"/>
      <c r="H65" s="831" t="s">
        <v>24</v>
      </c>
      <c r="I65" s="832"/>
      <c r="J65" s="832"/>
      <c r="K65" s="832"/>
      <c r="L65" s="832"/>
      <c r="M65" s="1295"/>
      <c r="N65" s="832"/>
      <c r="O65" s="1458"/>
      <c r="P65" s="821"/>
      <c r="Q65" s="321"/>
      <c r="R65" s="321"/>
      <c r="S65" s="321"/>
      <c r="T65" s="321"/>
      <c r="U65" s="321"/>
      <c r="V65" s="321"/>
      <c r="W65" s="321"/>
      <c r="X65" s="321"/>
      <c r="Y65" s="321"/>
      <c r="Z65" s="321"/>
      <c r="AA65" s="321"/>
      <c r="AB65" s="321"/>
      <c r="AC65" s="321"/>
      <c r="AD65" s="321"/>
      <c r="AE65" s="321"/>
      <c r="AF65" s="321"/>
      <c r="AG65" s="321"/>
      <c r="AH65" s="321"/>
      <c r="AI65" s="321"/>
      <c r="AJ65" s="321"/>
      <c r="AK65" s="321"/>
      <c r="AL65" s="321"/>
      <c r="AM65" s="321"/>
      <c r="AN65" s="321"/>
      <c r="AO65" s="321"/>
      <c r="AP65" s="321"/>
      <c r="AQ65" s="321"/>
      <c r="AR65" s="321"/>
      <c r="AS65" s="321"/>
      <c r="AT65" s="321"/>
      <c r="AU65" s="321"/>
      <c r="AV65" s="321"/>
      <c r="AW65" s="321"/>
      <c r="AX65" s="321"/>
      <c r="AY65" s="321"/>
      <c r="AZ65" s="321"/>
      <c r="BA65" s="321"/>
      <c r="BB65" s="321"/>
      <c r="BC65" s="321"/>
      <c r="BD65" s="321"/>
      <c r="BE65" s="321"/>
      <c r="BF65" s="321"/>
      <c r="BG65" s="321"/>
      <c r="BH65" s="321"/>
      <c r="BI65" s="321"/>
      <c r="BJ65" s="321"/>
      <c r="BK65" s="321"/>
      <c r="BL65" s="321"/>
      <c r="BM65" s="321"/>
      <c r="BN65" s="321"/>
      <c r="BO65" s="321"/>
      <c r="BP65" s="321"/>
      <c r="BQ65" s="321"/>
      <c r="BR65" s="321"/>
      <c r="BS65" s="321"/>
      <c r="BT65" s="321"/>
      <c r="BU65" s="321"/>
      <c r="BV65" s="321"/>
      <c r="BW65" s="321"/>
      <c r="BX65" s="321"/>
      <c r="BY65" s="321"/>
      <c r="BZ65" s="321"/>
      <c r="CA65" s="321"/>
      <c r="CB65" s="321"/>
      <c r="CC65" s="321"/>
      <c r="CD65" s="321"/>
      <c r="CE65" s="321"/>
      <c r="CF65" s="321"/>
      <c r="CG65" s="321"/>
      <c r="CH65" s="321"/>
      <c r="CI65" s="321"/>
      <c r="CJ65" s="321"/>
      <c r="CK65" s="321"/>
      <c r="CL65" s="321"/>
      <c r="CM65" s="321"/>
      <c r="CN65" s="321"/>
      <c r="CO65" s="321"/>
      <c r="CP65" s="321"/>
      <c r="CQ65" s="321"/>
      <c r="CR65" s="321"/>
      <c r="CS65" s="321"/>
      <c r="CT65" s="321"/>
      <c r="CU65" s="321"/>
      <c r="CV65" s="321"/>
      <c r="CW65" s="321"/>
      <c r="CX65" s="321"/>
      <c r="CY65" s="321"/>
      <c r="CZ65" s="321"/>
      <c r="DA65" s="321"/>
      <c r="DB65" s="321"/>
      <c r="DC65" s="321"/>
      <c r="DD65" s="321"/>
      <c r="DE65" s="321"/>
      <c r="DF65" s="321"/>
      <c r="DG65" s="321"/>
      <c r="DH65" s="321"/>
      <c r="DI65" s="321"/>
      <c r="DJ65" s="321"/>
      <c r="DK65" s="321"/>
      <c r="DL65" s="321"/>
      <c r="DM65" s="321"/>
      <c r="DN65" s="321"/>
      <c r="DO65" s="321"/>
      <c r="DP65" s="321"/>
      <c r="DQ65" s="321"/>
      <c r="DR65" s="321"/>
      <c r="DS65" s="321"/>
      <c r="DT65" s="321"/>
      <c r="DU65" s="321"/>
      <c r="DV65" s="321"/>
      <c r="DW65" s="321"/>
      <c r="DX65" s="321"/>
      <c r="DY65" s="321"/>
      <c r="DZ65" s="321"/>
      <c r="EA65" s="321"/>
      <c r="EB65" s="321"/>
      <c r="EC65" s="321"/>
      <c r="ED65" s="321"/>
      <c r="EE65" s="321"/>
      <c r="EF65" s="321"/>
      <c r="EG65" s="321"/>
      <c r="EH65" s="321"/>
      <c r="EI65" s="321"/>
      <c r="EJ65" s="321"/>
      <c r="EK65" s="321"/>
      <c r="EL65" s="321"/>
      <c r="EM65" s="321"/>
      <c r="EN65" s="321"/>
      <c r="EO65" s="321"/>
      <c r="EP65" s="321"/>
      <c r="EQ65" s="321"/>
      <c r="ER65" s="321"/>
      <c r="ES65" s="321"/>
      <c r="ET65" s="321"/>
      <c r="EU65" s="321"/>
      <c r="EV65" s="321"/>
      <c r="EW65" s="321"/>
      <c r="EX65" s="321"/>
      <c r="EY65" s="321"/>
      <c r="EZ65" s="321"/>
      <c r="FA65" s="321"/>
      <c r="FB65" s="321"/>
      <c r="FC65" s="321"/>
      <c r="FD65" s="321"/>
      <c r="FE65" s="321"/>
      <c r="FF65" s="321"/>
      <c r="FG65" s="321"/>
      <c r="FH65" s="321"/>
      <c r="FI65" s="321"/>
      <c r="FJ65" s="321"/>
      <c r="FK65" s="321"/>
      <c r="FL65" s="321"/>
      <c r="FM65" s="321"/>
      <c r="FN65" s="321"/>
      <c r="FO65" s="321"/>
      <c r="FP65" s="321"/>
      <c r="FQ65" s="321"/>
      <c r="FR65" s="321"/>
      <c r="FS65" s="321"/>
      <c r="FT65" s="321"/>
      <c r="FU65" s="321"/>
      <c r="FV65" s="321"/>
      <c r="FW65" s="321"/>
      <c r="FX65" s="321"/>
      <c r="FY65" s="321"/>
      <c r="FZ65" s="321"/>
      <c r="GA65" s="321"/>
      <c r="GB65" s="321"/>
      <c r="GC65" s="321"/>
      <c r="GD65" s="321"/>
      <c r="GE65" s="321"/>
      <c r="GF65" s="321"/>
      <c r="GG65" s="321"/>
      <c r="GH65" s="321"/>
      <c r="GI65" s="321"/>
      <c r="GJ65" s="321"/>
      <c r="GK65" s="321"/>
      <c r="GL65" s="321"/>
      <c r="GM65" s="321"/>
      <c r="GN65" s="321"/>
      <c r="GO65" s="321"/>
      <c r="GP65" s="321"/>
      <c r="GQ65" s="321"/>
      <c r="GR65" s="321"/>
      <c r="GS65" s="321"/>
      <c r="GT65" s="321"/>
      <c r="GU65" s="321"/>
      <c r="GV65" s="321"/>
      <c r="GW65" s="321"/>
      <c r="GX65" s="321"/>
      <c r="GY65" s="321"/>
      <c r="GZ65" s="321"/>
      <c r="HA65" s="321"/>
      <c r="HB65" s="321"/>
      <c r="HC65" s="321"/>
      <c r="HD65" s="321"/>
      <c r="HE65" s="321"/>
      <c r="HF65" s="321"/>
      <c r="HG65" s="321"/>
      <c r="HH65" s="321"/>
      <c r="HI65" s="321"/>
      <c r="HJ65" s="321"/>
      <c r="HK65" s="321"/>
      <c r="HL65" s="321"/>
      <c r="HM65" s="321"/>
      <c r="HN65" s="321"/>
      <c r="HO65" s="321"/>
      <c r="HP65" s="321"/>
      <c r="HQ65" s="321"/>
      <c r="HR65" s="321"/>
      <c r="HS65" s="321"/>
      <c r="HT65" s="321"/>
      <c r="HU65" s="321"/>
      <c r="HV65" s="321"/>
      <c r="HW65" s="321"/>
      <c r="HX65" s="321"/>
      <c r="HY65" s="321"/>
      <c r="HZ65" s="321"/>
      <c r="IA65" s="321"/>
      <c r="IB65" s="321"/>
      <c r="IC65" s="321"/>
      <c r="ID65" s="321"/>
      <c r="IE65" s="321"/>
      <c r="IF65" s="321"/>
      <c r="IG65" s="321"/>
      <c r="IH65" s="321"/>
      <c r="II65" s="321"/>
      <c r="IJ65" s="321"/>
      <c r="IK65" s="321"/>
      <c r="IL65" s="321"/>
      <c r="IM65" s="321"/>
      <c r="IN65" s="321"/>
      <c r="IO65" s="321"/>
      <c r="IP65" s="321"/>
      <c r="IQ65" s="321"/>
      <c r="IR65" s="321"/>
      <c r="IS65" s="321"/>
      <c r="IT65" s="321"/>
      <c r="IU65" s="321"/>
      <c r="IV65" s="321"/>
    </row>
    <row r="66" spans="1:256" s="546" customFormat="1" ht="18" customHeight="1">
      <c r="A66" s="561">
        <v>58</v>
      </c>
      <c r="B66" s="1457"/>
      <c r="C66" s="1360"/>
      <c r="D66" s="436" t="s">
        <v>994</v>
      </c>
      <c r="E66" s="330">
        <v>1500</v>
      </c>
      <c r="F66" s="550"/>
      <c r="G66" s="1454"/>
      <c r="H66" s="831"/>
      <c r="I66" s="832"/>
      <c r="J66" s="832"/>
      <c r="K66" s="1295">
        <v>1500</v>
      </c>
      <c r="L66" s="832"/>
      <c r="M66" s="1295"/>
      <c r="N66" s="832"/>
      <c r="O66" s="1458">
        <f>SUM(J66:N66)</f>
        <v>1500</v>
      </c>
      <c r="P66" s="8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1"/>
      <c r="AP66" s="321"/>
      <c r="AQ66" s="321"/>
      <c r="AR66" s="321"/>
      <c r="AS66" s="321"/>
      <c r="AT66" s="321"/>
      <c r="AU66" s="321"/>
      <c r="AV66" s="321"/>
      <c r="AW66" s="321"/>
      <c r="AX66" s="321"/>
      <c r="AY66" s="321"/>
      <c r="AZ66" s="321"/>
      <c r="BA66" s="321"/>
      <c r="BB66" s="321"/>
      <c r="BC66" s="321"/>
      <c r="BD66" s="321"/>
      <c r="BE66" s="321"/>
      <c r="BF66" s="321"/>
      <c r="BG66" s="321"/>
      <c r="BH66" s="321"/>
      <c r="BI66" s="321"/>
      <c r="BJ66" s="321"/>
      <c r="BK66" s="321"/>
      <c r="BL66" s="321"/>
      <c r="BM66" s="321"/>
      <c r="BN66" s="321"/>
      <c r="BO66" s="321"/>
      <c r="BP66" s="321"/>
      <c r="BQ66" s="321"/>
      <c r="BR66" s="321"/>
      <c r="BS66" s="321"/>
      <c r="BT66" s="321"/>
      <c r="BU66" s="321"/>
      <c r="BV66" s="321"/>
      <c r="BW66" s="321"/>
      <c r="BX66" s="321"/>
      <c r="BY66" s="321"/>
      <c r="BZ66" s="321"/>
      <c r="CA66" s="321"/>
      <c r="CB66" s="321"/>
      <c r="CC66" s="321"/>
      <c r="CD66" s="321"/>
      <c r="CE66" s="321"/>
      <c r="CF66" s="321"/>
      <c r="CG66" s="321"/>
      <c r="CH66" s="321"/>
      <c r="CI66" s="321"/>
      <c r="CJ66" s="321"/>
      <c r="CK66" s="321"/>
      <c r="CL66" s="321"/>
      <c r="CM66" s="321"/>
      <c r="CN66" s="321"/>
      <c r="CO66" s="321"/>
      <c r="CP66" s="321"/>
      <c r="CQ66" s="321"/>
      <c r="CR66" s="321"/>
      <c r="CS66" s="321"/>
      <c r="CT66" s="321"/>
      <c r="CU66" s="321"/>
      <c r="CV66" s="321"/>
      <c r="CW66" s="321"/>
      <c r="CX66" s="321"/>
      <c r="CY66" s="321"/>
      <c r="CZ66" s="321"/>
      <c r="DA66" s="321"/>
      <c r="DB66" s="321"/>
      <c r="DC66" s="321"/>
      <c r="DD66" s="321"/>
      <c r="DE66" s="321"/>
      <c r="DF66" s="321"/>
      <c r="DG66" s="321"/>
      <c r="DH66" s="321"/>
      <c r="DI66" s="321"/>
      <c r="DJ66" s="321"/>
      <c r="DK66" s="321"/>
      <c r="DL66" s="321"/>
      <c r="DM66" s="321"/>
      <c r="DN66" s="321"/>
      <c r="DO66" s="321"/>
      <c r="DP66" s="321"/>
      <c r="DQ66" s="321"/>
      <c r="DR66" s="321"/>
      <c r="DS66" s="321"/>
      <c r="DT66" s="321"/>
      <c r="DU66" s="321"/>
      <c r="DV66" s="321"/>
      <c r="DW66" s="321"/>
      <c r="DX66" s="321"/>
      <c r="DY66" s="321"/>
      <c r="DZ66" s="321"/>
      <c r="EA66" s="321"/>
      <c r="EB66" s="321"/>
      <c r="EC66" s="321"/>
      <c r="ED66" s="321"/>
      <c r="EE66" s="321"/>
      <c r="EF66" s="321"/>
      <c r="EG66" s="321"/>
      <c r="EH66" s="321"/>
      <c r="EI66" s="321"/>
      <c r="EJ66" s="321"/>
      <c r="EK66" s="321"/>
      <c r="EL66" s="321"/>
      <c r="EM66" s="321"/>
      <c r="EN66" s="321"/>
      <c r="EO66" s="321"/>
      <c r="EP66" s="321"/>
      <c r="EQ66" s="321"/>
      <c r="ER66" s="321"/>
      <c r="ES66" s="321"/>
      <c r="ET66" s="321"/>
      <c r="EU66" s="321"/>
      <c r="EV66" s="321"/>
      <c r="EW66" s="321"/>
      <c r="EX66" s="321"/>
      <c r="EY66" s="321"/>
      <c r="EZ66" s="321"/>
      <c r="FA66" s="321"/>
      <c r="FB66" s="321"/>
      <c r="FC66" s="321"/>
      <c r="FD66" s="321"/>
      <c r="FE66" s="321"/>
      <c r="FF66" s="321"/>
      <c r="FG66" s="321"/>
      <c r="FH66" s="321"/>
      <c r="FI66" s="321"/>
      <c r="FJ66" s="321"/>
      <c r="FK66" s="321"/>
      <c r="FL66" s="321"/>
      <c r="FM66" s="321"/>
      <c r="FN66" s="321"/>
      <c r="FO66" s="321"/>
      <c r="FP66" s="321"/>
      <c r="FQ66" s="321"/>
      <c r="FR66" s="321"/>
      <c r="FS66" s="321"/>
      <c r="FT66" s="321"/>
      <c r="FU66" s="321"/>
      <c r="FV66" s="321"/>
      <c r="FW66" s="321"/>
      <c r="FX66" s="321"/>
      <c r="FY66" s="321"/>
      <c r="FZ66" s="321"/>
      <c r="GA66" s="321"/>
      <c r="GB66" s="321"/>
      <c r="GC66" s="321"/>
      <c r="GD66" s="321"/>
      <c r="GE66" s="321"/>
      <c r="GF66" s="321"/>
      <c r="GG66" s="321"/>
      <c r="GH66" s="321"/>
      <c r="GI66" s="321"/>
      <c r="GJ66" s="321"/>
      <c r="GK66" s="321"/>
      <c r="GL66" s="321"/>
      <c r="GM66" s="321"/>
      <c r="GN66" s="321"/>
      <c r="GO66" s="321"/>
      <c r="GP66" s="321"/>
      <c r="GQ66" s="321"/>
      <c r="GR66" s="321"/>
      <c r="GS66" s="321"/>
      <c r="GT66" s="321"/>
      <c r="GU66" s="321"/>
      <c r="GV66" s="321"/>
      <c r="GW66" s="321"/>
      <c r="GX66" s="321"/>
      <c r="GY66" s="321"/>
      <c r="GZ66" s="321"/>
      <c r="HA66" s="321"/>
      <c r="HB66" s="321"/>
      <c r="HC66" s="321"/>
      <c r="HD66" s="321"/>
      <c r="HE66" s="321"/>
      <c r="HF66" s="321"/>
      <c r="HG66" s="321"/>
      <c r="HH66" s="321"/>
      <c r="HI66" s="321"/>
      <c r="HJ66" s="321"/>
      <c r="HK66" s="321"/>
      <c r="HL66" s="321"/>
      <c r="HM66" s="321"/>
      <c r="HN66" s="321"/>
      <c r="HO66" s="321"/>
      <c r="HP66" s="321"/>
      <c r="HQ66" s="321"/>
      <c r="HR66" s="321"/>
      <c r="HS66" s="321"/>
      <c r="HT66" s="321"/>
      <c r="HU66" s="321"/>
      <c r="HV66" s="321"/>
      <c r="HW66" s="321"/>
      <c r="HX66" s="321"/>
      <c r="HY66" s="321"/>
      <c r="HZ66" s="321"/>
      <c r="IA66" s="321"/>
      <c r="IB66" s="321"/>
      <c r="IC66" s="321"/>
      <c r="ID66" s="321"/>
      <c r="IE66" s="321"/>
      <c r="IF66" s="321"/>
      <c r="IG66" s="321"/>
      <c r="IH66" s="321"/>
      <c r="II66" s="321"/>
      <c r="IJ66" s="321"/>
      <c r="IK66" s="321"/>
      <c r="IL66" s="321"/>
      <c r="IM66" s="321"/>
      <c r="IN66" s="321"/>
      <c r="IO66" s="321"/>
      <c r="IP66" s="321"/>
      <c r="IQ66" s="321"/>
      <c r="IR66" s="321"/>
      <c r="IS66" s="321"/>
      <c r="IT66" s="321"/>
      <c r="IU66" s="321"/>
      <c r="IV66" s="321"/>
    </row>
    <row r="67" spans="1:256" s="546" customFormat="1" ht="18" customHeight="1">
      <c r="A67" s="561">
        <v>59</v>
      </c>
      <c r="B67" s="1457"/>
      <c r="C67" s="1360"/>
      <c r="D67" s="1459" t="s">
        <v>1035</v>
      </c>
      <c r="E67" s="330"/>
      <c r="F67" s="550"/>
      <c r="G67" s="1454"/>
      <c r="H67" s="831"/>
      <c r="I67" s="832"/>
      <c r="J67" s="832"/>
      <c r="K67" s="1460">
        <v>0</v>
      </c>
      <c r="L67" s="832"/>
      <c r="M67" s="1295"/>
      <c r="N67" s="832"/>
      <c r="O67" s="1986">
        <f>SUM(I67:N67)</f>
        <v>0</v>
      </c>
      <c r="P67" s="821"/>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1"/>
      <c r="AP67" s="321"/>
      <c r="AQ67" s="321"/>
      <c r="AR67" s="321"/>
      <c r="AS67" s="321"/>
      <c r="AT67" s="321"/>
      <c r="AU67" s="321"/>
      <c r="AV67" s="321"/>
      <c r="AW67" s="321"/>
      <c r="AX67" s="321"/>
      <c r="AY67" s="321"/>
      <c r="AZ67" s="321"/>
      <c r="BA67" s="321"/>
      <c r="BB67" s="321"/>
      <c r="BC67" s="321"/>
      <c r="BD67" s="321"/>
      <c r="BE67" s="321"/>
      <c r="BF67" s="321"/>
      <c r="BG67" s="321"/>
      <c r="BH67" s="321"/>
      <c r="BI67" s="321"/>
      <c r="BJ67" s="321"/>
      <c r="BK67" s="321"/>
      <c r="BL67" s="321"/>
      <c r="BM67" s="321"/>
      <c r="BN67" s="321"/>
      <c r="BO67" s="321"/>
      <c r="BP67" s="321"/>
      <c r="BQ67" s="321"/>
      <c r="BR67" s="321"/>
      <c r="BS67" s="321"/>
      <c r="BT67" s="321"/>
      <c r="BU67" s="321"/>
      <c r="BV67" s="321"/>
      <c r="BW67" s="321"/>
      <c r="BX67" s="321"/>
      <c r="BY67" s="321"/>
      <c r="BZ67" s="321"/>
      <c r="CA67" s="321"/>
      <c r="CB67" s="321"/>
      <c r="CC67" s="321"/>
      <c r="CD67" s="321"/>
      <c r="CE67" s="321"/>
      <c r="CF67" s="321"/>
      <c r="CG67" s="321"/>
      <c r="CH67" s="321"/>
      <c r="CI67" s="321"/>
      <c r="CJ67" s="321"/>
      <c r="CK67" s="321"/>
      <c r="CL67" s="321"/>
      <c r="CM67" s="321"/>
      <c r="CN67" s="321"/>
      <c r="CO67" s="321"/>
      <c r="CP67" s="321"/>
      <c r="CQ67" s="321"/>
      <c r="CR67" s="321"/>
      <c r="CS67" s="321"/>
      <c r="CT67" s="321"/>
      <c r="CU67" s="321"/>
      <c r="CV67" s="321"/>
      <c r="CW67" s="321"/>
      <c r="CX67" s="321"/>
      <c r="CY67" s="321"/>
      <c r="CZ67" s="321"/>
      <c r="DA67" s="321"/>
      <c r="DB67" s="321"/>
      <c r="DC67" s="321"/>
      <c r="DD67" s="321"/>
      <c r="DE67" s="321"/>
      <c r="DF67" s="321"/>
      <c r="DG67" s="321"/>
      <c r="DH67" s="321"/>
      <c r="DI67" s="321"/>
      <c r="DJ67" s="321"/>
      <c r="DK67" s="321"/>
      <c r="DL67" s="321"/>
      <c r="DM67" s="321"/>
      <c r="DN67" s="321"/>
      <c r="DO67" s="321"/>
      <c r="DP67" s="321"/>
      <c r="DQ67" s="321"/>
      <c r="DR67" s="321"/>
      <c r="DS67" s="321"/>
      <c r="DT67" s="321"/>
      <c r="DU67" s="321"/>
      <c r="DV67" s="321"/>
      <c r="DW67" s="321"/>
      <c r="DX67" s="321"/>
      <c r="DY67" s="321"/>
      <c r="DZ67" s="321"/>
      <c r="EA67" s="321"/>
      <c r="EB67" s="321"/>
      <c r="EC67" s="321"/>
      <c r="ED67" s="321"/>
      <c r="EE67" s="321"/>
      <c r="EF67" s="321"/>
      <c r="EG67" s="321"/>
      <c r="EH67" s="321"/>
      <c r="EI67" s="321"/>
      <c r="EJ67" s="321"/>
      <c r="EK67" s="321"/>
      <c r="EL67" s="321"/>
      <c r="EM67" s="321"/>
      <c r="EN67" s="321"/>
      <c r="EO67" s="321"/>
      <c r="EP67" s="321"/>
      <c r="EQ67" s="321"/>
      <c r="ER67" s="321"/>
      <c r="ES67" s="321"/>
      <c r="ET67" s="321"/>
      <c r="EU67" s="321"/>
      <c r="EV67" s="321"/>
      <c r="EW67" s="321"/>
      <c r="EX67" s="321"/>
      <c r="EY67" s="321"/>
      <c r="EZ67" s="321"/>
      <c r="FA67" s="321"/>
      <c r="FB67" s="321"/>
      <c r="FC67" s="321"/>
      <c r="FD67" s="321"/>
      <c r="FE67" s="321"/>
      <c r="FF67" s="321"/>
      <c r="FG67" s="321"/>
      <c r="FH67" s="321"/>
      <c r="FI67" s="321"/>
      <c r="FJ67" s="321"/>
      <c r="FK67" s="321"/>
      <c r="FL67" s="321"/>
      <c r="FM67" s="321"/>
      <c r="FN67" s="321"/>
      <c r="FO67" s="321"/>
      <c r="FP67" s="321"/>
      <c r="FQ67" s="321"/>
      <c r="FR67" s="321"/>
      <c r="FS67" s="321"/>
      <c r="FT67" s="321"/>
      <c r="FU67" s="321"/>
      <c r="FV67" s="321"/>
      <c r="FW67" s="321"/>
      <c r="FX67" s="321"/>
      <c r="FY67" s="321"/>
      <c r="FZ67" s="321"/>
      <c r="GA67" s="321"/>
      <c r="GB67" s="321"/>
      <c r="GC67" s="321"/>
      <c r="GD67" s="321"/>
      <c r="GE67" s="321"/>
      <c r="GF67" s="321"/>
      <c r="GG67" s="321"/>
      <c r="GH67" s="321"/>
      <c r="GI67" s="321"/>
      <c r="GJ67" s="321"/>
      <c r="GK67" s="321"/>
      <c r="GL67" s="321"/>
      <c r="GM67" s="321"/>
      <c r="GN67" s="321"/>
      <c r="GO67" s="321"/>
      <c r="GP67" s="321"/>
      <c r="GQ67" s="321"/>
      <c r="GR67" s="321"/>
      <c r="GS67" s="321"/>
      <c r="GT67" s="321"/>
      <c r="GU67" s="321"/>
      <c r="GV67" s="321"/>
      <c r="GW67" s="321"/>
      <c r="GX67" s="321"/>
      <c r="GY67" s="321"/>
      <c r="GZ67" s="321"/>
      <c r="HA67" s="321"/>
      <c r="HB67" s="321"/>
      <c r="HC67" s="321"/>
      <c r="HD67" s="321"/>
      <c r="HE67" s="321"/>
      <c r="HF67" s="321"/>
      <c r="HG67" s="321"/>
      <c r="HH67" s="321"/>
      <c r="HI67" s="321"/>
      <c r="HJ67" s="321"/>
      <c r="HK67" s="321"/>
      <c r="HL67" s="321"/>
      <c r="HM67" s="321"/>
      <c r="HN67" s="321"/>
      <c r="HO67" s="321"/>
      <c r="HP67" s="321"/>
      <c r="HQ67" s="321"/>
      <c r="HR67" s="321"/>
      <c r="HS67" s="321"/>
      <c r="HT67" s="321"/>
      <c r="HU67" s="321"/>
      <c r="HV67" s="321"/>
      <c r="HW67" s="321"/>
      <c r="HX67" s="321"/>
      <c r="HY67" s="321"/>
      <c r="HZ67" s="321"/>
      <c r="IA67" s="321"/>
      <c r="IB67" s="321"/>
      <c r="IC67" s="321"/>
      <c r="ID67" s="321"/>
      <c r="IE67" s="321"/>
      <c r="IF67" s="321"/>
      <c r="IG67" s="321"/>
      <c r="IH67" s="321"/>
      <c r="II67" s="321"/>
      <c r="IJ67" s="321"/>
      <c r="IK67" s="321"/>
      <c r="IL67" s="321"/>
      <c r="IM67" s="321"/>
      <c r="IN67" s="321"/>
      <c r="IO67" s="321"/>
      <c r="IP67" s="321"/>
      <c r="IQ67" s="321"/>
      <c r="IR67" s="321"/>
      <c r="IS67" s="321"/>
      <c r="IT67" s="321"/>
      <c r="IU67" s="321"/>
      <c r="IV67" s="321"/>
    </row>
    <row r="68" spans="1:256" s="546" customFormat="1" ht="18" customHeight="1">
      <c r="A68" s="561">
        <v>60</v>
      </c>
      <c r="B68" s="1433"/>
      <c r="C68" s="322">
        <v>16</v>
      </c>
      <c r="D68" s="558" t="s">
        <v>961</v>
      </c>
      <c r="E68" s="330"/>
      <c r="F68" s="550"/>
      <c r="G68" s="1434"/>
      <c r="H68" s="762" t="s">
        <v>23</v>
      </c>
      <c r="I68" s="758"/>
      <c r="J68" s="758"/>
      <c r="K68" s="758"/>
      <c r="L68" s="758"/>
      <c r="M68" s="1132"/>
      <c r="N68" s="758"/>
      <c r="O68" s="1439"/>
      <c r="P68" s="551"/>
      <c r="Q68" s="321"/>
      <c r="R68" s="321"/>
      <c r="S68" s="321"/>
      <c r="T68" s="321"/>
      <c r="U68" s="321"/>
      <c r="V68" s="321"/>
      <c r="W68" s="321"/>
      <c r="X68" s="321"/>
      <c r="Y68" s="321"/>
      <c r="Z68" s="321"/>
      <c r="AA68" s="321"/>
      <c r="AB68" s="321"/>
      <c r="AC68" s="321"/>
      <c r="AD68" s="321"/>
      <c r="AE68" s="321"/>
      <c r="AF68" s="321"/>
      <c r="AG68" s="321"/>
      <c r="AH68" s="321"/>
      <c r="AI68" s="321"/>
      <c r="AJ68" s="321"/>
      <c r="AK68" s="321"/>
      <c r="AL68" s="321"/>
      <c r="AM68" s="321"/>
      <c r="AN68" s="321"/>
      <c r="AO68" s="321"/>
      <c r="AP68" s="321"/>
      <c r="AQ68" s="321"/>
      <c r="AR68" s="321"/>
      <c r="AS68" s="321"/>
      <c r="AT68" s="321"/>
      <c r="AU68" s="321"/>
      <c r="AV68" s="321"/>
      <c r="AW68" s="321"/>
      <c r="AX68" s="321"/>
      <c r="AY68" s="321"/>
      <c r="AZ68" s="321"/>
      <c r="BA68" s="321"/>
      <c r="BB68" s="321"/>
      <c r="BC68" s="321"/>
      <c r="BD68" s="321"/>
      <c r="BE68" s="321"/>
      <c r="BF68" s="321"/>
      <c r="BG68" s="321"/>
      <c r="BH68" s="321"/>
      <c r="BI68" s="321"/>
      <c r="BJ68" s="321"/>
      <c r="BK68" s="321"/>
      <c r="BL68" s="321"/>
      <c r="BM68" s="321"/>
      <c r="BN68" s="321"/>
      <c r="BO68" s="321"/>
      <c r="BP68" s="321"/>
      <c r="BQ68" s="321"/>
      <c r="BR68" s="321"/>
      <c r="BS68" s="321"/>
      <c r="BT68" s="321"/>
      <c r="BU68" s="321"/>
      <c r="BV68" s="321"/>
      <c r="BW68" s="321"/>
      <c r="BX68" s="321"/>
      <c r="BY68" s="321"/>
      <c r="BZ68" s="321"/>
      <c r="CA68" s="321"/>
      <c r="CB68" s="321"/>
      <c r="CC68" s="321"/>
      <c r="CD68" s="321"/>
      <c r="CE68" s="321"/>
      <c r="CF68" s="321"/>
      <c r="CG68" s="321"/>
      <c r="CH68" s="321"/>
      <c r="CI68" s="321"/>
      <c r="CJ68" s="321"/>
      <c r="CK68" s="321"/>
      <c r="CL68" s="321"/>
      <c r="CM68" s="321"/>
      <c r="CN68" s="321"/>
      <c r="CO68" s="321"/>
      <c r="CP68" s="321"/>
      <c r="CQ68" s="321"/>
      <c r="CR68" s="321"/>
      <c r="CS68" s="321"/>
      <c r="CT68" s="321"/>
      <c r="CU68" s="321"/>
      <c r="CV68" s="321"/>
      <c r="CW68" s="321"/>
      <c r="CX68" s="321"/>
      <c r="CY68" s="321"/>
      <c r="CZ68" s="321"/>
      <c r="DA68" s="321"/>
      <c r="DB68" s="321"/>
      <c r="DC68" s="321"/>
      <c r="DD68" s="321"/>
      <c r="DE68" s="321"/>
      <c r="DF68" s="321"/>
      <c r="DG68" s="321"/>
      <c r="DH68" s="321"/>
      <c r="DI68" s="321"/>
      <c r="DJ68" s="321"/>
      <c r="DK68" s="321"/>
      <c r="DL68" s="321"/>
      <c r="DM68" s="321"/>
      <c r="DN68" s="321"/>
      <c r="DO68" s="321"/>
      <c r="DP68" s="321"/>
      <c r="DQ68" s="321"/>
      <c r="DR68" s="321"/>
      <c r="DS68" s="321"/>
      <c r="DT68" s="321"/>
      <c r="DU68" s="321"/>
      <c r="DV68" s="321"/>
      <c r="DW68" s="321"/>
      <c r="DX68" s="321"/>
      <c r="DY68" s="321"/>
      <c r="DZ68" s="321"/>
      <c r="EA68" s="321"/>
      <c r="EB68" s="321"/>
      <c r="EC68" s="321"/>
      <c r="ED68" s="321"/>
      <c r="EE68" s="321"/>
      <c r="EF68" s="321"/>
      <c r="EG68" s="321"/>
      <c r="EH68" s="321"/>
      <c r="EI68" s="321"/>
      <c r="EJ68" s="321"/>
      <c r="EK68" s="321"/>
      <c r="EL68" s="321"/>
      <c r="EM68" s="321"/>
      <c r="EN68" s="321"/>
      <c r="EO68" s="321"/>
      <c r="EP68" s="321"/>
      <c r="EQ68" s="321"/>
      <c r="ER68" s="321"/>
      <c r="ES68" s="321"/>
      <c r="ET68" s="321"/>
      <c r="EU68" s="321"/>
      <c r="EV68" s="321"/>
      <c r="EW68" s="321"/>
      <c r="EX68" s="321"/>
      <c r="EY68" s="321"/>
      <c r="EZ68" s="321"/>
      <c r="FA68" s="321"/>
      <c r="FB68" s="321"/>
      <c r="FC68" s="321"/>
      <c r="FD68" s="321"/>
      <c r="FE68" s="321"/>
      <c r="FF68" s="321"/>
      <c r="FG68" s="321"/>
      <c r="FH68" s="321"/>
      <c r="FI68" s="321"/>
      <c r="FJ68" s="321"/>
      <c r="FK68" s="321"/>
      <c r="FL68" s="321"/>
      <c r="FM68" s="321"/>
      <c r="FN68" s="321"/>
      <c r="FO68" s="321"/>
      <c r="FP68" s="321"/>
      <c r="FQ68" s="321"/>
      <c r="FR68" s="321"/>
      <c r="FS68" s="321"/>
      <c r="FT68" s="321"/>
      <c r="FU68" s="321"/>
      <c r="FV68" s="321"/>
      <c r="FW68" s="321"/>
      <c r="FX68" s="321"/>
      <c r="FY68" s="321"/>
      <c r="FZ68" s="321"/>
      <c r="GA68" s="321"/>
      <c r="GB68" s="321"/>
      <c r="GC68" s="321"/>
      <c r="GD68" s="321"/>
      <c r="GE68" s="321"/>
      <c r="GF68" s="321"/>
      <c r="GG68" s="321"/>
      <c r="GH68" s="321"/>
      <c r="GI68" s="321"/>
      <c r="GJ68" s="321"/>
      <c r="GK68" s="321"/>
      <c r="GL68" s="321"/>
      <c r="GM68" s="321"/>
      <c r="GN68" s="321"/>
      <c r="GO68" s="321"/>
      <c r="GP68" s="321"/>
      <c r="GQ68" s="321"/>
      <c r="GR68" s="321"/>
      <c r="GS68" s="321"/>
      <c r="GT68" s="321"/>
      <c r="GU68" s="321"/>
      <c r="GV68" s="321"/>
      <c r="GW68" s="321"/>
      <c r="GX68" s="321"/>
      <c r="GY68" s="321"/>
      <c r="GZ68" s="321"/>
      <c r="HA68" s="321"/>
      <c r="HB68" s="321"/>
      <c r="HC68" s="321"/>
      <c r="HD68" s="321"/>
      <c r="HE68" s="321"/>
      <c r="HF68" s="321"/>
      <c r="HG68" s="321"/>
      <c r="HH68" s="321"/>
      <c r="HI68" s="321"/>
      <c r="HJ68" s="321"/>
      <c r="HK68" s="321"/>
      <c r="HL68" s="321"/>
      <c r="HM68" s="321"/>
      <c r="HN68" s="321"/>
      <c r="HO68" s="321"/>
      <c r="HP68" s="321"/>
      <c r="HQ68" s="321"/>
      <c r="HR68" s="321"/>
      <c r="HS68" s="321"/>
      <c r="HT68" s="321"/>
      <c r="HU68" s="321"/>
      <c r="HV68" s="321"/>
      <c r="HW68" s="321"/>
      <c r="HX68" s="321"/>
      <c r="HY68" s="321"/>
      <c r="HZ68" s="321"/>
      <c r="IA68" s="321"/>
      <c r="IB68" s="321"/>
      <c r="IC68" s="321"/>
      <c r="ID68" s="321"/>
      <c r="IE68" s="321"/>
      <c r="IF68" s="321"/>
      <c r="IG68" s="321"/>
      <c r="IH68" s="321"/>
      <c r="II68" s="321"/>
      <c r="IJ68" s="321"/>
      <c r="IK68" s="321"/>
      <c r="IL68" s="321"/>
      <c r="IM68" s="321"/>
      <c r="IN68" s="321"/>
      <c r="IO68" s="321"/>
      <c r="IP68" s="321"/>
      <c r="IQ68" s="321"/>
      <c r="IR68" s="321"/>
      <c r="IS68" s="321"/>
      <c r="IT68" s="321"/>
      <c r="IU68" s="321"/>
      <c r="IV68" s="321"/>
    </row>
    <row r="69" spans="1:256" s="546" customFormat="1" ht="18" customHeight="1">
      <c r="A69" s="561">
        <v>61</v>
      </c>
      <c r="B69" s="1433"/>
      <c r="C69" s="322"/>
      <c r="D69" s="436" t="s">
        <v>994</v>
      </c>
      <c r="E69" s="330">
        <v>500000</v>
      </c>
      <c r="F69" s="550"/>
      <c r="G69" s="1434"/>
      <c r="H69" s="762"/>
      <c r="I69" s="758"/>
      <c r="J69" s="758"/>
      <c r="K69" s="758"/>
      <c r="L69" s="758"/>
      <c r="M69" s="1132">
        <v>500000</v>
      </c>
      <c r="N69" s="758"/>
      <c r="O69" s="1439">
        <f>SUM(I69:N69)</f>
        <v>500000</v>
      </c>
      <c r="P69" s="1117"/>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1"/>
      <c r="AQ69" s="321"/>
      <c r="AR69" s="321"/>
      <c r="AS69" s="321"/>
      <c r="AT69" s="321"/>
      <c r="AU69" s="321"/>
      <c r="AV69" s="321"/>
      <c r="AW69" s="321"/>
      <c r="AX69" s="321"/>
      <c r="AY69" s="321"/>
      <c r="AZ69" s="321"/>
      <c r="BA69" s="321"/>
      <c r="BB69" s="321"/>
      <c r="BC69" s="321"/>
      <c r="BD69" s="321"/>
      <c r="BE69" s="321"/>
      <c r="BF69" s="321"/>
      <c r="BG69" s="321"/>
      <c r="BH69" s="321"/>
      <c r="BI69" s="321"/>
      <c r="BJ69" s="321"/>
      <c r="BK69" s="321"/>
      <c r="BL69" s="321"/>
      <c r="BM69" s="321"/>
      <c r="BN69" s="321"/>
      <c r="BO69" s="321"/>
      <c r="BP69" s="321"/>
      <c r="BQ69" s="321"/>
      <c r="BR69" s="321"/>
      <c r="BS69" s="321"/>
      <c r="BT69" s="321"/>
      <c r="BU69" s="321"/>
      <c r="BV69" s="321"/>
      <c r="BW69" s="321"/>
      <c r="BX69" s="321"/>
      <c r="BY69" s="321"/>
      <c r="BZ69" s="321"/>
      <c r="CA69" s="321"/>
      <c r="CB69" s="321"/>
      <c r="CC69" s="321"/>
      <c r="CD69" s="321"/>
      <c r="CE69" s="321"/>
      <c r="CF69" s="321"/>
      <c r="CG69" s="321"/>
      <c r="CH69" s="321"/>
      <c r="CI69" s="321"/>
      <c r="CJ69" s="321"/>
      <c r="CK69" s="321"/>
      <c r="CL69" s="321"/>
      <c r="CM69" s="321"/>
      <c r="CN69" s="321"/>
      <c r="CO69" s="321"/>
      <c r="CP69" s="321"/>
      <c r="CQ69" s="321"/>
      <c r="CR69" s="321"/>
      <c r="CS69" s="321"/>
      <c r="CT69" s="321"/>
      <c r="CU69" s="321"/>
      <c r="CV69" s="321"/>
      <c r="CW69" s="321"/>
      <c r="CX69" s="321"/>
      <c r="CY69" s="321"/>
      <c r="CZ69" s="321"/>
      <c r="DA69" s="321"/>
      <c r="DB69" s="321"/>
      <c r="DC69" s="321"/>
      <c r="DD69" s="321"/>
      <c r="DE69" s="321"/>
      <c r="DF69" s="321"/>
      <c r="DG69" s="321"/>
      <c r="DH69" s="321"/>
      <c r="DI69" s="321"/>
      <c r="DJ69" s="321"/>
      <c r="DK69" s="321"/>
      <c r="DL69" s="321"/>
      <c r="DM69" s="321"/>
      <c r="DN69" s="321"/>
      <c r="DO69" s="321"/>
      <c r="DP69" s="321"/>
      <c r="DQ69" s="321"/>
      <c r="DR69" s="321"/>
      <c r="DS69" s="321"/>
      <c r="DT69" s="321"/>
      <c r="DU69" s="321"/>
      <c r="DV69" s="321"/>
      <c r="DW69" s="321"/>
      <c r="DX69" s="321"/>
      <c r="DY69" s="321"/>
      <c r="DZ69" s="321"/>
      <c r="EA69" s="321"/>
      <c r="EB69" s="321"/>
      <c r="EC69" s="321"/>
      <c r="ED69" s="321"/>
      <c r="EE69" s="321"/>
      <c r="EF69" s="321"/>
      <c r="EG69" s="321"/>
      <c r="EH69" s="321"/>
      <c r="EI69" s="321"/>
      <c r="EJ69" s="321"/>
      <c r="EK69" s="321"/>
      <c r="EL69" s="321"/>
      <c r="EM69" s="321"/>
      <c r="EN69" s="321"/>
      <c r="EO69" s="321"/>
      <c r="EP69" s="321"/>
      <c r="EQ69" s="321"/>
      <c r="ER69" s="321"/>
      <c r="ES69" s="321"/>
      <c r="ET69" s="321"/>
      <c r="EU69" s="321"/>
      <c r="EV69" s="321"/>
      <c r="EW69" s="321"/>
      <c r="EX69" s="321"/>
      <c r="EY69" s="321"/>
      <c r="EZ69" s="321"/>
      <c r="FA69" s="321"/>
      <c r="FB69" s="321"/>
      <c r="FC69" s="321"/>
      <c r="FD69" s="321"/>
      <c r="FE69" s="321"/>
      <c r="FF69" s="321"/>
      <c r="FG69" s="321"/>
      <c r="FH69" s="321"/>
      <c r="FI69" s="321"/>
      <c r="FJ69" s="321"/>
      <c r="FK69" s="321"/>
      <c r="FL69" s="321"/>
      <c r="FM69" s="321"/>
      <c r="FN69" s="321"/>
      <c r="FO69" s="321"/>
      <c r="FP69" s="321"/>
      <c r="FQ69" s="321"/>
      <c r="FR69" s="321"/>
      <c r="FS69" s="321"/>
      <c r="FT69" s="321"/>
      <c r="FU69" s="321"/>
      <c r="FV69" s="321"/>
      <c r="FW69" s="321"/>
      <c r="FX69" s="321"/>
      <c r="FY69" s="321"/>
      <c r="FZ69" s="321"/>
      <c r="GA69" s="321"/>
      <c r="GB69" s="321"/>
      <c r="GC69" s="321"/>
      <c r="GD69" s="321"/>
      <c r="GE69" s="321"/>
      <c r="GF69" s="321"/>
      <c r="GG69" s="321"/>
      <c r="GH69" s="321"/>
      <c r="GI69" s="321"/>
      <c r="GJ69" s="321"/>
      <c r="GK69" s="321"/>
      <c r="GL69" s="321"/>
      <c r="GM69" s="321"/>
      <c r="GN69" s="321"/>
      <c r="GO69" s="321"/>
      <c r="GP69" s="321"/>
      <c r="GQ69" s="321"/>
      <c r="GR69" s="321"/>
      <c r="GS69" s="321"/>
      <c r="GT69" s="321"/>
      <c r="GU69" s="321"/>
      <c r="GV69" s="321"/>
      <c r="GW69" s="321"/>
      <c r="GX69" s="321"/>
      <c r="GY69" s="321"/>
      <c r="GZ69" s="321"/>
      <c r="HA69" s="321"/>
      <c r="HB69" s="321"/>
      <c r="HC69" s="321"/>
      <c r="HD69" s="321"/>
      <c r="HE69" s="321"/>
      <c r="HF69" s="321"/>
      <c r="HG69" s="321"/>
      <c r="HH69" s="321"/>
      <c r="HI69" s="321"/>
      <c r="HJ69" s="321"/>
      <c r="HK69" s="321"/>
      <c r="HL69" s="321"/>
      <c r="HM69" s="321"/>
      <c r="HN69" s="321"/>
      <c r="HO69" s="321"/>
      <c r="HP69" s="321"/>
      <c r="HQ69" s="321"/>
      <c r="HR69" s="321"/>
      <c r="HS69" s="321"/>
      <c r="HT69" s="321"/>
      <c r="HU69" s="321"/>
      <c r="HV69" s="321"/>
      <c r="HW69" s="321"/>
      <c r="HX69" s="321"/>
      <c r="HY69" s="321"/>
      <c r="HZ69" s="321"/>
      <c r="IA69" s="321"/>
      <c r="IB69" s="321"/>
      <c r="IC69" s="321"/>
      <c r="ID69" s="321"/>
      <c r="IE69" s="321"/>
      <c r="IF69" s="321"/>
      <c r="IG69" s="321"/>
      <c r="IH69" s="321"/>
      <c r="II69" s="321"/>
      <c r="IJ69" s="321"/>
      <c r="IK69" s="321"/>
      <c r="IL69" s="321"/>
      <c r="IM69" s="321"/>
      <c r="IN69" s="321"/>
      <c r="IO69" s="321"/>
      <c r="IP69" s="321"/>
      <c r="IQ69" s="321"/>
      <c r="IR69" s="321"/>
      <c r="IS69" s="321"/>
      <c r="IT69" s="321"/>
      <c r="IU69" s="321"/>
      <c r="IV69" s="321"/>
    </row>
    <row r="70" spans="1:256" s="546" customFormat="1" ht="18" customHeight="1">
      <c r="A70" s="561">
        <v>62</v>
      </c>
      <c r="B70" s="554"/>
      <c r="C70" s="322"/>
      <c r="D70" s="987" t="s">
        <v>1036</v>
      </c>
      <c r="E70" s="330"/>
      <c r="F70" s="550"/>
      <c r="G70" s="1440"/>
      <c r="H70" s="762"/>
      <c r="I70" s="758"/>
      <c r="J70" s="758"/>
      <c r="K70" s="758"/>
      <c r="L70" s="758"/>
      <c r="M70" s="1269">
        <v>0</v>
      </c>
      <c r="N70" s="758"/>
      <c r="O70" s="1175">
        <f>SUM(I70:N70)</f>
        <v>0</v>
      </c>
      <c r="P70" s="55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321"/>
      <c r="AU70" s="321"/>
      <c r="AV70" s="321"/>
      <c r="AW70" s="321"/>
      <c r="AX70" s="321"/>
      <c r="AY70" s="321"/>
      <c r="AZ70" s="321"/>
      <c r="BA70" s="321"/>
      <c r="BB70" s="321"/>
      <c r="BC70" s="321"/>
      <c r="BD70" s="321"/>
      <c r="BE70" s="321"/>
      <c r="BF70" s="321"/>
      <c r="BG70" s="321"/>
      <c r="BH70" s="321"/>
      <c r="BI70" s="321"/>
      <c r="BJ70" s="321"/>
      <c r="BK70" s="321"/>
      <c r="BL70" s="321"/>
      <c r="BM70" s="321"/>
      <c r="BN70" s="321"/>
      <c r="BO70" s="321"/>
      <c r="BP70" s="321"/>
      <c r="BQ70" s="321"/>
      <c r="BR70" s="321"/>
      <c r="BS70" s="321"/>
      <c r="BT70" s="321"/>
      <c r="BU70" s="321"/>
      <c r="BV70" s="321"/>
      <c r="BW70" s="321"/>
      <c r="BX70" s="321"/>
      <c r="BY70" s="321"/>
      <c r="BZ70" s="321"/>
      <c r="CA70" s="321"/>
      <c r="CB70" s="321"/>
      <c r="CC70" s="321"/>
      <c r="CD70" s="321"/>
      <c r="CE70" s="321"/>
      <c r="CF70" s="321"/>
      <c r="CG70" s="321"/>
      <c r="CH70" s="321"/>
      <c r="CI70" s="321"/>
      <c r="CJ70" s="321"/>
      <c r="CK70" s="321"/>
      <c r="CL70" s="321"/>
      <c r="CM70" s="321"/>
      <c r="CN70" s="321"/>
      <c r="CO70" s="321"/>
      <c r="CP70" s="321"/>
      <c r="CQ70" s="321"/>
      <c r="CR70" s="321"/>
      <c r="CS70" s="321"/>
      <c r="CT70" s="321"/>
      <c r="CU70" s="321"/>
      <c r="CV70" s="321"/>
      <c r="CW70" s="321"/>
      <c r="CX70" s="321"/>
      <c r="CY70" s="321"/>
      <c r="CZ70" s="321"/>
      <c r="DA70" s="321"/>
      <c r="DB70" s="321"/>
      <c r="DC70" s="321"/>
      <c r="DD70" s="321"/>
      <c r="DE70" s="321"/>
      <c r="DF70" s="321"/>
      <c r="DG70" s="321"/>
      <c r="DH70" s="321"/>
      <c r="DI70" s="321"/>
      <c r="DJ70" s="321"/>
      <c r="DK70" s="321"/>
      <c r="DL70" s="321"/>
      <c r="DM70" s="321"/>
      <c r="DN70" s="321"/>
      <c r="DO70" s="321"/>
      <c r="DP70" s="321"/>
      <c r="DQ70" s="321"/>
      <c r="DR70" s="321"/>
      <c r="DS70" s="321"/>
      <c r="DT70" s="321"/>
      <c r="DU70" s="321"/>
      <c r="DV70" s="321"/>
      <c r="DW70" s="321"/>
      <c r="DX70" s="321"/>
      <c r="DY70" s="321"/>
      <c r="DZ70" s="321"/>
      <c r="EA70" s="321"/>
      <c r="EB70" s="321"/>
      <c r="EC70" s="321"/>
      <c r="ED70" s="321"/>
      <c r="EE70" s="321"/>
      <c r="EF70" s="321"/>
      <c r="EG70" s="321"/>
      <c r="EH70" s="321"/>
      <c r="EI70" s="321"/>
      <c r="EJ70" s="321"/>
      <c r="EK70" s="321"/>
      <c r="EL70" s="321"/>
      <c r="EM70" s="321"/>
      <c r="EN70" s="321"/>
      <c r="EO70" s="321"/>
      <c r="EP70" s="321"/>
      <c r="EQ70" s="321"/>
      <c r="ER70" s="321"/>
      <c r="ES70" s="321"/>
      <c r="ET70" s="321"/>
      <c r="EU70" s="321"/>
      <c r="EV70" s="321"/>
      <c r="EW70" s="321"/>
      <c r="EX70" s="321"/>
      <c r="EY70" s="321"/>
      <c r="EZ70" s="321"/>
      <c r="FA70" s="321"/>
      <c r="FB70" s="321"/>
      <c r="FC70" s="321"/>
      <c r="FD70" s="321"/>
      <c r="FE70" s="321"/>
      <c r="FF70" s="321"/>
      <c r="FG70" s="321"/>
      <c r="FH70" s="321"/>
      <c r="FI70" s="321"/>
      <c r="FJ70" s="321"/>
      <c r="FK70" s="321"/>
      <c r="FL70" s="321"/>
      <c r="FM70" s="321"/>
      <c r="FN70" s="321"/>
      <c r="FO70" s="321"/>
      <c r="FP70" s="321"/>
      <c r="FQ70" s="321"/>
      <c r="FR70" s="321"/>
      <c r="FS70" s="321"/>
      <c r="FT70" s="321"/>
      <c r="FU70" s="321"/>
      <c r="FV70" s="321"/>
      <c r="FW70" s="321"/>
      <c r="FX70" s="321"/>
      <c r="FY70" s="321"/>
      <c r="FZ70" s="321"/>
      <c r="GA70" s="321"/>
      <c r="GB70" s="321"/>
      <c r="GC70" s="321"/>
      <c r="GD70" s="321"/>
      <c r="GE70" s="321"/>
      <c r="GF70" s="321"/>
      <c r="GG70" s="321"/>
      <c r="GH70" s="321"/>
      <c r="GI70" s="321"/>
      <c r="GJ70" s="321"/>
      <c r="GK70" s="321"/>
      <c r="GL70" s="321"/>
      <c r="GM70" s="321"/>
      <c r="GN70" s="321"/>
      <c r="GO70" s="321"/>
      <c r="GP70" s="321"/>
      <c r="GQ70" s="321"/>
      <c r="GR70" s="321"/>
      <c r="GS70" s="321"/>
      <c r="GT70" s="321"/>
      <c r="GU70" s="321"/>
      <c r="GV70" s="321"/>
      <c r="GW70" s="321"/>
      <c r="GX70" s="321"/>
      <c r="GY70" s="321"/>
      <c r="GZ70" s="321"/>
      <c r="HA70" s="321"/>
      <c r="HB70" s="321"/>
      <c r="HC70" s="321"/>
      <c r="HD70" s="321"/>
      <c r="HE70" s="321"/>
      <c r="HF70" s="321"/>
      <c r="HG70" s="321"/>
      <c r="HH70" s="321"/>
      <c r="HI70" s="321"/>
      <c r="HJ70" s="321"/>
      <c r="HK70" s="321"/>
      <c r="HL70" s="321"/>
      <c r="HM70" s="321"/>
      <c r="HN70" s="321"/>
      <c r="HO70" s="321"/>
      <c r="HP70" s="321"/>
      <c r="HQ70" s="321"/>
      <c r="HR70" s="321"/>
      <c r="HS70" s="321"/>
      <c r="HT70" s="321"/>
      <c r="HU70" s="321"/>
      <c r="HV70" s="321"/>
      <c r="HW70" s="321"/>
      <c r="HX70" s="321"/>
      <c r="HY70" s="321"/>
      <c r="HZ70" s="321"/>
      <c r="IA70" s="321"/>
      <c r="IB70" s="321"/>
      <c r="IC70" s="321"/>
      <c r="ID70" s="321"/>
      <c r="IE70" s="321"/>
      <c r="IF70" s="321"/>
      <c r="IG70" s="321"/>
      <c r="IH70" s="321"/>
      <c r="II70" s="321"/>
      <c r="IJ70" s="321"/>
      <c r="IK70" s="321"/>
      <c r="IL70" s="321"/>
      <c r="IM70" s="321"/>
      <c r="IN70" s="321"/>
      <c r="IO70" s="321"/>
      <c r="IP70" s="321"/>
      <c r="IQ70" s="321"/>
      <c r="IR70" s="321"/>
      <c r="IS70" s="321"/>
      <c r="IT70" s="321"/>
      <c r="IU70" s="321"/>
      <c r="IV70" s="321"/>
    </row>
    <row r="71" spans="1:256" s="546" customFormat="1" ht="18" customHeight="1">
      <c r="A71" s="561">
        <v>63</v>
      </c>
      <c r="B71" s="554"/>
      <c r="C71" s="322">
        <v>17</v>
      </c>
      <c r="D71" s="558" t="s">
        <v>1002</v>
      </c>
      <c r="E71" s="330"/>
      <c r="F71" s="550"/>
      <c r="G71" s="331"/>
      <c r="H71" s="762"/>
      <c r="I71" s="547"/>
      <c r="J71" s="547"/>
      <c r="K71" s="547"/>
      <c r="L71" s="547"/>
      <c r="M71" s="1131"/>
      <c r="N71" s="547"/>
      <c r="O71" s="555"/>
      <c r="P71" s="55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1"/>
      <c r="AQ71" s="321"/>
      <c r="AR71" s="321"/>
      <c r="AS71" s="321"/>
      <c r="AT71" s="321"/>
      <c r="AU71" s="321"/>
      <c r="AV71" s="321"/>
      <c r="AW71" s="321"/>
      <c r="AX71" s="321"/>
      <c r="AY71" s="321"/>
      <c r="AZ71" s="321"/>
      <c r="BA71" s="321"/>
      <c r="BB71" s="321"/>
      <c r="BC71" s="321"/>
      <c r="BD71" s="321"/>
      <c r="BE71" s="321"/>
      <c r="BF71" s="321"/>
      <c r="BG71" s="321"/>
      <c r="BH71" s="321"/>
      <c r="BI71" s="321"/>
      <c r="BJ71" s="321"/>
      <c r="BK71" s="321"/>
      <c r="BL71" s="321"/>
      <c r="BM71" s="321"/>
      <c r="BN71" s="321"/>
      <c r="BO71" s="321"/>
      <c r="BP71" s="321"/>
      <c r="BQ71" s="321"/>
      <c r="BR71" s="321"/>
      <c r="BS71" s="321"/>
      <c r="BT71" s="321"/>
      <c r="BU71" s="321"/>
      <c r="BV71" s="321"/>
      <c r="BW71" s="321"/>
      <c r="BX71" s="321"/>
      <c r="BY71" s="321"/>
      <c r="BZ71" s="321"/>
      <c r="CA71" s="321"/>
      <c r="CB71" s="321"/>
      <c r="CC71" s="321"/>
      <c r="CD71" s="321"/>
      <c r="CE71" s="321"/>
      <c r="CF71" s="321"/>
      <c r="CG71" s="321"/>
      <c r="CH71" s="321"/>
      <c r="CI71" s="321"/>
      <c r="CJ71" s="321"/>
      <c r="CK71" s="321"/>
      <c r="CL71" s="321"/>
      <c r="CM71" s="321"/>
      <c r="CN71" s="321"/>
      <c r="CO71" s="321"/>
      <c r="CP71" s="321"/>
      <c r="CQ71" s="321"/>
      <c r="CR71" s="321"/>
      <c r="CS71" s="321"/>
      <c r="CT71" s="321"/>
      <c r="CU71" s="321"/>
      <c r="CV71" s="321"/>
      <c r="CW71" s="321"/>
      <c r="CX71" s="321"/>
      <c r="CY71" s="321"/>
      <c r="CZ71" s="321"/>
      <c r="DA71" s="321"/>
      <c r="DB71" s="321"/>
      <c r="DC71" s="321"/>
      <c r="DD71" s="321"/>
      <c r="DE71" s="321"/>
      <c r="DF71" s="321"/>
      <c r="DG71" s="321"/>
      <c r="DH71" s="321"/>
      <c r="DI71" s="321"/>
      <c r="DJ71" s="321"/>
      <c r="DK71" s="321"/>
      <c r="DL71" s="321"/>
      <c r="DM71" s="321"/>
      <c r="DN71" s="321"/>
      <c r="DO71" s="321"/>
      <c r="DP71" s="321"/>
      <c r="DQ71" s="321"/>
      <c r="DR71" s="321"/>
      <c r="DS71" s="321"/>
      <c r="DT71" s="321"/>
      <c r="DU71" s="321"/>
      <c r="DV71" s="321"/>
      <c r="DW71" s="321"/>
      <c r="DX71" s="321"/>
      <c r="DY71" s="321"/>
      <c r="DZ71" s="321"/>
      <c r="EA71" s="321"/>
      <c r="EB71" s="321"/>
      <c r="EC71" s="321"/>
      <c r="ED71" s="321"/>
      <c r="EE71" s="321"/>
      <c r="EF71" s="321"/>
      <c r="EG71" s="321"/>
      <c r="EH71" s="321"/>
      <c r="EI71" s="321"/>
      <c r="EJ71" s="321"/>
      <c r="EK71" s="321"/>
      <c r="EL71" s="321"/>
      <c r="EM71" s="321"/>
      <c r="EN71" s="321"/>
      <c r="EO71" s="321"/>
      <c r="EP71" s="321"/>
      <c r="EQ71" s="321"/>
      <c r="ER71" s="321"/>
      <c r="ES71" s="321"/>
      <c r="ET71" s="321"/>
      <c r="EU71" s="321"/>
      <c r="EV71" s="321"/>
      <c r="EW71" s="321"/>
      <c r="EX71" s="321"/>
      <c r="EY71" s="321"/>
      <c r="EZ71" s="321"/>
      <c r="FA71" s="321"/>
      <c r="FB71" s="321"/>
      <c r="FC71" s="321"/>
      <c r="FD71" s="321"/>
      <c r="FE71" s="321"/>
      <c r="FF71" s="321"/>
      <c r="FG71" s="321"/>
      <c r="FH71" s="321"/>
      <c r="FI71" s="321"/>
      <c r="FJ71" s="321"/>
      <c r="FK71" s="321"/>
      <c r="FL71" s="321"/>
      <c r="FM71" s="321"/>
      <c r="FN71" s="321"/>
      <c r="FO71" s="321"/>
      <c r="FP71" s="321"/>
      <c r="FQ71" s="321"/>
      <c r="FR71" s="321"/>
      <c r="FS71" s="321"/>
      <c r="FT71" s="321"/>
      <c r="FU71" s="321"/>
      <c r="FV71" s="321"/>
      <c r="FW71" s="321"/>
      <c r="FX71" s="321"/>
      <c r="FY71" s="321"/>
      <c r="FZ71" s="321"/>
      <c r="GA71" s="321"/>
      <c r="GB71" s="321"/>
      <c r="GC71" s="321"/>
      <c r="GD71" s="321"/>
      <c r="GE71" s="321"/>
      <c r="GF71" s="321"/>
      <c r="GG71" s="321"/>
      <c r="GH71" s="321"/>
      <c r="GI71" s="321"/>
      <c r="GJ71" s="321"/>
      <c r="GK71" s="321"/>
      <c r="GL71" s="321"/>
      <c r="GM71" s="321"/>
      <c r="GN71" s="321"/>
      <c r="GO71" s="321"/>
      <c r="GP71" s="321"/>
      <c r="GQ71" s="321"/>
      <c r="GR71" s="321"/>
      <c r="GS71" s="321"/>
      <c r="GT71" s="321"/>
      <c r="GU71" s="321"/>
      <c r="GV71" s="321"/>
      <c r="GW71" s="321"/>
      <c r="GX71" s="321"/>
      <c r="GY71" s="321"/>
      <c r="GZ71" s="321"/>
      <c r="HA71" s="321"/>
      <c r="HB71" s="321"/>
      <c r="HC71" s="321"/>
      <c r="HD71" s="321"/>
      <c r="HE71" s="321"/>
      <c r="HF71" s="321"/>
      <c r="HG71" s="321"/>
      <c r="HH71" s="321"/>
      <c r="HI71" s="321"/>
      <c r="HJ71" s="321"/>
      <c r="HK71" s="321"/>
      <c r="HL71" s="321"/>
      <c r="HM71" s="321"/>
      <c r="HN71" s="321"/>
      <c r="HO71" s="321"/>
      <c r="HP71" s="321"/>
      <c r="HQ71" s="321"/>
      <c r="HR71" s="321"/>
      <c r="HS71" s="321"/>
      <c r="HT71" s="321"/>
      <c r="HU71" s="321"/>
      <c r="HV71" s="321"/>
      <c r="HW71" s="321"/>
      <c r="HX71" s="321"/>
      <c r="HY71" s="321"/>
      <c r="HZ71" s="321"/>
      <c r="IA71" s="321"/>
      <c r="IB71" s="321"/>
      <c r="IC71" s="321"/>
      <c r="ID71" s="321"/>
      <c r="IE71" s="321"/>
      <c r="IF71" s="321"/>
      <c r="IG71" s="321"/>
      <c r="IH71" s="321"/>
      <c r="II71" s="321"/>
      <c r="IJ71" s="321"/>
      <c r="IK71" s="321"/>
      <c r="IL71" s="321"/>
      <c r="IM71" s="321"/>
      <c r="IN71" s="321"/>
      <c r="IO71" s="321"/>
      <c r="IP71" s="321"/>
      <c r="IQ71" s="321"/>
      <c r="IR71" s="321"/>
      <c r="IS71" s="321"/>
      <c r="IT71" s="321"/>
      <c r="IU71" s="321"/>
      <c r="IV71" s="321"/>
    </row>
    <row r="72" spans="1:256" s="546" customFormat="1" ht="18" customHeight="1">
      <c r="A72" s="561">
        <v>64</v>
      </c>
      <c r="B72" s="554"/>
      <c r="C72" s="322"/>
      <c r="D72" s="436" t="s">
        <v>994</v>
      </c>
      <c r="E72" s="330">
        <v>10</v>
      </c>
      <c r="F72" s="550"/>
      <c r="G72" s="331"/>
      <c r="H72" s="762"/>
      <c r="I72" s="547"/>
      <c r="J72" s="547"/>
      <c r="K72" s="547"/>
      <c r="L72" s="547"/>
      <c r="M72" s="1131">
        <v>10</v>
      </c>
      <c r="N72" s="547"/>
      <c r="O72" s="555">
        <f>SUM(I72:N72)</f>
        <v>10</v>
      </c>
      <c r="P72" s="55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1"/>
      <c r="BP72" s="321"/>
      <c r="BQ72" s="321"/>
      <c r="BR72" s="321"/>
      <c r="BS72" s="321"/>
      <c r="BT72" s="321"/>
      <c r="BU72" s="321"/>
      <c r="BV72" s="321"/>
      <c r="BW72" s="321"/>
      <c r="BX72" s="321"/>
      <c r="BY72" s="321"/>
      <c r="BZ72" s="321"/>
      <c r="CA72" s="321"/>
      <c r="CB72" s="321"/>
      <c r="CC72" s="321"/>
      <c r="CD72" s="321"/>
      <c r="CE72" s="321"/>
      <c r="CF72" s="321"/>
      <c r="CG72" s="321"/>
      <c r="CH72" s="321"/>
      <c r="CI72" s="321"/>
      <c r="CJ72" s="321"/>
      <c r="CK72" s="321"/>
      <c r="CL72" s="321"/>
      <c r="CM72" s="321"/>
      <c r="CN72" s="321"/>
      <c r="CO72" s="321"/>
      <c r="CP72" s="321"/>
      <c r="CQ72" s="321"/>
      <c r="CR72" s="321"/>
      <c r="CS72" s="321"/>
      <c r="CT72" s="321"/>
      <c r="CU72" s="321"/>
      <c r="CV72" s="321"/>
      <c r="CW72" s="321"/>
      <c r="CX72" s="321"/>
      <c r="CY72" s="321"/>
      <c r="CZ72" s="321"/>
      <c r="DA72" s="321"/>
      <c r="DB72" s="321"/>
      <c r="DC72" s="321"/>
      <c r="DD72" s="321"/>
      <c r="DE72" s="321"/>
      <c r="DF72" s="321"/>
      <c r="DG72" s="321"/>
      <c r="DH72" s="321"/>
      <c r="DI72" s="321"/>
      <c r="DJ72" s="321"/>
      <c r="DK72" s="321"/>
      <c r="DL72" s="321"/>
      <c r="DM72" s="321"/>
      <c r="DN72" s="321"/>
      <c r="DO72" s="321"/>
      <c r="DP72" s="321"/>
      <c r="DQ72" s="321"/>
      <c r="DR72" s="321"/>
      <c r="DS72" s="321"/>
      <c r="DT72" s="321"/>
      <c r="DU72" s="321"/>
      <c r="DV72" s="321"/>
      <c r="DW72" s="321"/>
      <c r="DX72" s="321"/>
      <c r="DY72" s="321"/>
      <c r="DZ72" s="321"/>
      <c r="EA72" s="321"/>
      <c r="EB72" s="321"/>
      <c r="EC72" s="321"/>
      <c r="ED72" s="321"/>
      <c r="EE72" s="321"/>
      <c r="EF72" s="321"/>
      <c r="EG72" s="321"/>
      <c r="EH72" s="321"/>
      <c r="EI72" s="321"/>
      <c r="EJ72" s="321"/>
      <c r="EK72" s="321"/>
      <c r="EL72" s="321"/>
      <c r="EM72" s="321"/>
      <c r="EN72" s="321"/>
      <c r="EO72" s="321"/>
      <c r="EP72" s="321"/>
      <c r="EQ72" s="321"/>
      <c r="ER72" s="321"/>
      <c r="ES72" s="321"/>
      <c r="ET72" s="321"/>
      <c r="EU72" s="321"/>
      <c r="EV72" s="321"/>
      <c r="EW72" s="321"/>
      <c r="EX72" s="321"/>
      <c r="EY72" s="321"/>
      <c r="EZ72" s="321"/>
      <c r="FA72" s="321"/>
      <c r="FB72" s="321"/>
      <c r="FC72" s="321"/>
      <c r="FD72" s="321"/>
      <c r="FE72" s="321"/>
      <c r="FF72" s="321"/>
      <c r="FG72" s="321"/>
      <c r="FH72" s="321"/>
      <c r="FI72" s="321"/>
      <c r="FJ72" s="321"/>
      <c r="FK72" s="321"/>
      <c r="FL72" s="321"/>
      <c r="FM72" s="321"/>
      <c r="FN72" s="321"/>
      <c r="FO72" s="321"/>
      <c r="FP72" s="321"/>
      <c r="FQ72" s="321"/>
      <c r="FR72" s="321"/>
      <c r="FS72" s="321"/>
      <c r="FT72" s="321"/>
      <c r="FU72" s="321"/>
      <c r="FV72" s="321"/>
      <c r="FW72" s="321"/>
      <c r="FX72" s="321"/>
      <c r="FY72" s="321"/>
      <c r="FZ72" s="321"/>
      <c r="GA72" s="321"/>
      <c r="GB72" s="321"/>
      <c r="GC72" s="321"/>
      <c r="GD72" s="321"/>
      <c r="GE72" s="321"/>
      <c r="GF72" s="321"/>
      <c r="GG72" s="321"/>
      <c r="GH72" s="321"/>
      <c r="GI72" s="321"/>
      <c r="GJ72" s="321"/>
      <c r="GK72" s="321"/>
      <c r="GL72" s="321"/>
      <c r="GM72" s="321"/>
      <c r="GN72" s="321"/>
      <c r="GO72" s="321"/>
      <c r="GP72" s="321"/>
      <c r="GQ72" s="321"/>
      <c r="GR72" s="321"/>
      <c r="GS72" s="321"/>
      <c r="GT72" s="321"/>
      <c r="GU72" s="321"/>
      <c r="GV72" s="321"/>
      <c r="GW72" s="321"/>
      <c r="GX72" s="321"/>
      <c r="GY72" s="321"/>
      <c r="GZ72" s="321"/>
      <c r="HA72" s="321"/>
      <c r="HB72" s="321"/>
      <c r="HC72" s="321"/>
      <c r="HD72" s="321"/>
      <c r="HE72" s="321"/>
      <c r="HF72" s="321"/>
      <c r="HG72" s="321"/>
      <c r="HH72" s="321"/>
      <c r="HI72" s="321"/>
      <c r="HJ72" s="321"/>
      <c r="HK72" s="321"/>
      <c r="HL72" s="321"/>
      <c r="HM72" s="321"/>
      <c r="HN72" s="321"/>
      <c r="HO72" s="321"/>
      <c r="HP72" s="321"/>
      <c r="HQ72" s="321"/>
      <c r="HR72" s="321"/>
      <c r="HS72" s="321"/>
      <c r="HT72" s="321"/>
      <c r="HU72" s="321"/>
      <c r="HV72" s="321"/>
      <c r="HW72" s="321"/>
      <c r="HX72" s="321"/>
      <c r="HY72" s="321"/>
      <c r="HZ72" s="321"/>
      <c r="IA72" s="321"/>
      <c r="IB72" s="321"/>
      <c r="IC72" s="321"/>
      <c r="ID72" s="321"/>
      <c r="IE72" s="321"/>
      <c r="IF72" s="321"/>
      <c r="IG72" s="321"/>
      <c r="IH72" s="321"/>
      <c r="II72" s="321"/>
      <c r="IJ72" s="321"/>
      <c r="IK72" s="321"/>
      <c r="IL72" s="321"/>
      <c r="IM72" s="321"/>
      <c r="IN72" s="321"/>
      <c r="IO72" s="321"/>
      <c r="IP72" s="321"/>
      <c r="IQ72" s="321"/>
      <c r="IR72" s="321"/>
      <c r="IS72" s="321"/>
      <c r="IT72" s="321"/>
      <c r="IU72" s="321"/>
      <c r="IV72" s="321"/>
    </row>
    <row r="73" spans="1:256" s="546" customFormat="1" ht="18" customHeight="1">
      <c r="A73" s="561">
        <v>65</v>
      </c>
      <c r="B73" s="554"/>
      <c r="C73" s="322"/>
      <c r="D73" s="987" t="s">
        <v>1036</v>
      </c>
      <c r="E73" s="330"/>
      <c r="F73" s="550"/>
      <c r="G73" s="331"/>
      <c r="H73" s="762"/>
      <c r="I73" s="547"/>
      <c r="J73" s="547"/>
      <c r="K73" s="547"/>
      <c r="L73" s="547"/>
      <c r="M73" s="1266">
        <v>10</v>
      </c>
      <c r="N73" s="547"/>
      <c r="O73" s="1175">
        <f>SUM(I73:N73)</f>
        <v>10</v>
      </c>
      <c r="P73" s="551"/>
      <c r="Q73" s="321"/>
      <c r="R73" s="321"/>
      <c r="S73" s="321"/>
      <c r="T73" s="321"/>
      <c r="U73" s="321"/>
      <c r="V73" s="321"/>
      <c r="W73" s="321"/>
      <c r="X73" s="321"/>
      <c r="Y73" s="321"/>
      <c r="Z73" s="321"/>
      <c r="AA73" s="321"/>
      <c r="AB73" s="321"/>
      <c r="AC73" s="321"/>
      <c r="AD73" s="321"/>
      <c r="AE73" s="321"/>
      <c r="AF73" s="321"/>
      <c r="AG73" s="321"/>
      <c r="AH73" s="321"/>
      <c r="AI73" s="321"/>
      <c r="AJ73" s="321"/>
      <c r="AK73" s="321"/>
      <c r="AL73" s="321"/>
      <c r="AM73" s="321"/>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c r="BR73" s="321"/>
      <c r="BS73" s="321"/>
      <c r="BT73" s="321"/>
      <c r="BU73" s="321"/>
      <c r="BV73" s="321"/>
      <c r="BW73" s="321"/>
      <c r="BX73" s="321"/>
      <c r="BY73" s="321"/>
      <c r="BZ73" s="321"/>
      <c r="CA73" s="321"/>
      <c r="CB73" s="321"/>
      <c r="CC73" s="321"/>
      <c r="CD73" s="321"/>
      <c r="CE73" s="321"/>
      <c r="CF73" s="321"/>
      <c r="CG73" s="321"/>
      <c r="CH73" s="321"/>
      <c r="CI73" s="321"/>
      <c r="CJ73" s="321"/>
      <c r="CK73" s="321"/>
      <c r="CL73" s="321"/>
      <c r="CM73" s="321"/>
      <c r="CN73" s="321"/>
      <c r="CO73" s="321"/>
      <c r="CP73" s="321"/>
      <c r="CQ73" s="321"/>
      <c r="CR73" s="321"/>
      <c r="CS73" s="321"/>
      <c r="CT73" s="321"/>
      <c r="CU73" s="321"/>
      <c r="CV73" s="321"/>
      <c r="CW73" s="321"/>
      <c r="CX73" s="321"/>
      <c r="CY73" s="321"/>
      <c r="CZ73" s="321"/>
      <c r="DA73" s="321"/>
      <c r="DB73" s="321"/>
      <c r="DC73" s="321"/>
      <c r="DD73" s="321"/>
      <c r="DE73" s="321"/>
      <c r="DF73" s="321"/>
      <c r="DG73" s="321"/>
      <c r="DH73" s="321"/>
      <c r="DI73" s="321"/>
      <c r="DJ73" s="321"/>
      <c r="DK73" s="321"/>
      <c r="DL73" s="321"/>
      <c r="DM73" s="321"/>
      <c r="DN73" s="321"/>
      <c r="DO73" s="321"/>
      <c r="DP73" s="321"/>
      <c r="DQ73" s="321"/>
      <c r="DR73" s="321"/>
      <c r="DS73" s="321"/>
      <c r="DT73" s="321"/>
      <c r="DU73" s="321"/>
      <c r="DV73" s="321"/>
      <c r="DW73" s="321"/>
      <c r="DX73" s="321"/>
      <c r="DY73" s="321"/>
      <c r="DZ73" s="321"/>
      <c r="EA73" s="321"/>
      <c r="EB73" s="321"/>
      <c r="EC73" s="321"/>
      <c r="ED73" s="321"/>
      <c r="EE73" s="321"/>
      <c r="EF73" s="321"/>
      <c r="EG73" s="321"/>
      <c r="EH73" s="321"/>
      <c r="EI73" s="321"/>
      <c r="EJ73" s="321"/>
      <c r="EK73" s="321"/>
      <c r="EL73" s="321"/>
      <c r="EM73" s="321"/>
      <c r="EN73" s="321"/>
      <c r="EO73" s="321"/>
      <c r="EP73" s="321"/>
      <c r="EQ73" s="321"/>
      <c r="ER73" s="321"/>
      <c r="ES73" s="321"/>
      <c r="ET73" s="321"/>
      <c r="EU73" s="321"/>
      <c r="EV73" s="321"/>
      <c r="EW73" s="321"/>
      <c r="EX73" s="321"/>
      <c r="EY73" s="321"/>
      <c r="EZ73" s="321"/>
      <c r="FA73" s="321"/>
      <c r="FB73" s="321"/>
      <c r="FC73" s="321"/>
      <c r="FD73" s="321"/>
      <c r="FE73" s="321"/>
      <c r="FF73" s="321"/>
      <c r="FG73" s="321"/>
      <c r="FH73" s="321"/>
      <c r="FI73" s="321"/>
      <c r="FJ73" s="321"/>
      <c r="FK73" s="321"/>
      <c r="FL73" s="321"/>
      <c r="FM73" s="321"/>
      <c r="FN73" s="321"/>
      <c r="FO73" s="321"/>
      <c r="FP73" s="321"/>
      <c r="FQ73" s="321"/>
      <c r="FR73" s="321"/>
      <c r="FS73" s="321"/>
      <c r="FT73" s="321"/>
      <c r="FU73" s="321"/>
      <c r="FV73" s="321"/>
      <c r="FW73" s="321"/>
      <c r="FX73" s="321"/>
      <c r="FY73" s="321"/>
      <c r="FZ73" s="321"/>
      <c r="GA73" s="321"/>
      <c r="GB73" s="321"/>
      <c r="GC73" s="321"/>
      <c r="GD73" s="321"/>
      <c r="GE73" s="321"/>
      <c r="GF73" s="321"/>
      <c r="GG73" s="321"/>
      <c r="GH73" s="321"/>
      <c r="GI73" s="321"/>
      <c r="GJ73" s="321"/>
      <c r="GK73" s="321"/>
      <c r="GL73" s="321"/>
      <c r="GM73" s="321"/>
      <c r="GN73" s="321"/>
      <c r="GO73" s="321"/>
      <c r="GP73" s="321"/>
      <c r="GQ73" s="321"/>
      <c r="GR73" s="321"/>
      <c r="GS73" s="321"/>
      <c r="GT73" s="321"/>
      <c r="GU73" s="321"/>
      <c r="GV73" s="321"/>
      <c r="GW73" s="321"/>
      <c r="GX73" s="321"/>
      <c r="GY73" s="321"/>
      <c r="GZ73" s="321"/>
      <c r="HA73" s="321"/>
      <c r="HB73" s="321"/>
      <c r="HC73" s="321"/>
      <c r="HD73" s="321"/>
      <c r="HE73" s="321"/>
      <c r="HF73" s="321"/>
      <c r="HG73" s="321"/>
      <c r="HH73" s="321"/>
      <c r="HI73" s="321"/>
      <c r="HJ73" s="321"/>
      <c r="HK73" s="321"/>
      <c r="HL73" s="321"/>
      <c r="HM73" s="321"/>
      <c r="HN73" s="321"/>
      <c r="HO73" s="321"/>
      <c r="HP73" s="321"/>
      <c r="HQ73" s="321"/>
      <c r="HR73" s="321"/>
      <c r="HS73" s="321"/>
      <c r="HT73" s="321"/>
      <c r="HU73" s="321"/>
      <c r="HV73" s="321"/>
      <c r="HW73" s="321"/>
      <c r="HX73" s="321"/>
      <c r="HY73" s="321"/>
      <c r="HZ73" s="321"/>
      <c r="IA73" s="321"/>
      <c r="IB73" s="321"/>
      <c r="IC73" s="321"/>
      <c r="ID73" s="321"/>
      <c r="IE73" s="321"/>
      <c r="IF73" s="321"/>
      <c r="IG73" s="321"/>
      <c r="IH73" s="321"/>
      <c r="II73" s="321"/>
      <c r="IJ73" s="321"/>
      <c r="IK73" s="321"/>
      <c r="IL73" s="321"/>
      <c r="IM73" s="321"/>
      <c r="IN73" s="321"/>
      <c r="IO73" s="321"/>
      <c r="IP73" s="321"/>
      <c r="IQ73" s="321"/>
      <c r="IR73" s="321"/>
      <c r="IS73" s="321"/>
      <c r="IT73" s="321"/>
      <c r="IU73" s="321"/>
      <c r="IV73" s="321"/>
    </row>
    <row r="74" spans="1:256" s="546" customFormat="1" ht="18" customHeight="1">
      <c r="A74" s="561">
        <v>66</v>
      </c>
      <c r="B74" s="554"/>
      <c r="C74" s="322">
        <v>18</v>
      </c>
      <c r="D74" s="558" t="s">
        <v>1003</v>
      </c>
      <c r="E74" s="330"/>
      <c r="F74" s="550"/>
      <c r="G74" s="331"/>
      <c r="H74" s="762"/>
      <c r="I74" s="547"/>
      <c r="J74" s="547"/>
      <c r="K74" s="547"/>
      <c r="L74" s="547"/>
      <c r="M74" s="1266"/>
      <c r="N74" s="547"/>
      <c r="O74" s="555"/>
      <c r="P74" s="551"/>
      <c r="Q74" s="321"/>
      <c r="R74" s="321"/>
      <c r="S74" s="321"/>
      <c r="T74" s="321"/>
      <c r="U74" s="321"/>
      <c r="V74" s="321"/>
      <c r="W74" s="321"/>
      <c r="X74" s="321"/>
      <c r="Y74" s="321"/>
      <c r="Z74" s="321"/>
      <c r="AA74" s="321"/>
      <c r="AB74" s="321"/>
      <c r="AC74" s="321"/>
      <c r="AD74" s="321"/>
      <c r="AE74" s="321"/>
      <c r="AF74" s="321"/>
      <c r="AG74" s="321"/>
      <c r="AH74" s="321"/>
      <c r="AI74" s="321"/>
      <c r="AJ74" s="321"/>
      <c r="AK74" s="321"/>
      <c r="AL74" s="321"/>
      <c r="AM74" s="321"/>
      <c r="AN74" s="321"/>
      <c r="AO74" s="321"/>
      <c r="AP74" s="321"/>
      <c r="AQ74" s="321"/>
      <c r="AR74" s="321"/>
      <c r="AS74" s="321"/>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c r="BR74" s="321"/>
      <c r="BS74" s="321"/>
      <c r="BT74" s="321"/>
      <c r="BU74" s="321"/>
      <c r="BV74" s="321"/>
      <c r="BW74" s="321"/>
      <c r="BX74" s="321"/>
      <c r="BY74" s="321"/>
      <c r="BZ74" s="321"/>
      <c r="CA74" s="321"/>
      <c r="CB74" s="321"/>
      <c r="CC74" s="321"/>
      <c r="CD74" s="321"/>
      <c r="CE74" s="321"/>
      <c r="CF74" s="321"/>
      <c r="CG74" s="321"/>
      <c r="CH74" s="321"/>
      <c r="CI74" s="321"/>
      <c r="CJ74" s="321"/>
      <c r="CK74" s="321"/>
      <c r="CL74" s="321"/>
      <c r="CM74" s="321"/>
      <c r="CN74" s="321"/>
      <c r="CO74" s="321"/>
      <c r="CP74" s="321"/>
      <c r="CQ74" s="321"/>
      <c r="CR74" s="321"/>
      <c r="CS74" s="321"/>
      <c r="CT74" s="321"/>
      <c r="CU74" s="321"/>
      <c r="CV74" s="321"/>
      <c r="CW74" s="321"/>
      <c r="CX74" s="321"/>
      <c r="CY74" s="321"/>
      <c r="CZ74" s="321"/>
      <c r="DA74" s="321"/>
      <c r="DB74" s="321"/>
      <c r="DC74" s="321"/>
      <c r="DD74" s="321"/>
      <c r="DE74" s="321"/>
      <c r="DF74" s="321"/>
      <c r="DG74" s="321"/>
      <c r="DH74" s="321"/>
      <c r="DI74" s="321"/>
      <c r="DJ74" s="321"/>
      <c r="DK74" s="321"/>
      <c r="DL74" s="321"/>
      <c r="DM74" s="321"/>
      <c r="DN74" s="321"/>
      <c r="DO74" s="321"/>
      <c r="DP74" s="321"/>
      <c r="DQ74" s="321"/>
      <c r="DR74" s="321"/>
      <c r="DS74" s="321"/>
      <c r="DT74" s="321"/>
      <c r="DU74" s="321"/>
      <c r="DV74" s="321"/>
      <c r="DW74" s="321"/>
      <c r="DX74" s="321"/>
      <c r="DY74" s="321"/>
      <c r="DZ74" s="321"/>
      <c r="EA74" s="321"/>
      <c r="EB74" s="321"/>
      <c r="EC74" s="321"/>
      <c r="ED74" s="321"/>
      <c r="EE74" s="321"/>
      <c r="EF74" s="321"/>
      <c r="EG74" s="321"/>
      <c r="EH74" s="321"/>
      <c r="EI74" s="321"/>
      <c r="EJ74" s="321"/>
      <c r="EK74" s="321"/>
      <c r="EL74" s="321"/>
      <c r="EM74" s="321"/>
      <c r="EN74" s="321"/>
      <c r="EO74" s="321"/>
      <c r="EP74" s="321"/>
      <c r="EQ74" s="321"/>
      <c r="ER74" s="321"/>
      <c r="ES74" s="321"/>
      <c r="ET74" s="321"/>
      <c r="EU74" s="321"/>
      <c r="EV74" s="321"/>
      <c r="EW74" s="321"/>
      <c r="EX74" s="321"/>
      <c r="EY74" s="321"/>
      <c r="EZ74" s="321"/>
      <c r="FA74" s="321"/>
      <c r="FB74" s="321"/>
      <c r="FC74" s="321"/>
      <c r="FD74" s="321"/>
      <c r="FE74" s="321"/>
      <c r="FF74" s="321"/>
      <c r="FG74" s="321"/>
      <c r="FH74" s="321"/>
      <c r="FI74" s="321"/>
      <c r="FJ74" s="321"/>
      <c r="FK74" s="321"/>
      <c r="FL74" s="321"/>
      <c r="FM74" s="321"/>
      <c r="FN74" s="321"/>
      <c r="FO74" s="321"/>
      <c r="FP74" s="321"/>
      <c r="FQ74" s="321"/>
      <c r="FR74" s="321"/>
      <c r="FS74" s="321"/>
      <c r="FT74" s="321"/>
      <c r="FU74" s="321"/>
      <c r="FV74" s="321"/>
      <c r="FW74" s="321"/>
      <c r="FX74" s="321"/>
      <c r="FY74" s="321"/>
      <c r="FZ74" s="321"/>
      <c r="GA74" s="321"/>
      <c r="GB74" s="321"/>
      <c r="GC74" s="321"/>
      <c r="GD74" s="321"/>
      <c r="GE74" s="321"/>
      <c r="GF74" s="321"/>
      <c r="GG74" s="321"/>
      <c r="GH74" s="321"/>
      <c r="GI74" s="321"/>
      <c r="GJ74" s="321"/>
      <c r="GK74" s="321"/>
      <c r="GL74" s="321"/>
      <c r="GM74" s="321"/>
      <c r="GN74" s="321"/>
      <c r="GO74" s="321"/>
      <c r="GP74" s="321"/>
      <c r="GQ74" s="321"/>
      <c r="GR74" s="321"/>
      <c r="GS74" s="321"/>
      <c r="GT74" s="321"/>
      <c r="GU74" s="321"/>
      <c r="GV74" s="321"/>
      <c r="GW74" s="321"/>
      <c r="GX74" s="321"/>
      <c r="GY74" s="321"/>
      <c r="GZ74" s="321"/>
      <c r="HA74" s="321"/>
      <c r="HB74" s="321"/>
      <c r="HC74" s="321"/>
      <c r="HD74" s="321"/>
      <c r="HE74" s="321"/>
      <c r="HF74" s="321"/>
      <c r="HG74" s="321"/>
      <c r="HH74" s="321"/>
      <c r="HI74" s="321"/>
      <c r="HJ74" s="321"/>
      <c r="HK74" s="321"/>
      <c r="HL74" s="321"/>
      <c r="HM74" s="321"/>
      <c r="HN74" s="321"/>
      <c r="HO74" s="321"/>
      <c r="HP74" s="321"/>
      <c r="HQ74" s="321"/>
      <c r="HR74" s="321"/>
      <c r="HS74" s="321"/>
      <c r="HT74" s="321"/>
      <c r="HU74" s="321"/>
      <c r="HV74" s="321"/>
      <c r="HW74" s="321"/>
      <c r="HX74" s="321"/>
      <c r="HY74" s="321"/>
      <c r="HZ74" s="321"/>
      <c r="IA74" s="321"/>
      <c r="IB74" s="321"/>
      <c r="IC74" s="321"/>
      <c r="ID74" s="321"/>
      <c r="IE74" s="321"/>
      <c r="IF74" s="321"/>
      <c r="IG74" s="321"/>
      <c r="IH74" s="321"/>
      <c r="II74" s="321"/>
      <c r="IJ74" s="321"/>
      <c r="IK74" s="321"/>
      <c r="IL74" s="321"/>
      <c r="IM74" s="321"/>
      <c r="IN74" s="321"/>
      <c r="IO74" s="321"/>
      <c r="IP74" s="321"/>
      <c r="IQ74" s="321"/>
      <c r="IR74" s="321"/>
      <c r="IS74" s="321"/>
      <c r="IT74" s="321"/>
      <c r="IU74" s="321"/>
      <c r="IV74" s="321"/>
    </row>
    <row r="75" spans="1:256" s="546" customFormat="1" ht="18" customHeight="1">
      <c r="A75" s="561">
        <v>67</v>
      </c>
      <c r="B75" s="554"/>
      <c r="C75" s="322"/>
      <c r="D75" s="436" t="s">
        <v>994</v>
      </c>
      <c r="E75" s="330">
        <v>629990</v>
      </c>
      <c r="F75" s="550"/>
      <c r="G75" s="331"/>
      <c r="H75" s="762"/>
      <c r="I75" s="547"/>
      <c r="J75" s="547"/>
      <c r="K75" s="547"/>
      <c r="L75" s="547"/>
      <c r="M75" s="1131">
        <v>629990</v>
      </c>
      <c r="N75" s="547"/>
      <c r="O75" s="555">
        <f>SUM(I75:N75)</f>
        <v>629990</v>
      </c>
      <c r="P75" s="551"/>
      <c r="Q75" s="321"/>
      <c r="R75" s="321"/>
      <c r="S75" s="321"/>
      <c r="T75" s="321"/>
      <c r="U75" s="321"/>
      <c r="V75" s="321"/>
      <c r="W75" s="321"/>
      <c r="X75" s="321"/>
      <c r="Y75" s="321"/>
      <c r="Z75" s="321"/>
      <c r="AA75" s="321"/>
      <c r="AB75" s="321"/>
      <c r="AC75" s="321"/>
      <c r="AD75" s="321"/>
      <c r="AE75" s="321"/>
      <c r="AF75" s="321"/>
      <c r="AG75" s="321"/>
      <c r="AH75" s="321"/>
      <c r="AI75" s="321"/>
      <c r="AJ75" s="321"/>
      <c r="AK75" s="321"/>
      <c r="AL75" s="321"/>
      <c r="AM75" s="321"/>
      <c r="AN75" s="321"/>
      <c r="AO75" s="321"/>
      <c r="AP75" s="321"/>
      <c r="AQ75" s="321"/>
      <c r="AR75" s="321"/>
      <c r="AS75" s="321"/>
      <c r="AT75" s="321"/>
      <c r="AU75" s="321"/>
      <c r="AV75" s="321"/>
      <c r="AW75" s="321"/>
      <c r="AX75" s="321"/>
      <c r="AY75" s="321"/>
      <c r="AZ75" s="321"/>
      <c r="BA75" s="321"/>
      <c r="BB75" s="321"/>
      <c r="BC75" s="321"/>
      <c r="BD75" s="321"/>
      <c r="BE75" s="321"/>
      <c r="BF75" s="321"/>
      <c r="BG75" s="321"/>
      <c r="BH75" s="321"/>
      <c r="BI75" s="321"/>
      <c r="BJ75" s="321"/>
      <c r="BK75" s="321"/>
      <c r="BL75" s="321"/>
      <c r="BM75" s="321"/>
      <c r="BN75" s="321"/>
      <c r="BO75" s="321"/>
      <c r="BP75" s="321"/>
      <c r="BQ75" s="321"/>
      <c r="BR75" s="321"/>
      <c r="BS75" s="321"/>
      <c r="BT75" s="321"/>
      <c r="BU75" s="321"/>
      <c r="BV75" s="321"/>
      <c r="BW75" s="321"/>
      <c r="BX75" s="321"/>
      <c r="BY75" s="321"/>
      <c r="BZ75" s="321"/>
      <c r="CA75" s="321"/>
      <c r="CB75" s="321"/>
      <c r="CC75" s="321"/>
      <c r="CD75" s="321"/>
      <c r="CE75" s="321"/>
      <c r="CF75" s="321"/>
      <c r="CG75" s="321"/>
      <c r="CH75" s="321"/>
      <c r="CI75" s="321"/>
      <c r="CJ75" s="321"/>
      <c r="CK75" s="321"/>
      <c r="CL75" s="321"/>
      <c r="CM75" s="321"/>
      <c r="CN75" s="321"/>
      <c r="CO75" s="321"/>
      <c r="CP75" s="321"/>
      <c r="CQ75" s="321"/>
      <c r="CR75" s="321"/>
      <c r="CS75" s="321"/>
      <c r="CT75" s="321"/>
      <c r="CU75" s="321"/>
      <c r="CV75" s="321"/>
      <c r="CW75" s="321"/>
      <c r="CX75" s="321"/>
      <c r="CY75" s="321"/>
      <c r="CZ75" s="321"/>
      <c r="DA75" s="321"/>
      <c r="DB75" s="321"/>
      <c r="DC75" s="321"/>
      <c r="DD75" s="321"/>
      <c r="DE75" s="321"/>
      <c r="DF75" s="321"/>
      <c r="DG75" s="321"/>
      <c r="DH75" s="321"/>
      <c r="DI75" s="321"/>
      <c r="DJ75" s="321"/>
      <c r="DK75" s="321"/>
      <c r="DL75" s="321"/>
      <c r="DM75" s="321"/>
      <c r="DN75" s="321"/>
      <c r="DO75" s="321"/>
      <c r="DP75" s="321"/>
      <c r="DQ75" s="321"/>
      <c r="DR75" s="321"/>
      <c r="DS75" s="321"/>
      <c r="DT75" s="321"/>
      <c r="DU75" s="321"/>
      <c r="DV75" s="321"/>
      <c r="DW75" s="321"/>
      <c r="DX75" s="321"/>
      <c r="DY75" s="321"/>
      <c r="DZ75" s="321"/>
      <c r="EA75" s="321"/>
      <c r="EB75" s="321"/>
      <c r="EC75" s="321"/>
      <c r="ED75" s="321"/>
      <c r="EE75" s="321"/>
      <c r="EF75" s="321"/>
      <c r="EG75" s="321"/>
      <c r="EH75" s="321"/>
      <c r="EI75" s="321"/>
      <c r="EJ75" s="321"/>
      <c r="EK75" s="321"/>
      <c r="EL75" s="321"/>
      <c r="EM75" s="321"/>
      <c r="EN75" s="321"/>
      <c r="EO75" s="321"/>
      <c r="EP75" s="321"/>
      <c r="EQ75" s="321"/>
      <c r="ER75" s="321"/>
      <c r="ES75" s="321"/>
      <c r="ET75" s="321"/>
      <c r="EU75" s="321"/>
      <c r="EV75" s="321"/>
      <c r="EW75" s="321"/>
      <c r="EX75" s="321"/>
      <c r="EY75" s="321"/>
      <c r="EZ75" s="321"/>
      <c r="FA75" s="321"/>
      <c r="FB75" s="321"/>
      <c r="FC75" s="321"/>
      <c r="FD75" s="321"/>
      <c r="FE75" s="321"/>
      <c r="FF75" s="321"/>
      <c r="FG75" s="321"/>
      <c r="FH75" s="321"/>
      <c r="FI75" s="321"/>
      <c r="FJ75" s="321"/>
      <c r="FK75" s="321"/>
      <c r="FL75" s="321"/>
      <c r="FM75" s="321"/>
      <c r="FN75" s="321"/>
      <c r="FO75" s="321"/>
      <c r="FP75" s="321"/>
      <c r="FQ75" s="321"/>
      <c r="FR75" s="321"/>
      <c r="FS75" s="321"/>
      <c r="FT75" s="321"/>
      <c r="FU75" s="321"/>
      <c r="FV75" s="321"/>
      <c r="FW75" s="321"/>
      <c r="FX75" s="321"/>
      <c r="FY75" s="321"/>
      <c r="FZ75" s="321"/>
      <c r="GA75" s="321"/>
      <c r="GB75" s="321"/>
      <c r="GC75" s="321"/>
      <c r="GD75" s="321"/>
      <c r="GE75" s="321"/>
      <c r="GF75" s="321"/>
      <c r="GG75" s="321"/>
      <c r="GH75" s="321"/>
      <c r="GI75" s="321"/>
      <c r="GJ75" s="321"/>
      <c r="GK75" s="321"/>
      <c r="GL75" s="321"/>
      <c r="GM75" s="321"/>
      <c r="GN75" s="321"/>
      <c r="GO75" s="321"/>
      <c r="GP75" s="321"/>
      <c r="GQ75" s="321"/>
      <c r="GR75" s="321"/>
      <c r="GS75" s="321"/>
      <c r="GT75" s="321"/>
      <c r="GU75" s="321"/>
      <c r="GV75" s="321"/>
      <c r="GW75" s="321"/>
      <c r="GX75" s="321"/>
      <c r="GY75" s="321"/>
      <c r="GZ75" s="321"/>
      <c r="HA75" s="321"/>
      <c r="HB75" s="321"/>
      <c r="HC75" s="321"/>
      <c r="HD75" s="321"/>
      <c r="HE75" s="321"/>
      <c r="HF75" s="321"/>
      <c r="HG75" s="321"/>
      <c r="HH75" s="321"/>
      <c r="HI75" s="321"/>
      <c r="HJ75" s="321"/>
      <c r="HK75" s="321"/>
      <c r="HL75" s="321"/>
      <c r="HM75" s="321"/>
      <c r="HN75" s="321"/>
      <c r="HO75" s="321"/>
      <c r="HP75" s="321"/>
      <c r="HQ75" s="321"/>
      <c r="HR75" s="321"/>
      <c r="HS75" s="321"/>
      <c r="HT75" s="321"/>
      <c r="HU75" s="321"/>
      <c r="HV75" s="321"/>
      <c r="HW75" s="321"/>
      <c r="HX75" s="321"/>
      <c r="HY75" s="321"/>
      <c r="HZ75" s="321"/>
      <c r="IA75" s="321"/>
      <c r="IB75" s="321"/>
      <c r="IC75" s="321"/>
      <c r="ID75" s="321"/>
      <c r="IE75" s="321"/>
      <c r="IF75" s="321"/>
      <c r="IG75" s="321"/>
      <c r="IH75" s="321"/>
      <c r="II75" s="321"/>
      <c r="IJ75" s="321"/>
      <c r="IK75" s="321"/>
      <c r="IL75" s="321"/>
      <c r="IM75" s="321"/>
      <c r="IN75" s="321"/>
      <c r="IO75" s="321"/>
      <c r="IP75" s="321"/>
      <c r="IQ75" s="321"/>
      <c r="IR75" s="321"/>
      <c r="IS75" s="321"/>
      <c r="IT75" s="321"/>
      <c r="IU75" s="321"/>
      <c r="IV75" s="321"/>
    </row>
    <row r="76" spans="1:256" s="546" customFormat="1" ht="18" customHeight="1">
      <c r="A76" s="561">
        <v>68</v>
      </c>
      <c r="B76" s="554"/>
      <c r="C76" s="322"/>
      <c r="D76" s="987" t="s">
        <v>1036</v>
      </c>
      <c r="E76" s="330"/>
      <c r="F76" s="550"/>
      <c r="G76" s="331"/>
      <c r="H76" s="762"/>
      <c r="I76" s="547"/>
      <c r="J76" s="547"/>
      <c r="K76" s="547"/>
      <c r="L76" s="547"/>
      <c r="M76" s="1266">
        <v>629990</v>
      </c>
      <c r="N76" s="547"/>
      <c r="O76" s="1175">
        <f>SUM(I76:N76)</f>
        <v>629990</v>
      </c>
      <c r="P76" s="551"/>
      <c r="Q76" s="321"/>
      <c r="R76" s="321"/>
      <c r="S76" s="321"/>
      <c r="T76" s="321"/>
      <c r="U76" s="321"/>
      <c r="V76" s="321"/>
      <c r="W76" s="321"/>
      <c r="X76" s="321"/>
      <c r="Y76" s="321"/>
      <c r="Z76" s="321"/>
      <c r="AA76" s="321"/>
      <c r="AB76" s="321"/>
      <c r="AC76" s="321"/>
      <c r="AD76" s="321"/>
      <c r="AE76" s="321"/>
      <c r="AF76" s="321"/>
      <c r="AG76" s="321"/>
      <c r="AH76" s="321"/>
      <c r="AI76" s="321"/>
      <c r="AJ76" s="321"/>
      <c r="AK76" s="321"/>
      <c r="AL76" s="321"/>
      <c r="AM76" s="321"/>
      <c r="AN76" s="321"/>
      <c r="AO76" s="321"/>
      <c r="AP76" s="321"/>
      <c r="AQ76" s="321"/>
      <c r="AR76" s="321"/>
      <c r="AS76" s="321"/>
      <c r="AT76" s="321"/>
      <c r="AU76" s="321"/>
      <c r="AV76" s="321"/>
      <c r="AW76" s="321"/>
      <c r="AX76" s="321"/>
      <c r="AY76" s="321"/>
      <c r="AZ76" s="321"/>
      <c r="BA76" s="321"/>
      <c r="BB76" s="321"/>
      <c r="BC76" s="321"/>
      <c r="BD76" s="321"/>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c r="CD76" s="321"/>
      <c r="CE76" s="321"/>
      <c r="CF76" s="321"/>
      <c r="CG76" s="321"/>
      <c r="CH76" s="321"/>
      <c r="CI76" s="321"/>
      <c r="CJ76" s="321"/>
      <c r="CK76" s="321"/>
      <c r="CL76" s="321"/>
      <c r="CM76" s="321"/>
      <c r="CN76" s="321"/>
      <c r="CO76" s="321"/>
      <c r="CP76" s="321"/>
      <c r="CQ76" s="321"/>
      <c r="CR76" s="321"/>
      <c r="CS76" s="321"/>
      <c r="CT76" s="321"/>
      <c r="CU76" s="321"/>
      <c r="CV76" s="321"/>
      <c r="CW76" s="321"/>
      <c r="CX76" s="321"/>
      <c r="CY76" s="321"/>
      <c r="CZ76" s="321"/>
      <c r="DA76" s="321"/>
      <c r="DB76" s="321"/>
      <c r="DC76" s="321"/>
      <c r="DD76" s="321"/>
      <c r="DE76" s="321"/>
      <c r="DF76" s="321"/>
      <c r="DG76" s="321"/>
      <c r="DH76" s="321"/>
      <c r="DI76" s="321"/>
      <c r="DJ76" s="321"/>
      <c r="DK76" s="321"/>
      <c r="DL76" s="321"/>
      <c r="DM76" s="321"/>
      <c r="DN76" s="321"/>
      <c r="DO76" s="321"/>
      <c r="DP76" s="321"/>
      <c r="DQ76" s="321"/>
      <c r="DR76" s="321"/>
      <c r="DS76" s="321"/>
      <c r="DT76" s="321"/>
      <c r="DU76" s="321"/>
      <c r="DV76" s="321"/>
      <c r="DW76" s="321"/>
      <c r="DX76" s="321"/>
      <c r="DY76" s="321"/>
      <c r="DZ76" s="321"/>
      <c r="EA76" s="321"/>
      <c r="EB76" s="321"/>
      <c r="EC76" s="321"/>
      <c r="ED76" s="321"/>
      <c r="EE76" s="321"/>
      <c r="EF76" s="321"/>
      <c r="EG76" s="321"/>
      <c r="EH76" s="321"/>
      <c r="EI76" s="321"/>
      <c r="EJ76" s="321"/>
      <c r="EK76" s="321"/>
      <c r="EL76" s="321"/>
      <c r="EM76" s="321"/>
      <c r="EN76" s="321"/>
      <c r="EO76" s="321"/>
      <c r="EP76" s="321"/>
      <c r="EQ76" s="321"/>
      <c r="ER76" s="321"/>
      <c r="ES76" s="321"/>
      <c r="ET76" s="321"/>
      <c r="EU76" s="321"/>
      <c r="EV76" s="321"/>
      <c r="EW76" s="321"/>
      <c r="EX76" s="321"/>
      <c r="EY76" s="321"/>
      <c r="EZ76" s="321"/>
      <c r="FA76" s="321"/>
      <c r="FB76" s="321"/>
      <c r="FC76" s="321"/>
      <c r="FD76" s="321"/>
      <c r="FE76" s="321"/>
      <c r="FF76" s="321"/>
      <c r="FG76" s="321"/>
      <c r="FH76" s="321"/>
      <c r="FI76" s="321"/>
      <c r="FJ76" s="321"/>
      <c r="FK76" s="321"/>
      <c r="FL76" s="321"/>
      <c r="FM76" s="321"/>
      <c r="FN76" s="321"/>
      <c r="FO76" s="321"/>
      <c r="FP76" s="321"/>
      <c r="FQ76" s="321"/>
      <c r="FR76" s="321"/>
      <c r="FS76" s="321"/>
      <c r="FT76" s="321"/>
      <c r="FU76" s="321"/>
      <c r="FV76" s="321"/>
      <c r="FW76" s="321"/>
      <c r="FX76" s="321"/>
      <c r="FY76" s="321"/>
      <c r="FZ76" s="321"/>
      <c r="GA76" s="321"/>
      <c r="GB76" s="321"/>
      <c r="GC76" s="321"/>
      <c r="GD76" s="321"/>
      <c r="GE76" s="321"/>
      <c r="GF76" s="321"/>
      <c r="GG76" s="321"/>
      <c r="GH76" s="321"/>
      <c r="GI76" s="321"/>
      <c r="GJ76" s="321"/>
      <c r="GK76" s="321"/>
      <c r="GL76" s="321"/>
      <c r="GM76" s="321"/>
      <c r="GN76" s="321"/>
      <c r="GO76" s="321"/>
      <c r="GP76" s="321"/>
      <c r="GQ76" s="321"/>
      <c r="GR76" s="321"/>
      <c r="GS76" s="321"/>
      <c r="GT76" s="321"/>
      <c r="GU76" s="321"/>
      <c r="GV76" s="321"/>
      <c r="GW76" s="321"/>
      <c r="GX76" s="321"/>
      <c r="GY76" s="321"/>
      <c r="GZ76" s="321"/>
      <c r="HA76" s="321"/>
      <c r="HB76" s="321"/>
      <c r="HC76" s="321"/>
      <c r="HD76" s="321"/>
      <c r="HE76" s="321"/>
      <c r="HF76" s="321"/>
      <c r="HG76" s="321"/>
      <c r="HH76" s="321"/>
      <c r="HI76" s="321"/>
      <c r="HJ76" s="321"/>
      <c r="HK76" s="321"/>
      <c r="HL76" s="321"/>
      <c r="HM76" s="321"/>
      <c r="HN76" s="321"/>
      <c r="HO76" s="321"/>
      <c r="HP76" s="321"/>
      <c r="HQ76" s="321"/>
      <c r="HR76" s="321"/>
      <c r="HS76" s="321"/>
      <c r="HT76" s="321"/>
      <c r="HU76" s="321"/>
      <c r="HV76" s="321"/>
      <c r="HW76" s="321"/>
      <c r="HX76" s="321"/>
      <c r="HY76" s="321"/>
      <c r="HZ76" s="321"/>
      <c r="IA76" s="321"/>
      <c r="IB76" s="321"/>
      <c r="IC76" s="321"/>
      <c r="ID76" s="321"/>
      <c r="IE76" s="321"/>
      <c r="IF76" s="321"/>
      <c r="IG76" s="321"/>
      <c r="IH76" s="321"/>
      <c r="II76" s="321"/>
      <c r="IJ76" s="321"/>
      <c r="IK76" s="321"/>
      <c r="IL76" s="321"/>
      <c r="IM76" s="321"/>
      <c r="IN76" s="321"/>
      <c r="IO76" s="321"/>
      <c r="IP76" s="321"/>
      <c r="IQ76" s="321"/>
      <c r="IR76" s="321"/>
      <c r="IS76" s="321"/>
      <c r="IT76" s="321"/>
      <c r="IU76" s="321"/>
      <c r="IV76" s="321"/>
    </row>
    <row r="77" spans="1:256" s="546" customFormat="1" ht="19.5" customHeight="1">
      <c r="A77" s="561">
        <v>69</v>
      </c>
      <c r="B77" s="554"/>
      <c r="C77" s="322">
        <v>19</v>
      </c>
      <c r="D77" s="1464" t="s">
        <v>1004</v>
      </c>
      <c r="E77" s="330"/>
      <c r="F77" s="550"/>
      <c r="G77" s="331"/>
      <c r="H77" s="762"/>
      <c r="I77" s="547"/>
      <c r="J77" s="547"/>
      <c r="K77" s="547"/>
      <c r="L77" s="547"/>
      <c r="M77" s="1266"/>
      <c r="N77" s="547"/>
      <c r="O77" s="555"/>
      <c r="P77" s="551"/>
      <c r="Q77" s="321"/>
      <c r="R77" s="321"/>
      <c r="S77" s="321"/>
      <c r="T77" s="321"/>
      <c r="U77" s="321"/>
      <c r="V77" s="321"/>
      <c r="W77" s="321"/>
      <c r="X77" s="321"/>
      <c r="Y77" s="321"/>
      <c r="Z77" s="321"/>
      <c r="AA77" s="321"/>
      <c r="AB77" s="321"/>
      <c r="AC77" s="321"/>
      <c r="AD77" s="321"/>
      <c r="AE77" s="321"/>
      <c r="AF77" s="321"/>
      <c r="AG77" s="321"/>
      <c r="AH77" s="321"/>
      <c r="AI77" s="321"/>
      <c r="AJ77" s="321"/>
      <c r="AK77" s="321"/>
      <c r="AL77" s="321"/>
      <c r="AM77" s="321"/>
      <c r="AN77" s="321"/>
      <c r="AO77" s="321"/>
      <c r="AP77" s="321"/>
      <c r="AQ77" s="321"/>
      <c r="AR77" s="321"/>
      <c r="AS77" s="321"/>
      <c r="AT77" s="321"/>
      <c r="AU77" s="321"/>
      <c r="AV77" s="321"/>
      <c r="AW77" s="321"/>
      <c r="AX77" s="321"/>
      <c r="AY77" s="321"/>
      <c r="AZ77" s="321"/>
      <c r="BA77" s="321"/>
      <c r="BB77" s="321"/>
      <c r="BC77" s="321"/>
      <c r="BD77" s="321"/>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c r="CD77" s="321"/>
      <c r="CE77" s="321"/>
      <c r="CF77" s="321"/>
      <c r="CG77" s="321"/>
      <c r="CH77" s="321"/>
      <c r="CI77" s="321"/>
      <c r="CJ77" s="321"/>
      <c r="CK77" s="321"/>
      <c r="CL77" s="321"/>
      <c r="CM77" s="321"/>
      <c r="CN77" s="321"/>
      <c r="CO77" s="321"/>
      <c r="CP77" s="321"/>
      <c r="CQ77" s="321"/>
      <c r="CR77" s="321"/>
      <c r="CS77" s="321"/>
      <c r="CT77" s="321"/>
      <c r="CU77" s="321"/>
      <c r="CV77" s="321"/>
      <c r="CW77" s="321"/>
      <c r="CX77" s="321"/>
      <c r="CY77" s="321"/>
      <c r="CZ77" s="321"/>
      <c r="DA77" s="321"/>
      <c r="DB77" s="321"/>
      <c r="DC77" s="321"/>
      <c r="DD77" s="321"/>
      <c r="DE77" s="321"/>
      <c r="DF77" s="321"/>
      <c r="DG77" s="321"/>
      <c r="DH77" s="321"/>
      <c r="DI77" s="321"/>
      <c r="DJ77" s="321"/>
      <c r="DK77" s="321"/>
      <c r="DL77" s="321"/>
      <c r="DM77" s="321"/>
      <c r="DN77" s="321"/>
      <c r="DO77" s="321"/>
      <c r="DP77" s="321"/>
      <c r="DQ77" s="321"/>
      <c r="DR77" s="321"/>
      <c r="DS77" s="321"/>
      <c r="DT77" s="321"/>
      <c r="DU77" s="321"/>
      <c r="DV77" s="321"/>
      <c r="DW77" s="321"/>
      <c r="DX77" s="321"/>
      <c r="DY77" s="321"/>
      <c r="DZ77" s="321"/>
      <c r="EA77" s="321"/>
      <c r="EB77" s="321"/>
      <c r="EC77" s="321"/>
      <c r="ED77" s="321"/>
      <c r="EE77" s="321"/>
      <c r="EF77" s="321"/>
      <c r="EG77" s="321"/>
      <c r="EH77" s="321"/>
      <c r="EI77" s="321"/>
      <c r="EJ77" s="321"/>
      <c r="EK77" s="321"/>
      <c r="EL77" s="321"/>
      <c r="EM77" s="321"/>
      <c r="EN77" s="321"/>
      <c r="EO77" s="321"/>
      <c r="EP77" s="321"/>
      <c r="EQ77" s="321"/>
      <c r="ER77" s="321"/>
      <c r="ES77" s="321"/>
      <c r="ET77" s="321"/>
      <c r="EU77" s="321"/>
      <c r="EV77" s="321"/>
      <c r="EW77" s="321"/>
      <c r="EX77" s="321"/>
      <c r="EY77" s="321"/>
      <c r="EZ77" s="321"/>
      <c r="FA77" s="321"/>
      <c r="FB77" s="321"/>
      <c r="FC77" s="321"/>
      <c r="FD77" s="321"/>
      <c r="FE77" s="321"/>
      <c r="FF77" s="321"/>
      <c r="FG77" s="321"/>
      <c r="FH77" s="321"/>
      <c r="FI77" s="321"/>
      <c r="FJ77" s="321"/>
      <c r="FK77" s="321"/>
      <c r="FL77" s="321"/>
      <c r="FM77" s="321"/>
      <c r="FN77" s="321"/>
      <c r="FO77" s="321"/>
      <c r="FP77" s="321"/>
      <c r="FQ77" s="321"/>
      <c r="FR77" s="321"/>
      <c r="FS77" s="321"/>
      <c r="FT77" s="321"/>
      <c r="FU77" s="321"/>
      <c r="FV77" s="321"/>
      <c r="FW77" s="321"/>
      <c r="FX77" s="321"/>
      <c r="FY77" s="321"/>
      <c r="FZ77" s="321"/>
      <c r="GA77" s="321"/>
      <c r="GB77" s="321"/>
      <c r="GC77" s="321"/>
      <c r="GD77" s="321"/>
      <c r="GE77" s="321"/>
      <c r="GF77" s="321"/>
      <c r="GG77" s="321"/>
      <c r="GH77" s="321"/>
      <c r="GI77" s="321"/>
      <c r="GJ77" s="321"/>
      <c r="GK77" s="321"/>
      <c r="GL77" s="321"/>
      <c r="GM77" s="321"/>
      <c r="GN77" s="321"/>
      <c r="GO77" s="321"/>
      <c r="GP77" s="321"/>
      <c r="GQ77" s="321"/>
      <c r="GR77" s="321"/>
      <c r="GS77" s="321"/>
      <c r="GT77" s="321"/>
      <c r="GU77" s="321"/>
      <c r="GV77" s="321"/>
      <c r="GW77" s="321"/>
      <c r="GX77" s="321"/>
      <c r="GY77" s="321"/>
      <c r="GZ77" s="321"/>
      <c r="HA77" s="321"/>
      <c r="HB77" s="321"/>
      <c r="HC77" s="321"/>
      <c r="HD77" s="321"/>
      <c r="HE77" s="321"/>
      <c r="HF77" s="321"/>
      <c r="HG77" s="321"/>
      <c r="HH77" s="321"/>
      <c r="HI77" s="321"/>
      <c r="HJ77" s="321"/>
      <c r="HK77" s="321"/>
      <c r="HL77" s="321"/>
      <c r="HM77" s="321"/>
      <c r="HN77" s="321"/>
      <c r="HO77" s="321"/>
      <c r="HP77" s="321"/>
      <c r="HQ77" s="321"/>
      <c r="HR77" s="321"/>
      <c r="HS77" s="321"/>
      <c r="HT77" s="321"/>
      <c r="HU77" s="321"/>
      <c r="HV77" s="321"/>
      <c r="HW77" s="321"/>
      <c r="HX77" s="321"/>
      <c r="HY77" s="321"/>
      <c r="HZ77" s="321"/>
      <c r="IA77" s="321"/>
      <c r="IB77" s="321"/>
      <c r="IC77" s="321"/>
      <c r="ID77" s="321"/>
      <c r="IE77" s="321"/>
      <c r="IF77" s="321"/>
      <c r="IG77" s="321"/>
      <c r="IH77" s="321"/>
      <c r="II77" s="321"/>
      <c r="IJ77" s="321"/>
      <c r="IK77" s="321"/>
      <c r="IL77" s="321"/>
      <c r="IM77" s="321"/>
      <c r="IN77" s="321"/>
      <c r="IO77" s="321"/>
      <c r="IP77" s="321"/>
      <c r="IQ77" s="321"/>
      <c r="IR77" s="321"/>
      <c r="IS77" s="321"/>
      <c r="IT77" s="321"/>
      <c r="IU77" s="321"/>
      <c r="IV77" s="321"/>
    </row>
    <row r="78" spans="1:256" s="546" customFormat="1" ht="19.5" customHeight="1">
      <c r="A78" s="561">
        <v>70</v>
      </c>
      <c r="B78" s="554"/>
      <c r="C78" s="322"/>
      <c r="D78" s="436" t="s">
        <v>994</v>
      </c>
      <c r="E78" s="330">
        <v>10</v>
      </c>
      <c r="F78" s="550"/>
      <c r="G78" s="331"/>
      <c r="H78" s="762"/>
      <c r="I78" s="547"/>
      <c r="J78" s="547"/>
      <c r="K78" s="547"/>
      <c r="L78" s="547"/>
      <c r="M78" s="1131">
        <v>10</v>
      </c>
      <c r="N78" s="547"/>
      <c r="O78" s="555">
        <f>SUM(I78:N78)</f>
        <v>10</v>
      </c>
      <c r="P78" s="551"/>
      <c r="Q78" s="321"/>
      <c r="R78" s="321"/>
      <c r="S78" s="321"/>
      <c r="T78" s="321"/>
      <c r="U78" s="321"/>
      <c r="V78" s="321"/>
      <c r="W78" s="321"/>
      <c r="X78" s="321"/>
      <c r="Y78" s="321"/>
      <c r="Z78" s="321"/>
      <c r="AA78" s="321"/>
      <c r="AB78" s="321"/>
      <c r="AC78" s="321"/>
      <c r="AD78" s="321"/>
      <c r="AE78" s="321"/>
      <c r="AF78" s="321"/>
      <c r="AG78" s="321"/>
      <c r="AH78" s="321"/>
      <c r="AI78" s="321"/>
      <c r="AJ78" s="321"/>
      <c r="AK78" s="321"/>
      <c r="AL78" s="321"/>
      <c r="AM78" s="321"/>
      <c r="AN78" s="321"/>
      <c r="AO78" s="321"/>
      <c r="AP78" s="321"/>
      <c r="AQ78" s="321"/>
      <c r="AR78" s="321"/>
      <c r="AS78" s="321"/>
      <c r="AT78" s="321"/>
      <c r="AU78" s="321"/>
      <c r="AV78" s="321"/>
      <c r="AW78" s="321"/>
      <c r="AX78" s="321"/>
      <c r="AY78" s="321"/>
      <c r="AZ78" s="321"/>
      <c r="BA78" s="321"/>
      <c r="BB78" s="321"/>
      <c r="BC78" s="321"/>
      <c r="BD78" s="321"/>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c r="CC78" s="321"/>
      <c r="CD78" s="321"/>
      <c r="CE78" s="321"/>
      <c r="CF78" s="321"/>
      <c r="CG78" s="321"/>
      <c r="CH78" s="321"/>
      <c r="CI78" s="321"/>
      <c r="CJ78" s="321"/>
      <c r="CK78" s="321"/>
      <c r="CL78" s="321"/>
      <c r="CM78" s="321"/>
      <c r="CN78" s="321"/>
      <c r="CO78" s="321"/>
      <c r="CP78" s="321"/>
      <c r="CQ78" s="321"/>
      <c r="CR78" s="321"/>
      <c r="CS78" s="321"/>
      <c r="CT78" s="321"/>
      <c r="CU78" s="321"/>
      <c r="CV78" s="321"/>
      <c r="CW78" s="321"/>
      <c r="CX78" s="321"/>
      <c r="CY78" s="321"/>
      <c r="CZ78" s="321"/>
      <c r="DA78" s="321"/>
      <c r="DB78" s="321"/>
      <c r="DC78" s="321"/>
      <c r="DD78" s="321"/>
      <c r="DE78" s="321"/>
      <c r="DF78" s="321"/>
      <c r="DG78" s="321"/>
      <c r="DH78" s="321"/>
      <c r="DI78" s="321"/>
      <c r="DJ78" s="321"/>
      <c r="DK78" s="321"/>
      <c r="DL78" s="321"/>
      <c r="DM78" s="321"/>
      <c r="DN78" s="321"/>
      <c r="DO78" s="321"/>
      <c r="DP78" s="321"/>
      <c r="DQ78" s="321"/>
      <c r="DR78" s="321"/>
      <c r="DS78" s="321"/>
      <c r="DT78" s="321"/>
      <c r="DU78" s="321"/>
      <c r="DV78" s="321"/>
      <c r="DW78" s="321"/>
      <c r="DX78" s="321"/>
      <c r="DY78" s="321"/>
      <c r="DZ78" s="321"/>
      <c r="EA78" s="321"/>
      <c r="EB78" s="321"/>
      <c r="EC78" s="321"/>
      <c r="ED78" s="321"/>
      <c r="EE78" s="321"/>
      <c r="EF78" s="321"/>
      <c r="EG78" s="321"/>
      <c r="EH78" s="321"/>
      <c r="EI78" s="321"/>
      <c r="EJ78" s="321"/>
      <c r="EK78" s="321"/>
      <c r="EL78" s="321"/>
      <c r="EM78" s="321"/>
      <c r="EN78" s="321"/>
      <c r="EO78" s="321"/>
      <c r="EP78" s="321"/>
      <c r="EQ78" s="321"/>
      <c r="ER78" s="321"/>
      <c r="ES78" s="321"/>
      <c r="ET78" s="321"/>
      <c r="EU78" s="321"/>
      <c r="EV78" s="321"/>
      <c r="EW78" s="321"/>
      <c r="EX78" s="321"/>
      <c r="EY78" s="321"/>
      <c r="EZ78" s="321"/>
      <c r="FA78" s="321"/>
      <c r="FB78" s="321"/>
      <c r="FC78" s="321"/>
      <c r="FD78" s="321"/>
      <c r="FE78" s="321"/>
      <c r="FF78" s="321"/>
      <c r="FG78" s="321"/>
      <c r="FH78" s="321"/>
      <c r="FI78" s="321"/>
      <c r="FJ78" s="321"/>
      <c r="FK78" s="321"/>
      <c r="FL78" s="321"/>
      <c r="FM78" s="321"/>
      <c r="FN78" s="321"/>
      <c r="FO78" s="321"/>
      <c r="FP78" s="321"/>
      <c r="FQ78" s="321"/>
      <c r="FR78" s="321"/>
      <c r="FS78" s="321"/>
      <c r="FT78" s="321"/>
      <c r="FU78" s="321"/>
      <c r="FV78" s="321"/>
      <c r="FW78" s="321"/>
      <c r="FX78" s="321"/>
      <c r="FY78" s="321"/>
      <c r="FZ78" s="321"/>
      <c r="GA78" s="321"/>
      <c r="GB78" s="321"/>
      <c r="GC78" s="321"/>
      <c r="GD78" s="321"/>
      <c r="GE78" s="321"/>
      <c r="GF78" s="321"/>
      <c r="GG78" s="321"/>
      <c r="GH78" s="321"/>
      <c r="GI78" s="321"/>
      <c r="GJ78" s="321"/>
      <c r="GK78" s="321"/>
      <c r="GL78" s="321"/>
      <c r="GM78" s="321"/>
      <c r="GN78" s="321"/>
      <c r="GO78" s="321"/>
      <c r="GP78" s="321"/>
      <c r="GQ78" s="321"/>
      <c r="GR78" s="321"/>
      <c r="GS78" s="321"/>
      <c r="GT78" s="321"/>
      <c r="GU78" s="321"/>
      <c r="GV78" s="321"/>
      <c r="GW78" s="321"/>
      <c r="GX78" s="321"/>
      <c r="GY78" s="321"/>
      <c r="GZ78" s="321"/>
      <c r="HA78" s="321"/>
      <c r="HB78" s="321"/>
      <c r="HC78" s="321"/>
      <c r="HD78" s="321"/>
      <c r="HE78" s="321"/>
      <c r="HF78" s="321"/>
      <c r="HG78" s="321"/>
      <c r="HH78" s="321"/>
      <c r="HI78" s="321"/>
      <c r="HJ78" s="321"/>
      <c r="HK78" s="321"/>
      <c r="HL78" s="321"/>
      <c r="HM78" s="321"/>
      <c r="HN78" s="321"/>
      <c r="HO78" s="321"/>
      <c r="HP78" s="321"/>
      <c r="HQ78" s="321"/>
      <c r="HR78" s="321"/>
      <c r="HS78" s="321"/>
      <c r="HT78" s="321"/>
      <c r="HU78" s="321"/>
      <c r="HV78" s="321"/>
      <c r="HW78" s="321"/>
      <c r="HX78" s="321"/>
      <c r="HY78" s="321"/>
      <c r="HZ78" s="321"/>
      <c r="IA78" s="321"/>
      <c r="IB78" s="321"/>
      <c r="IC78" s="321"/>
      <c r="ID78" s="321"/>
      <c r="IE78" s="321"/>
      <c r="IF78" s="321"/>
      <c r="IG78" s="321"/>
      <c r="IH78" s="321"/>
      <c r="II78" s="321"/>
      <c r="IJ78" s="321"/>
      <c r="IK78" s="321"/>
      <c r="IL78" s="321"/>
      <c r="IM78" s="321"/>
      <c r="IN78" s="321"/>
      <c r="IO78" s="321"/>
      <c r="IP78" s="321"/>
      <c r="IQ78" s="321"/>
      <c r="IR78" s="321"/>
      <c r="IS78" s="321"/>
      <c r="IT78" s="321"/>
      <c r="IU78" s="321"/>
      <c r="IV78" s="321"/>
    </row>
    <row r="79" spans="1:256" s="546" customFormat="1" ht="18" customHeight="1">
      <c r="A79" s="561">
        <v>71</v>
      </c>
      <c r="B79" s="554"/>
      <c r="C79" s="322"/>
      <c r="D79" s="338" t="s">
        <v>1036</v>
      </c>
      <c r="E79" s="330"/>
      <c r="F79" s="550"/>
      <c r="G79" s="331"/>
      <c r="H79" s="762"/>
      <c r="I79" s="547"/>
      <c r="J79" s="547"/>
      <c r="K79" s="547"/>
      <c r="L79" s="547"/>
      <c r="M79" s="1266">
        <v>10</v>
      </c>
      <c r="N79" s="547"/>
      <c r="O79" s="1175">
        <f>SUM(I79:N79)</f>
        <v>10</v>
      </c>
      <c r="P79" s="551"/>
      <c r="Q79" s="321"/>
      <c r="R79" s="321"/>
      <c r="S79" s="321"/>
      <c r="T79" s="321"/>
      <c r="U79" s="321"/>
      <c r="V79" s="321"/>
      <c r="W79" s="321"/>
      <c r="X79" s="321"/>
      <c r="Y79" s="321"/>
      <c r="Z79" s="321"/>
      <c r="AA79" s="321"/>
      <c r="AB79" s="321"/>
      <c r="AC79" s="321"/>
      <c r="AD79" s="321"/>
      <c r="AE79" s="321"/>
      <c r="AF79" s="321"/>
      <c r="AG79" s="321"/>
      <c r="AH79" s="321"/>
      <c r="AI79" s="321"/>
      <c r="AJ79" s="321"/>
      <c r="AK79" s="321"/>
      <c r="AL79" s="321"/>
      <c r="AM79" s="321"/>
      <c r="AN79" s="321"/>
      <c r="AO79" s="321"/>
      <c r="AP79" s="321"/>
      <c r="AQ79" s="321"/>
      <c r="AR79" s="321"/>
      <c r="AS79" s="321"/>
      <c r="AT79" s="321"/>
      <c r="AU79" s="321"/>
      <c r="AV79" s="321"/>
      <c r="AW79" s="321"/>
      <c r="AX79" s="321"/>
      <c r="AY79" s="321"/>
      <c r="AZ79" s="321"/>
      <c r="BA79" s="321"/>
      <c r="BB79" s="321"/>
      <c r="BC79" s="321"/>
      <c r="BD79" s="321"/>
      <c r="BE79" s="321"/>
      <c r="BF79" s="321"/>
      <c r="BG79" s="321"/>
      <c r="BH79" s="321"/>
      <c r="BI79" s="321"/>
      <c r="BJ79" s="321"/>
      <c r="BK79" s="321"/>
      <c r="BL79" s="321"/>
      <c r="BM79" s="321"/>
      <c r="BN79" s="321"/>
      <c r="BO79" s="321"/>
      <c r="BP79" s="321"/>
      <c r="BQ79" s="321"/>
      <c r="BR79" s="321"/>
      <c r="BS79" s="321"/>
      <c r="BT79" s="321"/>
      <c r="BU79" s="321"/>
      <c r="BV79" s="321"/>
      <c r="BW79" s="321"/>
      <c r="BX79" s="321"/>
      <c r="BY79" s="321"/>
      <c r="BZ79" s="321"/>
      <c r="CA79" s="321"/>
      <c r="CB79" s="321"/>
      <c r="CC79" s="321"/>
      <c r="CD79" s="321"/>
      <c r="CE79" s="321"/>
      <c r="CF79" s="321"/>
      <c r="CG79" s="321"/>
      <c r="CH79" s="321"/>
      <c r="CI79" s="321"/>
      <c r="CJ79" s="321"/>
      <c r="CK79" s="321"/>
      <c r="CL79" s="321"/>
      <c r="CM79" s="321"/>
      <c r="CN79" s="321"/>
      <c r="CO79" s="321"/>
      <c r="CP79" s="321"/>
      <c r="CQ79" s="321"/>
      <c r="CR79" s="321"/>
      <c r="CS79" s="321"/>
      <c r="CT79" s="321"/>
      <c r="CU79" s="321"/>
      <c r="CV79" s="321"/>
      <c r="CW79" s="321"/>
      <c r="CX79" s="321"/>
      <c r="CY79" s="321"/>
      <c r="CZ79" s="321"/>
      <c r="DA79" s="321"/>
      <c r="DB79" s="321"/>
      <c r="DC79" s="321"/>
      <c r="DD79" s="321"/>
      <c r="DE79" s="321"/>
      <c r="DF79" s="321"/>
      <c r="DG79" s="321"/>
      <c r="DH79" s="321"/>
      <c r="DI79" s="321"/>
      <c r="DJ79" s="321"/>
      <c r="DK79" s="321"/>
      <c r="DL79" s="321"/>
      <c r="DM79" s="321"/>
      <c r="DN79" s="321"/>
      <c r="DO79" s="321"/>
      <c r="DP79" s="321"/>
      <c r="DQ79" s="321"/>
      <c r="DR79" s="321"/>
      <c r="DS79" s="321"/>
      <c r="DT79" s="321"/>
      <c r="DU79" s="321"/>
      <c r="DV79" s="321"/>
      <c r="DW79" s="321"/>
      <c r="DX79" s="321"/>
      <c r="DY79" s="321"/>
      <c r="DZ79" s="321"/>
      <c r="EA79" s="321"/>
      <c r="EB79" s="321"/>
      <c r="EC79" s="321"/>
      <c r="ED79" s="321"/>
      <c r="EE79" s="321"/>
      <c r="EF79" s="321"/>
      <c r="EG79" s="321"/>
      <c r="EH79" s="321"/>
      <c r="EI79" s="321"/>
      <c r="EJ79" s="321"/>
      <c r="EK79" s="321"/>
      <c r="EL79" s="321"/>
      <c r="EM79" s="321"/>
      <c r="EN79" s="321"/>
      <c r="EO79" s="321"/>
      <c r="EP79" s="321"/>
      <c r="EQ79" s="321"/>
      <c r="ER79" s="321"/>
      <c r="ES79" s="321"/>
      <c r="ET79" s="321"/>
      <c r="EU79" s="321"/>
      <c r="EV79" s="321"/>
      <c r="EW79" s="321"/>
      <c r="EX79" s="321"/>
      <c r="EY79" s="321"/>
      <c r="EZ79" s="321"/>
      <c r="FA79" s="321"/>
      <c r="FB79" s="321"/>
      <c r="FC79" s="321"/>
      <c r="FD79" s="321"/>
      <c r="FE79" s="321"/>
      <c r="FF79" s="321"/>
      <c r="FG79" s="321"/>
      <c r="FH79" s="321"/>
      <c r="FI79" s="321"/>
      <c r="FJ79" s="321"/>
      <c r="FK79" s="321"/>
      <c r="FL79" s="321"/>
      <c r="FM79" s="321"/>
      <c r="FN79" s="321"/>
      <c r="FO79" s="321"/>
      <c r="FP79" s="321"/>
      <c r="FQ79" s="321"/>
      <c r="FR79" s="321"/>
      <c r="FS79" s="321"/>
      <c r="FT79" s="321"/>
      <c r="FU79" s="321"/>
      <c r="FV79" s="321"/>
      <c r="FW79" s="321"/>
      <c r="FX79" s="321"/>
      <c r="FY79" s="321"/>
      <c r="FZ79" s="321"/>
      <c r="GA79" s="321"/>
      <c r="GB79" s="321"/>
      <c r="GC79" s="321"/>
      <c r="GD79" s="321"/>
      <c r="GE79" s="321"/>
      <c r="GF79" s="321"/>
      <c r="GG79" s="321"/>
      <c r="GH79" s="321"/>
      <c r="GI79" s="321"/>
      <c r="GJ79" s="321"/>
      <c r="GK79" s="321"/>
      <c r="GL79" s="321"/>
      <c r="GM79" s="321"/>
      <c r="GN79" s="321"/>
      <c r="GO79" s="321"/>
      <c r="GP79" s="321"/>
      <c r="GQ79" s="321"/>
      <c r="GR79" s="321"/>
      <c r="GS79" s="321"/>
      <c r="GT79" s="321"/>
      <c r="GU79" s="321"/>
      <c r="GV79" s="321"/>
      <c r="GW79" s="321"/>
      <c r="GX79" s="321"/>
      <c r="GY79" s="321"/>
      <c r="GZ79" s="321"/>
      <c r="HA79" s="321"/>
      <c r="HB79" s="321"/>
      <c r="HC79" s="321"/>
      <c r="HD79" s="321"/>
      <c r="HE79" s="321"/>
      <c r="HF79" s="321"/>
      <c r="HG79" s="321"/>
      <c r="HH79" s="321"/>
      <c r="HI79" s="321"/>
      <c r="HJ79" s="321"/>
      <c r="HK79" s="321"/>
      <c r="HL79" s="321"/>
      <c r="HM79" s="321"/>
      <c r="HN79" s="321"/>
      <c r="HO79" s="321"/>
      <c r="HP79" s="321"/>
      <c r="HQ79" s="321"/>
      <c r="HR79" s="321"/>
      <c r="HS79" s="321"/>
      <c r="HT79" s="321"/>
      <c r="HU79" s="321"/>
      <c r="HV79" s="321"/>
      <c r="HW79" s="321"/>
      <c r="HX79" s="321"/>
      <c r="HY79" s="321"/>
      <c r="HZ79" s="321"/>
      <c r="IA79" s="321"/>
      <c r="IB79" s="321"/>
      <c r="IC79" s="321"/>
      <c r="ID79" s="321"/>
      <c r="IE79" s="321"/>
      <c r="IF79" s="321"/>
      <c r="IG79" s="321"/>
      <c r="IH79" s="321"/>
      <c r="II79" s="321"/>
      <c r="IJ79" s="321"/>
      <c r="IK79" s="321"/>
      <c r="IL79" s="321"/>
      <c r="IM79" s="321"/>
      <c r="IN79" s="321"/>
      <c r="IO79" s="321"/>
      <c r="IP79" s="321"/>
      <c r="IQ79" s="321"/>
      <c r="IR79" s="321"/>
      <c r="IS79" s="321"/>
      <c r="IT79" s="321"/>
      <c r="IU79" s="321"/>
      <c r="IV79" s="321"/>
    </row>
    <row r="80" spans="1:256" s="546" customFormat="1" ht="19.5" customHeight="1">
      <c r="A80" s="561">
        <v>72</v>
      </c>
      <c r="B80" s="554"/>
      <c r="C80" s="322">
        <v>20</v>
      </c>
      <c r="D80" s="2249" t="s">
        <v>1005</v>
      </c>
      <c r="E80" s="2250"/>
      <c r="F80" s="2251"/>
      <c r="G80" s="331"/>
      <c r="H80" s="762"/>
      <c r="I80" s="547"/>
      <c r="J80" s="547"/>
      <c r="K80" s="547"/>
      <c r="L80" s="547"/>
      <c r="M80" s="1266"/>
      <c r="N80" s="547"/>
      <c r="O80" s="555"/>
      <c r="P80" s="551"/>
      <c r="Q80" s="321"/>
      <c r="R80" s="321"/>
      <c r="S80" s="321"/>
      <c r="T80" s="321"/>
      <c r="U80" s="321"/>
      <c r="V80" s="321"/>
      <c r="W80" s="321"/>
      <c r="X80" s="321"/>
      <c r="Y80" s="321"/>
      <c r="Z80" s="321"/>
      <c r="AA80" s="321"/>
      <c r="AB80" s="321"/>
      <c r="AC80" s="321"/>
      <c r="AD80" s="321"/>
      <c r="AE80" s="321"/>
      <c r="AF80" s="321"/>
      <c r="AG80" s="321"/>
      <c r="AH80" s="321"/>
      <c r="AI80" s="321"/>
      <c r="AJ80" s="321"/>
      <c r="AK80" s="321"/>
      <c r="AL80" s="321"/>
      <c r="AM80" s="321"/>
      <c r="AN80" s="321"/>
      <c r="AO80" s="321"/>
      <c r="AP80" s="321"/>
      <c r="AQ80" s="321"/>
      <c r="AR80" s="321"/>
      <c r="AS80" s="321"/>
      <c r="AT80" s="321"/>
      <c r="AU80" s="321"/>
      <c r="AV80" s="321"/>
      <c r="AW80" s="321"/>
      <c r="AX80" s="321"/>
      <c r="AY80" s="321"/>
      <c r="AZ80" s="321"/>
      <c r="BA80" s="321"/>
      <c r="BB80" s="321"/>
      <c r="BC80" s="321"/>
      <c r="BD80" s="321"/>
      <c r="BE80" s="321"/>
      <c r="BF80" s="321"/>
      <c r="BG80" s="321"/>
      <c r="BH80" s="321"/>
      <c r="BI80" s="321"/>
      <c r="BJ80" s="321"/>
      <c r="BK80" s="321"/>
      <c r="BL80" s="321"/>
      <c r="BM80" s="321"/>
      <c r="BN80" s="321"/>
      <c r="BO80" s="321"/>
      <c r="BP80" s="321"/>
      <c r="BQ80" s="321"/>
      <c r="BR80" s="321"/>
      <c r="BS80" s="321"/>
      <c r="BT80" s="321"/>
      <c r="BU80" s="321"/>
      <c r="BV80" s="321"/>
      <c r="BW80" s="321"/>
      <c r="BX80" s="321"/>
      <c r="BY80" s="321"/>
      <c r="BZ80" s="321"/>
      <c r="CA80" s="321"/>
      <c r="CB80" s="321"/>
      <c r="CC80" s="321"/>
      <c r="CD80" s="321"/>
      <c r="CE80" s="321"/>
      <c r="CF80" s="321"/>
      <c r="CG80" s="321"/>
      <c r="CH80" s="321"/>
      <c r="CI80" s="321"/>
      <c r="CJ80" s="321"/>
      <c r="CK80" s="321"/>
      <c r="CL80" s="321"/>
      <c r="CM80" s="321"/>
      <c r="CN80" s="321"/>
      <c r="CO80" s="321"/>
      <c r="CP80" s="321"/>
      <c r="CQ80" s="321"/>
      <c r="CR80" s="321"/>
      <c r="CS80" s="321"/>
      <c r="CT80" s="321"/>
      <c r="CU80" s="321"/>
      <c r="CV80" s="321"/>
      <c r="CW80" s="321"/>
      <c r="CX80" s="321"/>
      <c r="CY80" s="321"/>
      <c r="CZ80" s="321"/>
      <c r="DA80" s="321"/>
      <c r="DB80" s="321"/>
      <c r="DC80" s="321"/>
      <c r="DD80" s="321"/>
      <c r="DE80" s="321"/>
      <c r="DF80" s="321"/>
      <c r="DG80" s="321"/>
      <c r="DH80" s="321"/>
      <c r="DI80" s="321"/>
      <c r="DJ80" s="321"/>
      <c r="DK80" s="321"/>
      <c r="DL80" s="321"/>
      <c r="DM80" s="321"/>
      <c r="DN80" s="321"/>
      <c r="DO80" s="321"/>
      <c r="DP80" s="321"/>
      <c r="DQ80" s="321"/>
      <c r="DR80" s="321"/>
      <c r="DS80" s="321"/>
      <c r="DT80" s="321"/>
      <c r="DU80" s="321"/>
      <c r="DV80" s="321"/>
      <c r="DW80" s="321"/>
      <c r="DX80" s="321"/>
      <c r="DY80" s="321"/>
      <c r="DZ80" s="321"/>
      <c r="EA80" s="321"/>
      <c r="EB80" s="321"/>
      <c r="EC80" s="321"/>
      <c r="ED80" s="321"/>
      <c r="EE80" s="321"/>
      <c r="EF80" s="321"/>
      <c r="EG80" s="321"/>
      <c r="EH80" s="321"/>
      <c r="EI80" s="321"/>
      <c r="EJ80" s="321"/>
      <c r="EK80" s="321"/>
      <c r="EL80" s="321"/>
      <c r="EM80" s="321"/>
      <c r="EN80" s="321"/>
      <c r="EO80" s="321"/>
      <c r="EP80" s="321"/>
      <c r="EQ80" s="321"/>
      <c r="ER80" s="321"/>
      <c r="ES80" s="321"/>
      <c r="ET80" s="321"/>
      <c r="EU80" s="321"/>
      <c r="EV80" s="321"/>
      <c r="EW80" s="321"/>
      <c r="EX80" s="321"/>
      <c r="EY80" s="321"/>
      <c r="EZ80" s="321"/>
      <c r="FA80" s="321"/>
      <c r="FB80" s="321"/>
      <c r="FC80" s="321"/>
      <c r="FD80" s="321"/>
      <c r="FE80" s="321"/>
      <c r="FF80" s="321"/>
      <c r="FG80" s="321"/>
      <c r="FH80" s="321"/>
      <c r="FI80" s="321"/>
      <c r="FJ80" s="321"/>
      <c r="FK80" s="321"/>
      <c r="FL80" s="321"/>
      <c r="FM80" s="321"/>
      <c r="FN80" s="321"/>
      <c r="FO80" s="321"/>
      <c r="FP80" s="321"/>
      <c r="FQ80" s="321"/>
      <c r="FR80" s="321"/>
      <c r="FS80" s="321"/>
      <c r="FT80" s="321"/>
      <c r="FU80" s="321"/>
      <c r="FV80" s="321"/>
      <c r="FW80" s="321"/>
      <c r="FX80" s="321"/>
      <c r="FY80" s="321"/>
      <c r="FZ80" s="321"/>
      <c r="GA80" s="321"/>
      <c r="GB80" s="321"/>
      <c r="GC80" s="321"/>
      <c r="GD80" s="321"/>
      <c r="GE80" s="321"/>
      <c r="GF80" s="321"/>
      <c r="GG80" s="321"/>
      <c r="GH80" s="321"/>
      <c r="GI80" s="321"/>
      <c r="GJ80" s="321"/>
      <c r="GK80" s="321"/>
      <c r="GL80" s="321"/>
      <c r="GM80" s="321"/>
      <c r="GN80" s="321"/>
      <c r="GO80" s="321"/>
      <c r="GP80" s="321"/>
      <c r="GQ80" s="321"/>
      <c r="GR80" s="321"/>
      <c r="GS80" s="321"/>
      <c r="GT80" s="321"/>
      <c r="GU80" s="321"/>
      <c r="GV80" s="321"/>
      <c r="GW80" s="321"/>
      <c r="GX80" s="321"/>
      <c r="GY80" s="321"/>
      <c r="GZ80" s="321"/>
      <c r="HA80" s="321"/>
      <c r="HB80" s="321"/>
      <c r="HC80" s="321"/>
      <c r="HD80" s="321"/>
      <c r="HE80" s="321"/>
      <c r="HF80" s="321"/>
      <c r="HG80" s="321"/>
      <c r="HH80" s="321"/>
      <c r="HI80" s="321"/>
      <c r="HJ80" s="321"/>
      <c r="HK80" s="321"/>
      <c r="HL80" s="321"/>
      <c r="HM80" s="321"/>
      <c r="HN80" s="321"/>
      <c r="HO80" s="321"/>
      <c r="HP80" s="321"/>
      <c r="HQ80" s="321"/>
      <c r="HR80" s="321"/>
      <c r="HS80" s="321"/>
      <c r="HT80" s="321"/>
      <c r="HU80" s="321"/>
      <c r="HV80" s="321"/>
      <c r="HW80" s="321"/>
      <c r="HX80" s="321"/>
      <c r="HY80" s="321"/>
      <c r="HZ80" s="321"/>
      <c r="IA80" s="321"/>
      <c r="IB80" s="321"/>
      <c r="IC80" s="321"/>
      <c r="ID80" s="321"/>
      <c r="IE80" s="321"/>
      <c r="IF80" s="321"/>
      <c r="IG80" s="321"/>
      <c r="IH80" s="321"/>
      <c r="II80" s="321"/>
      <c r="IJ80" s="321"/>
      <c r="IK80" s="321"/>
      <c r="IL80" s="321"/>
      <c r="IM80" s="321"/>
      <c r="IN80" s="321"/>
      <c r="IO80" s="321"/>
      <c r="IP80" s="321"/>
      <c r="IQ80" s="321"/>
      <c r="IR80" s="321"/>
      <c r="IS80" s="321"/>
      <c r="IT80" s="321"/>
      <c r="IU80" s="321"/>
      <c r="IV80" s="321"/>
    </row>
    <row r="81" spans="1:256" s="546" customFormat="1" ht="19.5" customHeight="1">
      <c r="A81" s="561">
        <v>73</v>
      </c>
      <c r="B81" s="554"/>
      <c r="C81" s="322"/>
      <c r="D81" s="436" t="s">
        <v>994</v>
      </c>
      <c r="E81" s="1483">
        <v>117990</v>
      </c>
      <c r="F81" s="1484"/>
      <c r="G81" s="331"/>
      <c r="H81" s="762"/>
      <c r="I81" s="547"/>
      <c r="J81" s="547"/>
      <c r="K81" s="547"/>
      <c r="L81" s="547"/>
      <c r="M81" s="1131">
        <v>117990</v>
      </c>
      <c r="N81" s="547"/>
      <c r="O81" s="555">
        <f>SUM(I81:N81)</f>
        <v>117990</v>
      </c>
      <c r="P81" s="551"/>
      <c r="Q81" s="321"/>
      <c r="R81" s="321"/>
      <c r="S81" s="321"/>
      <c r="T81" s="321"/>
      <c r="U81" s="321"/>
      <c r="V81" s="321"/>
      <c r="W81" s="321"/>
      <c r="X81" s="321"/>
      <c r="Y81" s="321"/>
      <c r="Z81" s="321"/>
      <c r="AA81" s="321"/>
      <c r="AB81" s="321"/>
      <c r="AC81" s="321"/>
      <c r="AD81" s="321"/>
      <c r="AE81" s="321"/>
      <c r="AF81" s="321"/>
      <c r="AG81" s="321"/>
      <c r="AH81" s="321"/>
      <c r="AI81" s="321"/>
      <c r="AJ81" s="321"/>
      <c r="AK81" s="321"/>
      <c r="AL81" s="321"/>
      <c r="AM81" s="321"/>
      <c r="AN81" s="321"/>
      <c r="AO81" s="321"/>
      <c r="AP81" s="321"/>
      <c r="AQ81" s="321"/>
      <c r="AR81" s="321"/>
      <c r="AS81" s="321"/>
      <c r="AT81" s="321"/>
      <c r="AU81" s="321"/>
      <c r="AV81" s="321"/>
      <c r="AW81" s="321"/>
      <c r="AX81" s="321"/>
      <c r="AY81" s="321"/>
      <c r="AZ81" s="321"/>
      <c r="BA81" s="321"/>
      <c r="BB81" s="321"/>
      <c r="BC81" s="321"/>
      <c r="BD81" s="321"/>
      <c r="BE81" s="321"/>
      <c r="BF81" s="321"/>
      <c r="BG81" s="321"/>
      <c r="BH81" s="321"/>
      <c r="BI81" s="321"/>
      <c r="BJ81" s="321"/>
      <c r="BK81" s="321"/>
      <c r="BL81" s="321"/>
      <c r="BM81" s="321"/>
      <c r="BN81" s="321"/>
      <c r="BO81" s="321"/>
      <c r="BP81" s="321"/>
      <c r="BQ81" s="321"/>
      <c r="BR81" s="321"/>
      <c r="BS81" s="321"/>
      <c r="BT81" s="321"/>
      <c r="BU81" s="321"/>
      <c r="BV81" s="321"/>
      <c r="BW81" s="321"/>
      <c r="BX81" s="321"/>
      <c r="BY81" s="321"/>
      <c r="BZ81" s="321"/>
      <c r="CA81" s="321"/>
      <c r="CB81" s="321"/>
      <c r="CC81" s="321"/>
      <c r="CD81" s="321"/>
      <c r="CE81" s="321"/>
      <c r="CF81" s="321"/>
      <c r="CG81" s="321"/>
      <c r="CH81" s="321"/>
      <c r="CI81" s="321"/>
      <c r="CJ81" s="321"/>
      <c r="CK81" s="321"/>
      <c r="CL81" s="321"/>
      <c r="CM81" s="321"/>
      <c r="CN81" s="321"/>
      <c r="CO81" s="321"/>
      <c r="CP81" s="321"/>
      <c r="CQ81" s="321"/>
      <c r="CR81" s="321"/>
      <c r="CS81" s="321"/>
      <c r="CT81" s="321"/>
      <c r="CU81" s="321"/>
      <c r="CV81" s="321"/>
      <c r="CW81" s="321"/>
      <c r="CX81" s="321"/>
      <c r="CY81" s="321"/>
      <c r="CZ81" s="321"/>
      <c r="DA81" s="321"/>
      <c r="DB81" s="321"/>
      <c r="DC81" s="321"/>
      <c r="DD81" s="321"/>
      <c r="DE81" s="321"/>
      <c r="DF81" s="321"/>
      <c r="DG81" s="321"/>
      <c r="DH81" s="321"/>
      <c r="DI81" s="321"/>
      <c r="DJ81" s="321"/>
      <c r="DK81" s="321"/>
      <c r="DL81" s="321"/>
      <c r="DM81" s="321"/>
      <c r="DN81" s="321"/>
      <c r="DO81" s="321"/>
      <c r="DP81" s="321"/>
      <c r="DQ81" s="321"/>
      <c r="DR81" s="321"/>
      <c r="DS81" s="321"/>
      <c r="DT81" s="321"/>
      <c r="DU81" s="321"/>
      <c r="DV81" s="321"/>
      <c r="DW81" s="321"/>
      <c r="DX81" s="321"/>
      <c r="DY81" s="321"/>
      <c r="DZ81" s="321"/>
      <c r="EA81" s="321"/>
      <c r="EB81" s="321"/>
      <c r="EC81" s="321"/>
      <c r="ED81" s="321"/>
      <c r="EE81" s="321"/>
      <c r="EF81" s="321"/>
      <c r="EG81" s="321"/>
      <c r="EH81" s="321"/>
      <c r="EI81" s="321"/>
      <c r="EJ81" s="321"/>
      <c r="EK81" s="321"/>
      <c r="EL81" s="321"/>
      <c r="EM81" s="321"/>
      <c r="EN81" s="321"/>
      <c r="EO81" s="321"/>
      <c r="EP81" s="321"/>
      <c r="EQ81" s="321"/>
      <c r="ER81" s="321"/>
      <c r="ES81" s="321"/>
      <c r="ET81" s="321"/>
      <c r="EU81" s="321"/>
      <c r="EV81" s="321"/>
      <c r="EW81" s="321"/>
      <c r="EX81" s="321"/>
      <c r="EY81" s="321"/>
      <c r="EZ81" s="321"/>
      <c r="FA81" s="321"/>
      <c r="FB81" s="321"/>
      <c r="FC81" s="321"/>
      <c r="FD81" s="321"/>
      <c r="FE81" s="321"/>
      <c r="FF81" s="321"/>
      <c r="FG81" s="321"/>
      <c r="FH81" s="321"/>
      <c r="FI81" s="321"/>
      <c r="FJ81" s="321"/>
      <c r="FK81" s="321"/>
      <c r="FL81" s="321"/>
      <c r="FM81" s="321"/>
      <c r="FN81" s="321"/>
      <c r="FO81" s="321"/>
      <c r="FP81" s="321"/>
      <c r="FQ81" s="321"/>
      <c r="FR81" s="321"/>
      <c r="FS81" s="321"/>
      <c r="FT81" s="321"/>
      <c r="FU81" s="321"/>
      <c r="FV81" s="321"/>
      <c r="FW81" s="321"/>
      <c r="FX81" s="321"/>
      <c r="FY81" s="321"/>
      <c r="FZ81" s="321"/>
      <c r="GA81" s="321"/>
      <c r="GB81" s="321"/>
      <c r="GC81" s="321"/>
      <c r="GD81" s="321"/>
      <c r="GE81" s="321"/>
      <c r="GF81" s="321"/>
      <c r="GG81" s="321"/>
      <c r="GH81" s="321"/>
      <c r="GI81" s="321"/>
      <c r="GJ81" s="321"/>
      <c r="GK81" s="321"/>
      <c r="GL81" s="321"/>
      <c r="GM81" s="321"/>
      <c r="GN81" s="321"/>
      <c r="GO81" s="321"/>
      <c r="GP81" s="321"/>
      <c r="GQ81" s="321"/>
      <c r="GR81" s="321"/>
      <c r="GS81" s="321"/>
      <c r="GT81" s="321"/>
      <c r="GU81" s="321"/>
      <c r="GV81" s="321"/>
      <c r="GW81" s="321"/>
      <c r="GX81" s="321"/>
      <c r="GY81" s="321"/>
      <c r="GZ81" s="321"/>
      <c r="HA81" s="321"/>
      <c r="HB81" s="321"/>
      <c r="HC81" s="321"/>
      <c r="HD81" s="321"/>
      <c r="HE81" s="321"/>
      <c r="HF81" s="321"/>
      <c r="HG81" s="321"/>
      <c r="HH81" s="321"/>
      <c r="HI81" s="321"/>
      <c r="HJ81" s="321"/>
      <c r="HK81" s="321"/>
      <c r="HL81" s="321"/>
      <c r="HM81" s="321"/>
      <c r="HN81" s="321"/>
      <c r="HO81" s="321"/>
      <c r="HP81" s="321"/>
      <c r="HQ81" s="321"/>
      <c r="HR81" s="321"/>
      <c r="HS81" s="321"/>
      <c r="HT81" s="321"/>
      <c r="HU81" s="321"/>
      <c r="HV81" s="321"/>
      <c r="HW81" s="321"/>
      <c r="HX81" s="321"/>
      <c r="HY81" s="321"/>
      <c r="HZ81" s="321"/>
      <c r="IA81" s="321"/>
      <c r="IB81" s="321"/>
      <c r="IC81" s="321"/>
      <c r="ID81" s="321"/>
      <c r="IE81" s="321"/>
      <c r="IF81" s="321"/>
      <c r="IG81" s="321"/>
      <c r="IH81" s="321"/>
      <c r="II81" s="321"/>
      <c r="IJ81" s="321"/>
      <c r="IK81" s="321"/>
      <c r="IL81" s="321"/>
      <c r="IM81" s="321"/>
      <c r="IN81" s="321"/>
      <c r="IO81" s="321"/>
      <c r="IP81" s="321"/>
      <c r="IQ81" s="321"/>
      <c r="IR81" s="321"/>
      <c r="IS81" s="321"/>
      <c r="IT81" s="321"/>
      <c r="IU81" s="321"/>
      <c r="IV81" s="321"/>
    </row>
    <row r="82" spans="1:256" s="546" customFormat="1" ht="18" customHeight="1">
      <c r="A82" s="561">
        <v>74</v>
      </c>
      <c r="B82" s="554"/>
      <c r="C82" s="322"/>
      <c r="D82" s="338" t="s">
        <v>1036</v>
      </c>
      <c r="E82" s="330"/>
      <c r="F82" s="550"/>
      <c r="G82" s="331"/>
      <c r="H82" s="762"/>
      <c r="I82" s="547"/>
      <c r="J82" s="547"/>
      <c r="K82" s="547"/>
      <c r="L82" s="547"/>
      <c r="M82" s="1266">
        <v>117990</v>
      </c>
      <c r="N82" s="547"/>
      <c r="O82" s="1175">
        <f>SUM(I82:N82)</f>
        <v>117990</v>
      </c>
      <c r="P82" s="551"/>
      <c r="Q82" s="321"/>
      <c r="R82" s="321"/>
      <c r="S82" s="321"/>
      <c r="T82" s="321"/>
      <c r="U82" s="321"/>
      <c r="V82" s="321"/>
      <c r="W82" s="321"/>
      <c r="X82" s="321"/>
      <c r="Y82" s="321"/>
      <c r="Z82" s="321"/>
      <c r="AA82" s="321"/>
      <c r="AB82" s="321"/>
      <c r="AC82" s="321"/>
      <c r="AD82" s="321"/>
      <c r="AE82" s="321"/>
      <c r="AF82" s="321"/>
      <c r="AG82" s="321"/>
      <c r="AH82" s="321"/>
      <c r="AI82" s="321"/>
      <c r="AJ82" s="321"/>
      <c r="AK82" s="321"/>
      <c r="AL82" s="321"/>
      <c r="AM82" s="321"/>
      <c r="AN82" s="321"/>
      <c r="AO82" s="321"/>
      <c r="AP82" s="321"/>
      <c r="AQ82" s="321"/>
      <c r="AR82" s="321"/>
      <c r="AS82" s="321"/>
      <c r="AT82" s="321"/>
      <c r="AU82" s="321"/>
      <c r="AV82" s="321"/>
      <c r="AW82" s="321"/>
      <c r="AX82" s="321"/>
      <c r="AY82" s="321"/>
      <c r="AZ82" s="321"/>
      <c r="BA82" s="321"/>
      <c r="BB82" s="321"/>
      <c r="BC82" s="321"/>
      <c r="BD82" s="321"/>
      <c r="BE82" s="321"/>
      <c r="BF82" s="321"/>
      <c r="BG82" s="321"/>
      <c r="BH82" s="321"/>
      <c r="BI82" s="321"/>
      <c r="BJ82" s="321"/>
      <c r="BK82" s="321"/>
      <c r="BL82" s="321"/>
      <c r="BM82" s="321"/>
      <c r="BN82" s="321"/>
      <c r="BO82" s="321"/>
      <c r="BP82" s="321"/>
      <c r="BQ82" s="321"/>
      <c r="BR82" s="321"/>
      <c r="BS82" s="321"/>
      <c r="BT82" s="321"/>
      <c r="BU82" s="321"/>
      <c r="BV82" s="321"/>
      <c r="BW82" s="321"/>
      <c r="BX82" s="321"/>
      <c r="BY82" s="321"/>
      <c r="BZ82" s="321"/>
      <c r="CA82" s="321"/>
      <c r="CB82" s="321"/>
      <c r="CC82" s="321"/>
      <c r="CD82" s="321"/>
      <c r="CE82" s="321"/>
      <c r="CF82" s="321"/>
      <c r="CG82" s="321"/>
      <c r="CH82" s="321"/>
      <c r="CI82" s="321"/>
      <c r="CJ82" s="321"/>
      <c r="CK82" s="321"/>
      <c r="CL82" s="321"/>
      <c r="CM82" s="321"/>
      <c r="CN82" s="321"/>
      <c r="CO82" s="321"/>
      <c r="CP82" s="321"/>
      <c r="CQ82" s="321"/>
      <c r="CR82" s="321"/>
      <c r="CS82" s="321"/>
      <c r="CT82" s="321"/>
      <c r="CU82" s="321"/>
      <c r="CV82" s="321"/>
      <c r="CW82" s="321"/>
      <c r="CX82" s="321"/>
      <c r="CY82" s="321"/>
      <c r="CZ82" s="321"/>
      <c r="DA82" s="321"/>
      <c r="DB82" s="321"/>
      <c r="DC82" s="321"/>
      <c r="DD82" s="321"/>
      <c r="DE82" s="321"/>
      <c r="DF82" s="321"/>
      <c r="DG82" s="321"/>
      <c r="DH82" s="321"/>
      <c r="DI82" s="321"/>
      <c r="DJ82" s="321"/>
      <c r="DK82" s="321"/>
      <c r="DL82" s="321"/>
      <c r="DM82" s="321"/>
      <c r="DN82" s="321"/>
      <c r="DO82" s="321"/>
      <c r="DP82" s="321"/>
      <c r="DQ82" s="321"/>
      <c r="DR82" s="321"/>
      <c r="DS82" s="321"/>
      <c r="DT82" s="321"/>
      <c r="DU82" s="321"/>
      <c r="DV82" s="321"/>
      <c r="DW82" s="321"/>
      <c r="DX82" s="321"/>
      <c r="DY82" s="321"/>
      <c r="DZ82" s="321"/>
      <c r="EA82" s="321"/>
      <c r="EB82" s="321"/>
      <c r="EC82" s="321"/>
      <c r="ED82" s="321"/>
      <c r="EE82" s="321"/>
      <c r="EF82" s="321"/>
      <c r="EG82" s="321"/>
      <c r="EH82" s="321"/>
      <c r="EI82" s="321"/>
      <c r="EJ82" s="321"/>
      <c r="EK82" s="321"/>
      <c r="EL82" s="321"/>
      <c r="EM82" s="321"/>
      <c r="EN82" s="321"/>
      <c r="EO82" s="321"/>
      <c r="EP82" s="321"/>
      <c r="EQ82" s="321"/>
      <c r="ER82" s="321"/>
      <c r="ES82" s="321"/>
      <c r="ET82" s="321"/>
      <c r="EU82" s="321"/>
      <c r="EV82" s="321"/>
      <c r="EW82" s="321"/>
      <c r="EX82" s="321"/>
      <c r="EY82" s="321"/>
      <c r="EZ82" s="321"/>
      <c r="FA82" s="321"/>
      <c r="FB82" s="321"/>
      <c r="FC82" s="321"/>
      <c r="FD82" s="321"/>
      <c r="FE82" s="321"/>
      <c r="FF82" s="321"/>
      <c r="FG82" s="321"/>
      <c r="FH82" s="321"/>
      <c r="FI82" s="321"/>
      <c r="FJ82" s="321"/>
      <c r="FK82" s="321"/>
      <c r="FL82" s="321"/>
      <c r="FM82" s="321"/>
      <c r="FN82" s="321"/>
      <c r="FO82" s="321"/>
      <c r="FP82" s="321"/>
      <c r="FQ82" s="321"/>
      <c r="FR82" s="321"/>
      <c r="FS82" s="321"/>
      <c r="FT82" s="321"/>
      <c r="FU82" s="321"/>
      <c r="FV82" s="321"/>
      <c r="FW82" s="321"/>
      <c r="FX82" s="321"/>
      <c r="FY82" s="321"/>
      <c r="FZ82" s="321"/>
      <c r="GA82" s="321"/>
      <c r="GB82" s="321"/>
      <c r="GC82" s="321"/>
      <c r="GD82" s="321"/>
      <c r="GE82" s="321"/>
      <c r="GF82" s="321"/>
      <c r="GG82" s="321"/>
      <c r="GH82" s="321"/>
      <c r="GI82" s="321"/>
      <c r="GJ82" s="321"/>
      <c r="GK82" s="321"/>
      <c r="GL82" s="321"/>
      <c r="GM82" s="321"/>
      <c r="GN82" s="321"/>
      <c r="GO82" s="321"/>
      <c r="GP82" s="321"/>
      <c r="GQ82" s="321"/>
      <c r="GR82" s="321"/>
      <c r="GS82" s="321"/>
      <c r="GT82" s="321"/>
      <c r="GU82" s="321"/>
      <c r="GV82" s="321"/>
      <c r="GW82" s="321"/>
      <c r="GX82" s="321"/>
      <c r="GY82" s="321"/>
      <c r="GZ82" s="321"/>
      <c r="HA82" s="321"/>
      <c r="HB82" s="321"/>
      <c r="HC82" s="321"/>
      <c r="HD82" s="321"/>
      <c r="HE82" s="321"/>
      <c r="HF82" s="321"/>
      <c r="HG82" s="321"/>
      <c r="HH82" s="321"/>
      <c r="HI82" s="321"/>
      <c r="HJ82" s="321"/>
      <c r="HK82" s="321"/>
      <c r="HL82" s="321"/>
      <c r="HM82" s="321"/>
      <c r="HN82" s="321"/>
      <c r="HO82" s="321"/>
      <c r="HP82" s="321"/>
      <c r="HQ82" s="321"/>
      <c r="HR82" s="321"/>
      <c r="HS82" s="321"/>
      <c r="HT82" s="321"/>
      <c r="HU82" s="321"/>
      <c r="HV82" s="321"/>
      <c r="HW82" s="321"/>
      <c r="HX82" s="321"/>
      <c r="HY82" s="321"/>
      <c r="HZ82" s="321"/>
      <c r="IA82" s="321"/>
      <c r="IB82" s="321"/>
      <c r="IC82" s="321"/>
      <c r="ID82" s="321"/>
      <c r="IE82" s="321"/>
      <c r="IF82" s="321"/>
      <c r="IG82" s="321"/>
      <c r="IH82" s="321"/>
      <c r="II82" s="321"/>
      <c r="IJ82" s="321"/>
      <c r="IK82" s="321"/>
      <c r="IL82" s="321"/>
      <c r="IM82" s="321"/>
      <c r="IN82" s="321"/>
      <c r="IO82" s="321"/>
      <c r="IP82" s="321"/>
      <c r="IQ82" s="321"/>
      <c r="IR82" s="321"/>
      <c r="IS82" s="321"/>
      <c r="IT82" s="321"/>
      <c r="IU82" s="321"/>
      <c r="IV82" s="321"/>
    </row>
    <row r="83" spans="1:256" s="546" customFormat="1" ht="24" customHeight="1">
      <c r="A83" s="561">
        <v>75</v>
      </c>
      <c r="B83" s="554"/>
      <c r="C83" s="322"/>
      <c r="D83" s="2246" t="s">
        <v>1006</v>
      </c>
      <c r="E83" s="2247"/>
      <c r="F83" s="2248"/>
      <c r="G83" s="331"/>
      <c r="H83" s="762"/>
      <c r="I83" s="547"/>
      <c r="J83" s="547"/>
      <c r="K83" s="547"/>
      <c r="L83" s="547"/>
      <c r="M83" s="1266"/>
      <c r="N83" s="547"/>
      <c r="O83" s="555"/>
      <c r="P83" s="551"/>
      <c r="Q83" s="321"/>
      <c r="R83" s="321"/>
      <c r="S83" s="321"/>
      <c r="T83" s="321"/>
      <c r="U83" s="321"/>
      <c r="V83" s="321"/>
      <c r="W83" s="321"/>
      <c r="X83" s="321"/>
      <c r="Y83" s="321"/>
      <c r="Z83" s="321"/>
      <c r="AA83" s="321"/>
      <c r="AB83" s="321"/>
      <c r="AC83" s="321"/>
      <c r="AD83" s="321"/>
      <c r="AE83" s="321"/>
      <c r="AF83" s="321"/>
      <c r="AG83" s="321"/>
      <c r="AH83" s="321"/>
      <c r="AI83" s="321"/>
      <c r="AJ83" s="321"/>
      <c r="AK83" s="321"/>
      <c r="AL83" s="321"/>
      <c r="AM83" s="321"/>
      <c r="AN83" s="321"/>
      <c r="AO83" s="321"/>
      <c r="AP83" s="321"/>
      <c r="AQ83" s="321"/>
      <c r="AR83" s="321"/>
      <c r="AS83" s="321"/>
      <c r="AT83" s="321"/>
      <c r="AU83" s="321"/>
      <c r="AV83" s="321"/>
      <c r="AW83" s="321"/>
      <c r="AX83" s="321"/>
      <c r="AY83" s="321"/>
      <c r="AZ83" s="321"/>
      <c r="BA83" s="321"/>
      <c r="BB83" s="321"/>
      <c r="BC83" s="321"/>
      <c r="BD83" s="321"/>
      <c r="BE83" s="321"/>
      <c r="BF83" s="321"/>
      <c r="BG83" s="321"/>
      <c r="BH83" s="321"/>
      <c r="BI83" s="321"/>
      <c r="BJ83" s="321"/>
      <c r="BK83" s="321"/>
      <c r="BL83" s="321"/>
      <c r="BM83" s="321"/>
      <c r="BN83" s="321"/>
      <c r="BO83" s="321"/>
      <c r="BP83" s="321"/>
      <c r="BQ83" s="321"/>
      <c r="BR83" s="321"/>
      <c r="BS83" s="321"/>
      <c r="BT83" s="321"/>
      <c r="BU83" s="321"/>
      <c r="BV83" s="321"/>
      <c r="BW83" s="321"/>
      <c r="BX83" s="321"/>
      <c r="BY83" s="321"/>
      <c r="BZ83" s="321"/>
      <c r="CA83" s="321"/>
      <c r="CB83" s="321"/>
      <c r="CC83" s="321"/>
      <c r="CD83" s="321"/>
      <c r="CE83" s="321"/>
      <c r="CF83" s="321"/>
      <c r="CG83" s="321"/>
      <c r="CH83" s="321"/>
      <c r="CI83" s="321"/>
      <c r="CJ83" s="321"/>
      <c r="CK83" s="321"/>
      <c r="CL83" s="321"/>
      <c r="CM83" s="321"/>
      <c r="CN83" s="321"/>
      <c r="CO83" s="321"/>
      <c r="CP83" s="321"/>
      <c r="CQ83" s="321"/>
      <c r="CR83" s="321"/>
      <c r="CS83" s="321"/>
      <c r="CT83" s="321"/>
      <c r="CU83" s="321"/>
      <c r="CV83" s="321"/>
      <c r="CW83" s="321"/>
      <c r="CX83" s="321"/>
      <c r="CY83" s="321"/>
      <c r="CZ83" s="321"/>
      <c r="DA83" s="321"/>
      <c r="DB83" s="321"/>
      <c r="DC83" s="321"/>
      <c r="DD83" s="321"/>
      <c r="DE83" s="321"/>
      <c r="DF83" s="321"/>
      <c r="DG83" s="321"/>
      <c r="DH83" s="321"/>
      <c r="DI83" s="321"/>
      <c r="DJ83" s="321"/>
      <c r="DK83" s="321"/>
      <c r="DL83" s="321"/>
      <c r="DM83" s="321"/>
      <c r="DN83" s="321"/>
      <c r="DO83" s="321"/>
      <c r="DP83" s="321"/>
      <c r="DQ83" s="321"/>
      <c r="DR83" s="321"/>
      <c r="DS83" s="321"/>
      <c r="DT83" s="321"/>
      <c r="DU83" s="321"/>
      <c r="DV83" s="321"/>
      <c r="DW83" s="321"/>
      <c r="DX83" s="321"/>
      <c r="DY83" s="321"/>
      <c r="DZ83" s="321"/>
      <c r="EA83" s="321"/>
      <c r="EB83" s="321"/>
      <c r="EC83" s="321"/>
      <c r="ED83" s="321"/>
      <c r="EE83" s="321"/>
      <c r="EF83" s="321"/>
      <c r="EG83" s="321"/>
      <c r="EH83" s="321"/>
      <c r="EI83" s="321"/>
      <c r="EJ83" s="321"/>
      <c r="EK83" s="321"/>
      <c r="EL83" s="321"/>
      <c r="EM83" s="321"/>
      <c r="EN83" s="321"/>
      <c r="EO83" s="321"/>
      <c r="EP83" s="321"/>
      <c r="EQ83" s="321"/>
      <c r="ER83" s="321"/>
      <c r="ES83" s="321"/>
      <c r="ET83" s="321"/>
      <c r="EU83" s="321"/>
      <c r="EV83" s="321"/>
      <c r="EW83" s="321"/>
      <c r="EX83" s="321"/>
      <c r="EY83" s="321"/>
      <c r="EZ83" s="321"/>
      <c r="FA83" s="321"/>
      <c r="FB83" s="321"/>
      <c r="FC83" s="321"/>
      <c r="FD83" s="321"/>
      <c r="FE83" s="321"/>
      <c r="FF83" s="321"/>
      <c r="FG83" s="321"/>
      <c r="FH83" s="321"/>
      <c r="FI83" s="321"/>
      <c r="FJ83" s="321"/>
      <c r="FK83" s="321"/>
      <c r="FL83" s="321"/>
      <c r="FM83" s="321"/>
      <c r="FN83" s="321"/>
      <c r="FO83" s="321"/>
      <c r="FP83" s="321"/>
      <c r="FQ83" s="321"/>
      <c r="FR83" s="321"/>
      <c r="FS83" s="321"/>
      <c r="FT83" s="321"/>
      <c r="FU83" s="321"/>
      <c r="FV83" s="321"/>
      <c r="FW83" s="321"/>
      <c r="FX83" s="321"/>
      <c r="FY83" s="321"/>
      <c r="FZ83" s="321"/>
      <c r="GA83" s="321"/>
      <c r="GB83" s="321"/>
      <c r="GC83" s="321"/>
      <c r="GD83" s="321"/>
      <c r="GE83" s="321"/>
      <c r="GF83" s="321"/>
      <c r="GG83" s="321"/>
      <c r="GH83" s="321"/>
      <c r="GI83" s="321"/>
      <c r="GJ83" s="321"/>
      <c r="GK83" s="321"/>
      <c r="GL83" s="321"/>
      <c r="GM83" s="321"/>
      <c r="GN83" s="321"/>
      <c r="GO83" s="321"/>
      <c r="GP83" s="321"/>
      <c r="GQ83" s="321"/>
      <c r="GR83" s="321"/>
      <c r="GS83" s="321"/>
      <c r="GT83" s="321"/>
      <c r="GU83" s="321"/>
      <c r="GV83" s="321"/>
      <c r="GW83" s="321"/>
      <c r="GX83" s="321"/>
      <c r="GY83" s="321"/>
      <c r="GZ83" s="321"/>
      <c r="HA83" s="321"/>
      <c r="HB83" s="321"/>
      <c r="HC83" s="321"/>
      <c r="HD83" s="321"/>
      <c r="HE83" s="321"/>
      <c r="HF83" s="321"/>
      <c r="HG83" s="321"/>
      <c r="HH83" s="321"/>
      <c r="HI83" s="321"/>
      <c r="HJ83" s="321"/>
      <c r="HK83" s="321"/>
      <c r="HL83" s="321"/>
      <c r="HM83" s="321"/>
      <c r="HN83" s="321"/>
      <c r="HO83" s="321"/>
      <c r="HP83" s="321"/>
      <c r="HQ83" s="321"/>
      <c r="HR83" s="321"/>
      <c r="HS83" s="321"/>
      <c r="HT83" s="321"/>
      <c r="HU83" s="321"/>
      <c r="HV83" s="321"/>
      <c r="HW83" s="321"/>
      <c r="HX83" s="321"/>
      <c r="HY83" s="321"/>
      <c r="HZ83" s="321"/>
      <c r="IA83" s="321"/>
      <c r="IB83" s="321"/>
      <c r="IC83" s="321"/>
      <c r="ID83" s="321"/>
      <c r="IE83" s="321"/>
      <c r="IF83" s="321"/>
      <c r="IG83" s="321"/>
      <c r="IH83" s="321"/>
      <c r="II83" s="321"/>
      <c r="IJ83" s="321"/>
      <c r="IK83" s="321"/>
      <c r="IL83" s="321"/>
      <c r="IM83" s="321"/>
      <c r="IN83" s="321"/>
      <c r="IO83" s="321"/>
      <c r="IP83" s="321"/>
      <c r="IQ83" s="321"/>
      <c r="IR83" s="321"/>
      <c r="IS83" s="321"/>
      <c r="IT83" s="321"/>
      <c r="IU83" s="321"/>
      <c r="IV83" s="321"/>
    </row>
    <row r="84" spans="1:256" s="546" customFormat="1" ht="18" customHeight="1">
      <c r="A84" s="561">
        <v>76</v>
      </c>
      <c r="B84" s="554"/>
      <c r="C84" s="322">
        <v>21</v>
      </c>
      <c r="D84" s="1464" t="s">
        <v>1007</v>
      </c>
      <c r="E84" s="328"/>
      <c r="F84" s="326"/>
      <c r="G84" s="331"/>
      <c r="H84" s="762"/>
      <c r="I84" s="547"/>
      <c r="J84" s="547"/>
      <c r="K84" s="547"/>
      <c r="L84" s="547"/>
      <c r="M84" s="1266"/>
      <c r="N84" s="547"/>
      <c r="O84" s="1241"/>
      <c r="P84" s="551"/>
      <c r="Q84" s="321"/>
      <c r="R84" s="321"/>
      <c r="S84" s="321"/>
      <c r="T84" s="321"/>
      <c r="U84" s="321"/>
      <c r="V84" s="321"/>
      <c r="W84" s="321"/>
      <c r="X84" s="321"/>
      <c r="Y84" s="321"/>
      <c r="Z84" s="321"/>
      <c r="AA84" s="321"/>
      <c r="AB84" s="321"/>
      <c r="AC84" s="321"/>
      <c r="AD84" s="321"/>
      <c r="AE84" s="321"/>
      <c r="AF84" s="321"/>
      <c r="AG84" s="321"/>
      <c r="AH84" s="321"/>
      <c r="AI84" s="321"/>
      <c r="AJ84" s="321"/>
      <c r="AK84" s="321"/>
      <c r="AL84" s="321"/>
      <c r="AM84" s="321"/>
      <c r="AN84" s="321"/>
      <c r="AO84" s="321"/>
      <c r="AP84" s="321"/>
      <c r="AQ84" s="321"/>
      <c r="AR84" s="321"/>
      <c r="AS84" s="321"/>
      <c r="AT84" s="321"/>
      <c r="AU84" s="321"/>
      <c r="AV84" s="321"/>
      <c r="AW84" s="321"/>
      <c r="AX84" s="321"/>
      <c r="AY84" s="321"/>
      <c r="AZ84" s="321"/>
      <c r="BA84" s="321"/>
      <c r="BB84" s="321"/>
      <c r="BC84" s="321"/>
      <c r="BD84" s="321"/>
      <c r="BE84" s="321"/>
      <c r="BF84" s="321"/>
      <c r="BG84" s="321"/>
      <c r="BH84" s="321"/>
      <c r="BI84" s="321"/>
      <c r="BJ84" s="321"/>
      <c r="BK84" s="321"/>
      <c r="BL84" s="321"/>
      <c r="BM84" s="321"/>
      <c r="BN84" s="321"/>
      <c r="BO84" s="321"/>
      <c r="BP84" s="321"/>
      <c r="BQ84" s="321"/>
      <c r="BR84" s="321"/>
      <c r="BS84" s="321"/>
      <c r="BT84" s="321"/>
      <c r="BU84" s="321"/>
      <c r="BV84" s="321"/>
      <c r="BW84" s="321"/>
      <c r="BX84" s="321"/>
      <c r="BY84" s="321"/>
      <c r="BZ84" s="321"/>
      <c r="CA84" s="321"/>
      <c r="CB84" s="321"/>
      <c r="CC84" s="321"/>
      <c r="CD84" s="321"/>
      <c r="CE84" s="321"/>
      <c r="CF84" s="321"/>
      <c r="CG84" s="321"/>
      <c r="CH84" s="321"/>
      <c r="CI84" s="321"/>
      <c r="CJ84" s="321"/>
      <c r="CK84" s="321"/>
      <c r="CL84" s="321"/>
      <c r="CM84" s="321"/>
      <c r="CN84" s="321"/>
      <c r="CO84" s="321"/>
      <c r="CP84" s="321"/>
      <c r="CQ84" s="321"/>
      <c r="CR84" s="321"/>
      <c r="CS84" s="321"/>
      <c r="CT84" s="321"/>
      <c r="CU84" s="321"/>
      <c r="CV84" s="321"/>
      <c r="CW84" s="321"/>
      <c r="CX84" s="321"/>
      <c r="CY84" s="321"/>
      <c r="CZ84" s="321"/>
      <c r="DA84" s="321"/>
      <c r="DB84" s="321"/>
      <c r="DC84" s="321"/>
      <c r="DD84" s="321"/>
      <c r="DE84" s="321"/>
      <c r="DF84" s="321"/>
      <c r="DG84" s="321"/>
      <c r="DH84" s="321"/>
      <c r="DI84" s="321"/>
      <c r="DJ84" s="321"/>
      <c r="DK84" s="321"/>
      <c r="DL84" s="321"/>
      <c r="DM84" s="321"/>
      <c r="DN84" s="321"/>
      <c r="DO84" s="321"/>
      <c r="DP84" s="321"/>
      <c r="DQ84" s="321"/>
      <c r="DR84" s="321"/>
      <c r="DS84" s="321"/>
      <c r="DT84" s="321"/>
      <c r="DU84" s="321"/>
      <c r="DV84" s="321"/>
      <c r="DW84" s="321"/>
      <c r="DX84" s="321"/>
      <c r="DY84" s="321"/>
      <c r="DZ84" s="321"/>
      <c r="EA84" s="321"/>
      <c r="EB84" s="321"/>
      <c r="EC84" s="321"/>
      <c r="ED84" s="321"/>
      <c r="EE84" s="321"/>
      <c r="EF84" s="321"/>
      <c r="EG84" s="321"/>
      <c r="EH84" s="321"/>
      <c r="EI84" s="321"/>
      <c r="EJ84" s="321"/>
      <c r="EK84" s="321"/>
      <c r="EL84" s="321"/>
      <c r="EM84" s="321"/>
      <c r="EN84" s="321"/>
      <c r="EO84" s="321"/>
      <c r="EP84" s="321"/>
      <c r="EQ84" s="321"/>
      <c r="ER84" s="321"/>
      <c r="ES84" s="321"/>
      <c r="ET84" s="321"/>
      <c r="EU84" s="321"/>
      <c r="EV84" s="321"/>
      <c r="EW84" s="321"/>
      <c r="EX84" s="321"/>
      <c r="EY84" s="321"/>
      <c r="EZ84" s="321"/>
      <c r="FA84" s="321"/>
      <c r="FB84" s="321"/>
      <c r="FC84" s="321"/>
      <c r="FD84" s="321"/>
      <c r="FE84" s="321"/>
      <c r="FF84" s="321"/>
      <c r="FG84" s="321"/>
      <c r="FH84" s="321"/>
      <c r="FI84" s="321"/>
      <c r="FJ84" s="321"/>
      <c r="FK84" s="321"/>
      <c r="FL84" s="321"/>
      <c r="FM84" s="321"/>
      <c r="FN84" s="321"/>
      <c r="FO84" s="321"/>
      <c r="FP84" s="321"/>
      <c r="FQ84" s="321"/>
      <c r="FR84" s="321"/>
      <c r="FS84" s="321"/>
      <c r="FT84" s="321"/>
      <c r="FU84" s="321"/>
      <c r="FV84" s="321"/>
      <c r="FW84" s="321"/>
      <c r="FX84" s="321"/>
      <c r="FY84" s="321"/>
      <c r="FZ84" s="321"/>
      <c r="GA84" s="321"/>
      <c r="GB84" s="321"/>
      <c r="GC84" s="321"/>
      <c r="GD84" s="321"/>
      <c r="GE84" s="321"/>
      <c r="GF84" s="321"/>
      <c r="GG84" s="321"/>
      <c r="GH84" s="321"/>
      <c r="GI84" s="321"/>
      <c r="GJ84" s="321"/>
      <c r="GK84" s="321"/>
      <c r="GL84" s="321"/>
      <c r="GM84" s="321"/>
      <c r="GN84" s="321"/>
      <c r="GO84" s="321"/>
      <c r="GP84" s="321"/>
      <c r="GQ84" s="321"/>
      <c r="GR84" s="321"/>
      <c r="GS84" s="321"/>
      <c r="GT84" s="321"/>
      <c r="GU84" s="321"/>
      <c r="GV84" s="321"/>
      <c r="GW84" s="321"/>
      <c r="GX84" s="321"/>
      <c r="GY84" s="321"/>
      <c r="GZ84" s="321"/>
      <c r="HA84" s="321"/>
      <c r="HB84" s="321"/>
      <c r="HC84" s="321"/>
      <c r="HD84" s="321"/>
      <c r="HE84" s="321"/>
      <c r="HF84" s="321"/>
      <c r="HG84" s="321"/>
      <c r="HH84" s="321"/>
      <c r="HI84" s="321"/>
      <c r="HJ84" s="321"/>
      <c r="HK84" s="321"/>
      <c r="HL84" s="321"/>
      <c r="HM84" s="321"/>
      <c r="HN84" s="321"/>
      <c r="HO84" s="321"/>
      <c r="HP84" s="321"/>
      <c r="HQ84" s="321"/>
      <c r="HR84" s="321"/>
      <c r="HS84" s="321"/>
      <c r="HT84" s="321"/>
      <c r="HU84" s="321"/>
      <c r="HV84" s="321"/>
      <c r="HW84" s="321"/>
      <c r="HX84" s="321"/>
      <c r="HY84" s="321"/>
      <c r="HZ84" s="321"/>
      <c r="IA84" s="321"/>
      <c r="IB84" s="321"/>
      <c r="IC84" s="321"/>
      <c r="ID84" s="321"/>
      <c r="IE84" s="321"/>
      <c r="IF84" s="321"/>
      <c r="IG84" s="321"/>
      <c r="IH84" s="321"/>
      <c r="II84" s="321"/>
      <c r="IJ84" s="321"/>
      <c r="IK84" s="321"/>
      <c r="IL84" s="321"/>
      <c r="IM84" s="321"/>
      <c r="IN84" s="321"/>
      <c r="IO84" s="321"/>
      <c r="IP84" s="321"/>
      <c r="IQ84" s="321"/>
      <c r="IR84" s="321"/>
      <c r="IS84" s="321"/>
      <c r="IT84" s="321"/>
      <c r="IU84" s="321"/>
      <c r="IV84" s="321"/>
    </row>
    <row r="85" spans="1:256" s="546" customFormat="1" ht="18" customHeight="1">
      <c r="A85" s="561">
        <v>77</v>
      </c>
      <c r="B85" s="554"/>
      <c r="C85" s="322"/>
      <c r="D85" s="437" t="s">
        <v>994</v>
      </c>
      <c r="E85" s="328">
        <v>100</v>
      </c>
      <c r="F85" s="326"/>
      <c r="G85" s="331"/>
      <c r="H85" s="762"/>
      <c r="I85" s="547"/>
      <c r="J85" s="547"/>
      <c r="K85" s="547"/>
      <c r="L85" s="547"/>
      <c r="M85" s="1131">
        <v>100</v>
      </c>
      <c r="N85" s="547"/>
      <c r="O85" s="555">
        <f>SUM(I85:N85)</f>
        <v>100</v>
      </c>
      <c r="P85" s="551"/>
      <c r="Q85" s="321"/>
      <c r="R85" s="321"/>
      <c r="S85" s="321"/>
      <c r="T85" s="321"/>
      <c r="U85" s="321"/>
      <c r="V85" s="321"/>
      <c r="W85" s="321"/>
      <c r="X85" s="321"/>
      <c r="Y85" s="321"/>
      <c r="Z85" s="321"/>
      <c r="AA85" s="321"/>
      <c r="AB85" s="321"/>
      <c r="AC85" s="321"/>
      <c r="AD85" s="321"/>
      <c r="AE85" s="321"/>
      <c r="AF85" s="321"/>
      <c r="AG85" s="321"/>
      <c r="AH85" s="321"/>
      <c r="AI85" s="321"/>
      <c r="AJ85" s="321"/>
      <c r="AK85" s="321"/>
      <c r="AL85" s="321"/>
      <c r="AM85" s="321"/>
      <c r="AN85" s="321"/>
      <c r="AO85" s="321"/>
      <c r="AP85" s="321"/>
      <c r="AQ85" s="321"/>
      <c r="AR85" s="321"/>
      <c r="AS85" s="321"/>
      <c r="AT85" s="321"/>
      <c r="AU85" s="321"/>
      <c r="AV85" s="321"/>
      <c r="AW85" s="321"/>
      <c r="AX85" s="321"/>
      <c r="AY85" s="321"/>
      <c r="AZ85" s="321"/>
      <c r="BA85" s="321"/>
      <c r="BB85" s="321"/>
      <c r="BC85" s="321"/>
      <c r="BD85" s="321"/>
      <c r="BE85" s="321"/>
      <c r="BF85" s="321"/>
      <c r="BG85" s="321"/>
      <c r="BH85" s="321"/>
      <c r="BI85" s="321"/>
      <c r="BJ85" s="321"/>
      <c r="BK85" s="321"/>
      <c r="BL85" s="321"/>
      <c r="BM85" s="321"/>
      <c r="BN85" s="321"/>
      <c r="BO85" s="321"/>
      <c r="BP85" s="321"/>
      <c r="BQ85" s="321"/>
      <c r="BR85" s="321"/>
      <c r="BS85" s="321"/>
      <c r="BT85" s="321"/>
      <c r="BU85" s="321"/>
      <c r="BV85" s="321"/>
      <c r="BW85" s="321"/>
      <c r="BX85" s="321"/>
      <c r="BY85" s="321"/>
      <c r="BZ85" s="321"/>
      <c r="CA85" s="321"/>
      <c r="CB85" s="321"/>
      <c r="CC85" s="321"/>
      <c r="CD85" s="321"/>
      <c r="CE85" s="321"/>
      <c r="CF85" s="321"/>
      <c r="CG85" s="321"/>
      <c r="CH85" s="321"/>
      <c r="CI85" s="321"/>
      <c r="CJ85" s="321"/>
      <c r="CK85" s="321"/>
      <c r="CL85" s="321"/>
      <c r="CM85" s="321"/>
      <c r="CN85" s="321"/>
      <c r="CO85" s="321"/>
      <c r="CP85" s="321"/>
      <c r="CQ85" s="321"/>
      <c r="CR85" s="321"/>
      <c r="CS85" s="321"/>
      <c r="CT85" s="321"/>
      <c r="CU85" s="321"/>
      <c r="CV85" s="321"/>
      <c r="CW85" s="321"/>
      <c r="CX85" s="321"/>
      <c r="CY85" s="321"/>
      <c r="CZ85" s="321"/>
      <c r="DA85" s="321"/>
      <c r="DB85" s="321"/>
      <c r="DC85" s="321"/>
      <c r="DD85" s="321"/>
      <c r="DE85" s="321"/>
      <c r="DF85" s="321"/>
      <c r="DG85" s="321"/>
      <c r="DH85" s="321"/>
      <c r="DI85" s="321"/>
      <c r="DJ85" s="321"/>
      <c r="DK85" s="321"/>
      <c r="DL85" s="321"/>
      <c r="DM85" s="321"/>
      <c r="DN85" s="321"/>
      <c r="DO85" s="321"/>
      <c r="DP85" s="321"/>
      <c r="DQ85" s="321"/>
      <c r="DR85" s="321"/>
      <c r="DS85" s="321"/>
      <c r="DT85" s="321"/>
      <c r="DU85" s="321"/>
      <c r="DV85" s="321"/>
      <c r="DW85" s="321"/>
      <c r="DX85" s="321"/>
      <c r="DY85" s="321"/>
      <c r="DZ85" s="321"/>
      <c r="EA85" s="321"/>
      <c r="EB85" s="321"/>
      <c r="EC85" s="321"/>
      <c r="ED85" s="321"/>
      <c r="EE85" s="321"/>
      <c r="EF85" s="321"/>
      <c r="EG85" s="321"/>
      <c r="EH85" s="321"/>
      <c r="EI85" s="321"/>
      <c r="EJ85" s="321"/>
      <c r="EK85" s="321"/>
      <c r="EL85" s="321"/>
      <c r="EM85" s="321"/>
      <c r="EN85" s="321"/>
      <c r="EO85" s="321"/>
      <c r="EP85" s="321"/>
      <c r="EQ85" s="321"/>
      <c r="ER85" s="321"/>
      <c r="ES85" s="321"/>
      <c r="ET85" s="321"/>
      <c r="EU85" s="321"/>
      <c r="EV85" s="321"/>
      <c r="EW85" s="321"/>
      <c r="EX85" s="321"/>
      <c r="EY85" s="321"/>
      <c r="EZ85" s="321"/>
      <c r="FA85" s="321"/>
      <c r="FB85" s="321"/>
      <c r="FC85" s="321"/>
      <c r="FD85" s="321"/>
      <c r="FE85" s="321"/>
      <c r="FF85" s="321"/>
      <c r="FG85" s="321"/>
      <c r="FH85" s="321"/>
      <c r="FI85" s="321"/>
      <c r="FJ85" s="321"/>
      <c r="FK85" s="321"/>
      <c r="FL85" s="321"/>
      <c r="FM85" s="321"/>
      <c r="FN85" s="321"/>
      <c r="FO85" s="321"/>
      <c r="FP85" s="321"/>
      <c r="FQ85" s="321"/>
      <c r="FR85" s="321"/>
      <c r="FS85" s="321"/>
      <c r="FT85" s="321"/>
      <c r="FU85" s="321"/>
      <c r="FV85" s="321"/>
      <c r="FW85" s="321"/>
      <c r="FX85" s="321"/>
      <c r="FY85" s="321"/>
      <c r="FZ85" s="321"/>
      <c r="GA85" s="321"/>
      <c r="GB85" s="321"/>
      <c r="GC85" s="321"/>
      <c r="GD85" s="321"/>
      <c r="GE85" s="321"/>
      <c r="GF85" s="321"/>
      <c r="GG85" s="321"/>
      <c r="GH85" s="321"/>
      <c r="GI85" s="321"/>
      <c r="GJ85" s="321"/>
      <c r="GK85" s="321"/>
      <c r="GL85" s="321"/>
      <c r="GM85" s="321"/>
      <c r="GN85" s="321"/>
      <c r="GO85" s="321"/>
      <c r="GP85" s="321"/>
      <c r="GQ85" s="321"/>
      <c r="GR85" s="321"/>
      <c r="GS85" s="321"/>
      <c r="GT85" s="321"/>
      <c r="GU85" s="321"/>
      <c r="GV85" s="321"/>
      <c r="GW85" s="321"/>
      <c r="GX85" s="321"/>
      <c r="GY85" s="321"/>
      <c r="GZ85" s="321"/>
      <c r="HA85" s="321"/>
      <c r="HB85" s="321"/>
      <c r="HC85" s="321"/>
      <c r="HD85" s="321"/>
      <c r="HE85" s="321"/>
      <c r="HF85" s="321"/>
      <c r="HG85" s="321"/>
      <c r="HH85" s="321"/>
      <c r="HI85" s="321"/>
      <c r="HJ85" s="321"/>
      <c r="HK85" s="321"/>
      <c r="HL85" s="321"/>
      <c r="HM85" s="321"/>
      <c r="HN85" s="321"/>
      <c r="HO85" s="321"/>
      <c r="HP85" s="321"/>
      <c r="HQ85" s="321"/>
      <c r="HR85" s="321"/>
      <c r="HS85" s="321"/>
      <c r="HT85" s="321"/>
      <c r="HU85" s="321"/>
      <c r="HV85" s="321"/>
      <c r="HW85" s="321"/>
      <c r="HX85" s="321"/>
      <c r="HY85" s="321"/>
      <c r="HZ85" s="321"/>
      <c r="IA85" s="321"/>
      <c r="IB85" s="321"/>
      <c r="IC85" s="321"/>
      <c r="ID85" s="321"/>
      <c r="IE85" s="321"/>
      <c r="IF85" s="321"/>
      <c r="IG85" s="321"/>
      <c r="IH85" s="321"/>
      <c r="II85" s="321"/>
      <c r="IJ85" s="321"/>
      <c r="IK85" s="321"/>
      <c r="IL85" s="321"/>
      <c r="IM85" s="321"/>
      <c r="IN85" s="321"/>
      <c r="IO85" s="321"/>
      <c r="IP85" s="321"/>
      <c r="IQ85" s="321"/>
      <c r="IR85" s="321"/>
      <c r="IS85" s="321"/>
      <c r="IT85" s="321"/>
      <c r="IU85" s="321"/>
      <c r="IV85" s="321"/>
    </row>
    <row r="86" spans="1:256" s="546" customFormat="1" ht="18" customHeight="1">
      <c r="A86" s="561">
        <v>78</v>
      </c>
      <c r="B86" s="554"/>
      <c r="C86" s="322"/>
      <c r="D86" s="338" t="s">
        <v>1036</v>
      </c>
      <c r="E86" s="330"/>
      <c r="F86" s="550"/>
      <c r="G86" s="331"/>
      <c r="H86" s="762"/>
      <c r="I86" s="547"/>
      <c r="J86" s="547"/>
      <c r="K86" s="547"/>
      <c r="L86" s="547"/>
      <c r="M86" s="1266">
        <v>100</v>
      </c>
      <c r="N86" s="547"/>
      <c r="O86" s="1175">
        <f>SUM(I86:N86)</f>
        <v>100</v>
      </c>
      <c r="P86" s="551"/>
      <c r="Q86" s="321"/>
      <c r="R86" s="321"/>
      <c r="S86" s="321"/>
      <c r="T86" s="321"/>
      <c r="U86" s="321"/>
      <c r="V86" s="321"/>
      <c r="W86" s="321"/>
      <c r="X86" s="321"/>
      <c r="Y86" s="321"/>
      <c r="Z86" s="321"/>
      <c r="AA86" s="321"/>
      <c r="AB86" s="321"/>
      <c r="AC86" s="321"/>
      <c r="AD86" s="321"/>
      <c r="AE86" s="321"/>
      <c r="AF86" s="321"/>
      <c r="AG86" s="321"/>
      <c r="AH86" s="321"/>
      <c r="AI86" s="321"/>
      <c r="AJ86" s="321"/>
      <c r="AK86" s="321"/>
      <c r="AL86" s="321"/>
      <c r="AM86" s="321"/>
      <c r="AN86" s="321"/>
      <c r="AO86" s="321"/>
      <c r="AP86" s="321"/>
      <c r="AQ86" s="321"/>
      <c r="AR86" s="321"/>
      <c r="AS86" s="321"/>
      <c r="AT86" s="321"/>
      <c r="AU86" s="321"/>
      <c r="AV86" s="321"/>
      <c r="AW86" s="321"/>
      <c r="AX86" s="321"/>
      <c r="AY86" s="321"/>
      <c r="AZ86" s="321"/>
      <c r="BA86" s="321"/>
      <c r="BB86" s="321"/>
      <c r="BC86" s="321"/>
      <c r="BD86" s="321"/>
      <c r="BE86" s="321"/>
      <c r="BF86" s="321"/>
      <c r="BG86" s="321"/>
      <c r="BH86" s="321"/>
      <c r="BI86" s="321"/>
      <c r="BJ86" s="321"/>
      <c r="BK86" s="321"/>
      <c r="BL86" s="321"/>
      <c r="BM86" s="321"/>
      <c r="BN86" s="321"/>
      <c r="BO86" s="321"/>
      <c r="BP86" s="321"/>
      <c r="BQ86" s="321"/>
      <c r="BR86" s="321"/>
      <c r="BS86" s="321"/>
      <c r="BT86" s="321"/>
      <c r="BU86" s="321"/>
      <c r="BV86" s="321"/>
      <c r="BW86" s="321"/>
      <c r="BX86" s="321"/>
      <c r="BY86" s="321"/>
      <c r="BZ86" s="321"/>
      <c r="CA86" s="321"/>
      <c r="CB86" s="321"/>
      <c r="CC86" s="321"/>
      <c r="CD86" s="321"/>
      <c r="CE86" s="321"/>
      <c r="CF86" s="321"/>
      <c r="CG86" s="321"/>
      <c r="CH86" s="321"/>
      <c r="CI86" s="321"/>
      <c r="CJ86" s="321"/>
      <c r="CK86" s="321"/>
      <c r="CL86" s="321"/>
      <c r="CM86" s="321"/>
      <c r="CN86" s="321"/>
      <c r="CO86" s="321"/>
      <c r="CP86" s="321"/>
      <c r="CQ86" s="321"/>
      <c r="CR86" s="321"/>
      <c r="CS86" s="321"/>
      <c r="CT86" s="321"/>
      <c r="CU86" s="321"/>
      <c r="CV86" s="321"/>
      <c r="CW86" s="321"/>
      <c r="CX86" s="321"/>
      <c r="CY86" s="321"/>
      <c r="CZ86" s="321"/>
      <c r="DA86" s="321"/>
      <c r="DB86" s="321"/>
      <c r="DC86" s="321"/>
      <c r="DD86" s="321"/>
      <c r="DE86" s="321"/>
      <c r="DF86" s="321"/>
      <c r="DG86" s="321"/>
      <c r="DH86" s="321"/>
      <c r="DI86" s="321"/>
      <c r="DJ86" s="321"/>
      <c r="DK86" s="321"/>
      <c r="DL86" s="321"/>
      <c r="DM86" s="321"/>
      <c r="DN86" s="321"/>
      <c r="DO86" s="321"/>
      <c r="DP86" s="321"/>
      <c r="DQ86" s="321"/>
      <c r="DR86" s="321"/>
      <c r="DS86" s="321"/>
      <c r="DT86" s="321"/>
      <c r="DU86" s="321"/>
      <c r="DV86" s="321"/>
      <c r="DW86" s="321"/>
      <c r="DX86" s="321"/>
      <c r="DY86" s="321"/>
      <c r="DZ86" s="321"/>
      <c r="EA86" s="321"/>
      <c r="EB86" s="321"/>
      <c r="EC86" s="321"/>
      <c r="ED86" s="321"/>
      <c r="EE86" s="321"/>
      <c r="EF86" s="321"/>
      <c r="EG86" s="321"/>
      <c r="EH86" s="321"/>
      <c r="EI86" s="321"/>
      <c r="EJ86" s="321"/>
      <c r="EK86" s="321"/>
      <c r="EL86" s="321"/>
      <c r="EM86" s="321"/>
      <c r="EN86" s="321"/>
      <c r="EO86" s="321"/>
      <c r="EP86" s="321"/>
      <c r="EQ86" s="321"/>
      <c r="ER86" s="321"/>
      <c r="ES86" s="321"/>
      <c r="ET86" s="321"/>
      <c r="EU86" s="321"/>
      <c r="EV86" s="321"/>
      <c r="EW86" s="321"/>
      <c r="EX86" s="321"/>
      <c r="EY86" s="321"/>
      <c r="EZ86" s="321"/>
      <c r="FA86" s="321"/>
      <c r="FB86" s="321"/>
      <c r="FC86" s="321"/>
      <c r="FD86" s="321"/>
      <c r="FE86" s="321"/>
      <c r="FF86" s="321"/>
      <c r="FG86" s="321"/>
      <c r="FH86" s="321"/>
      <c r="FI86" s="321"/>
      <c r="FJ86" s="321"/>
      <c r="FK86" s="321"/>
      <c r="FL86" s="321"/>
      <c r="FM86" s="321"/>
      <c r="FN86" s="321"/>
      <c r="FO86" s="321"/>
      <c r="FP86" s="321"/>
      <c r="FQ86" s="321"/>
      <c r="FR86" s="321"/>
      <c r="FS86" s="321"/>
      <c r="FT86" s="321"/>
      <c r="FU86" s="321"/>
      <c r="FV86" s="321"/>
      <c r="FW86" s="321"/>
      <c r="FX86" s="321"/>
      <c r="FY86" s="321"/>
      <c r="FZ86" s="321"/>
      <c r="GA86" s="321"/>
      <c r="GB86" s="321"/>
      <c r="GC86" s="321"/>
      <c r="GD86" s="321"/>
      <c r="GE86" s="321"/>
      <c r="GF86" s="321"/>
      <c r="GG86" s="321"/>
      <c r="GH86" s="321"/>
      <c r="GI86" s="321"/>
      <c r="GJ86" s="321"/>
      <c r="GK86" s="321"/>
      <c r="GL86" s="321"/>
      <c r="GM86" s="321"/>
      <c r="GN86" s="321"/>
      <c r="GO86" s="321"/>
      <c r="GP86" s="321"/>
      <c r="GQ86" s="321"/>
      <c r="GR86" s="321"/>
      <c r="GS86" s="321"/>
      <c r="GT86" s="321"/>
      <c r="GU86" s="321"/>
      <c r="GV86" s="321"/>
      <c r="GW86" s="321"/>
      <c r="GX86" s="321"/>
      <c r="GY86" s="321"/>
      <c r="GZ86" s="321"/>
      <c r="HA86" s="321"/>
      <c r="HB86" s="321"/>
      <c r="HC86" s="321"/>
      <c r="HD86" s="321"/>
      <c r="HE86" s="321"/>
      <c r="HF86" s="321"/>
      <c r="HG86" s="321"/>
      <c r="HH86" s="321"/>
      <c r="HI86" s="321"/>
      <c r="HJ86" s="321"/>
      <c r="HK86" s="321"/>
      <c r="HL86" s="321"/>
      <c r="HM86" s="321"/>
      <c r="HN86" s="321"/>
      <c r="HO86" s="321"/>
      <c r="HP86" s="321"/>
      <c r="HQ86" s="321"/>
      <c r="HR86" s="321"/>
      <c r="HS86" s="321"/>
      <c r="HT86" s="321"/>
      <c r="HU86" s="321"/>
      <c r="HV86" s="321"/>
      <c r="HW86" s="321"/>
      <c r="HX86" s="321"/>
      <c r="HY86" s="321"/>
      <c r="HZ86" s="321"/>
      <c r="IA86" s="321"/>
      <c r="IB86" s="321"/>
      <c r="IC86" s="321"/>
      <c r="ID86" s="321"/>
      <c r="IE86" s="321"/>
      <c r="IF86" s="321"/>
      <c r="IG86" s="321"/>
      <c r="IH86" s="321"/>
      <c r="II86" s="321"/>
      <c r="IJ86" s="321"/>
      <c r="IK86" s="321"/>
      <c r="IL86" s="321"/>
      <c r="IM86" s="321"/>
      <c r="IN86" s="321"/>
      <c r="IO86" s="321"/>
      <c r="IP86" s="321"/>
      <c r="IQ86" s="321"/>
      <c r="IR86" s="321"/>
      <c r="IS86" s="321"/>
      <c r="IT86" s="321"/>
      <c r="IU86" s="321"/>
      <c r="IV86" s="321"/>
    </row>
    <row r="87" spans="1:256" s="546" customFormat="1" ht="18" customHeight="1">
      <c r="A87" s="561">
        <v>79</v>
      </c>
      <c r="B87" s="554"/>
      <c r="C87" s="322">
        <v>22</v>
      </c>
      <c r="D87" s="1464" t="s">
        <v>1001</v>
      </c>
      <c r="E87" s="330"/>
      <c r="F87" s="550"/>
      <c r="G87" s="331"/>
      <c r="H87" s="762"/>
      <c r="I87" s="547"/>
      <c r="J87" s="547"/>
      <c r="K87" s="547"/>
      <c r="L87" s="547"/>
      <c r="M87" s="1266"/>
      <c r="N87" s="547"/>
      <c r="O87" s="555"/>
      <c r="P87" s="551"/>
      <c r="Q87" s="321"/>
      <c r="R87" s="321"/>
      <c r="S87" s="321"/>
      <c r="T87" s="321"/>
      <c r="U87" s="321"/>
      <c r="V87" s="321"/>
      <c r="W87" s="321"/>
      <c r="X87" s="321"/>
      <c r="Y87" s="321"/>
      <c r="Z87" s="321"/>
      <c r="AA87" s="321"/>
      <c r="AB87" s="321"/>
      <c r="AC87" s="321"/>
      <c r="AD87" s="321"/>
      <c r="AE87" s="321"/>
      <c r="AF87" s="321"/>
      <c r="AG87" s="321"/>
      <c r="AH87" s="321"/>
      <c r="AI87" s="321"/>
      <c r="AJ87" s="321"/>
      <c r="AK87" s="321"/>
      <c r="AL87" s="321"/>
      <c r="AM87" s="321"/>
      <c r="AN87" s="321"/>
      <c r="AO87" s="321"/>
      <c r="AP87" s="321"/>
      <c r="AQ87" s="321"/>
      <c r="AR87" s="321"/>
      <c r="AS87" s="321"/>
      <c r="AT87" s="321"/>
      <c r="AU87" s="321"/>
      <c r="AV87" s="321"/>
      <c r="AW87" s="321"/>
      <c r="AX87" s="321"/>
      <c r="AY87" s="321"/>
      <c r="AZ87" s="321"/>
      <c r="BA87" s="321"/>
      <c r="BB87" s="321"/>
      <c r="BC87" s="321"/>
      <c r="BD87" s="321"/>
      <c r="BE87" s="321"/>
      <c r="BF87" s="321"/>
      <c r="BG87" s="321"/>
      <c r="BH87" s="321"/>
      <c r="BI87" s="321"/>
      <c r="BJ87" s="321"/>
      <c r="BK87" s="321"/>
      <c r="BL87" s="321"/>
      <c r="BM87" s="321"/>
      <c r="BN87" s="321"/>
      <c r="BO87" s="321"/>
      <c r="BP87" s="321"/>
      <c r="BQ87" s="321"/>
      <c r="BR87" s="321"/>
      <c r="BS87" s="321"/>
      <c r="BT87" s="321"/>
      <c r="BU87" s="321"/>
      <c r="BV87" s="321"/>
      <c r="BW87" s="321"/>
      <c r="BX87" s="321"/>
      <c r="BY87" s="321"/>
      <c r="BZ87" s="321"/>
      <c r="CA87" s="321"/>
      <c r="CB87" s="321"/>
      <c r="CC87" s="321"/>
      <c r="CD87" s="321"/>
      <c r="CE87" s="321"/>
      <c r="CF87" s="321"/>
      <c r="CG87" s="321"/>
      <c r="CH87" s="321"/>
      <c r="CI87" s="321"/>
      <c r="CJ87" s="321"/>
      <c r="CK87" s="321"/>
      <c r="CL87" s="321"/>
      <c r="CM87" s="321"/>
      <c r="CN87" s="321"/>
      <c r="CO87" s="321"/>
      <c r="CP87" s="321"/>
      <c r="CQ87" s="321"/>
      <c r="CR87" s="321"/>
      <c r="CS87" s="321"/>
      <c r="CT87" s="321"/>
      <c r="CU87" s="321"/>
      <c r="CV87" s="321"/>
      <c r="CW87" s="321"/>
      <c r="CX87" s="321"/>
      <c r="CY87" s="321"/>
      <c r="CZ87" s="321"/>
      <c r="DA87" s="321"/>
      <c r="DB87" s="321"/>
      <c r="DC87" s="321"/>
      <c r="DD87" s="321"/>
      <c r="DE87" s="321"/>
      <c r="DF87" s="321"/>
      <c r="DG87" s="321"/>
      <c r="DH87" s="321"/>
      <c r="DI87" s="321"/>
      <c r="DJ87" s="321"/>
      <c r="DK87" s="321"/>
      <c r="DL87" s="321"/>
      <c r="DM87" s="321"/>
      <c r="DN87" s="321"/>
      <c r="DO87" s="321"/>
      <c r="DP87" s="321"/>
      <c r="DQ87" s="321"/>
      <c r="DR87" s="321"/>
      <c r="DS87" s="321"/>
      <c r="DT87" s="321"/>
      <c r="DU87" s="321"/>
      <c r="DV87" s="321"/>
      <c r="DW87" s="321"/>
      <c r="DX87" s="321"/>
      <c r="DY87" s="321"/>
      <c r="DZ87" s="321"/>
      <c r="EA87" s="321"/>
      <c r="EB87" s="321"/>
      <c r="EC87" s="321"/>
      <c r="ED87" s="321"/>
      <c r="EE87" s="321"/>
      <c r="EF87" s="321"/>
      <c r="EG87" s="321"/>
      <c r="EH87" s="321"/>
      <c r="EI87" s="321"/>
      <c r="EJ87" s="321"/>
      <c r="EK87" s="321"/>
      <c r="EL87" s="321"/>
      <c r="EM87" s="321"/>
      <c r="EN87" s="321"/>
      <c r="EO87" s="321"/>
      <c r="EP87" s="321"/>
      <c r="EQ87" s="321"/>
      <c r="ER87" s="321"/>
      <c r="ES87" s="321"/>
      <c r="ET87" s="321"/>
      <c r="EU87" s="321"/>
      <c r="EV87" s="321"/>
      <c r="EW87" s="321"/>
      <c r="EX87" s="321"/>
      <c r="EY87" s="321"/>
      <c r="EZ87" s="321"/>
      <c r="FA87" s="321"/>
      <c r="FB87" s="321"/>
      <c r="FC87" s="321"/>
      <c r="FD87" s="321"/>
      <c r="FE87" s="321"/>
      <c r="FF87" s="321"/>
      <c r="FG87" s="321"/>
      <c r="FH87" s="321"/>
      <c r="FI87" s="321"/>
      <c r="FJ87" s="321"/>
      <c r="FK87" s="321"/>
      <c r="FL87" s="321"/>
      <c r="FM87" s="321"/>
      <c r="FN87" s="321"/>
      <c r="FO87" s="321"/>
      <c r="FP87" s="321"/>
      <c r="FQ87" s="321"/>
      <c r="FR87" s="321"/>
      <c r="FS87" s="321"/>
      <c r="FT87" s="321"/>
      <c r="FU87" s="321"/>
      <c r="FV87" s="321"/>
      <c r="FW87" s="321"/>
      <c r="FX87" s="321"/>
      <c r="FY87" s="321"/>
      <c r="FZ87" s="321"/>
      <c r="GA87" s="321"/>
      <c r="GB87" s="321"/>
      <c r="GC87" s="321"/>
      <c r="GD87" s="321"/>
      <c r="GE87" s="321"/>
      <c r="GF87" s="321"/>
      <c r="GG87" s="321"/>
      <c r="GH87" s="321"/>
      <c r="GI87" s="321"/>
      <c r="GJ87" s="321"/>
      <c r="GK87" s="321"/>
      <c r="GL87" s="321"/>
      <c r="GM87" s="321"/>
      <c r="GN87" s="321"/>
      <c r="GO87" s="321"/>
      <c r="GP87" s="321"/>
      <c r="GQ87" s="321"/>
      <c r="GR87" s="321"/>
      <c r="GS87" s="321"/>
      <c r="GT87" s="321"/>
      <c r="GU87" s="321"/>
      <c r="GV87" s="321"/>
      <c r="GW87" s="321"/>
      <c r="GX87" s="321"/>
      <c r="GY87" s="321"/>
      <c r="GZ87" s="321"/>
      <c r="HA87" s="321"/>
      <c r="HB87" s="321"/>
      <c r="HC87" s="321"/>
      <c r="HD87" s="321"/>
      <c r="HE87" s="321"/>
      <c r="HF87" s="321"/>
      <c r="HG87" s="321"/>
      <c r="HH87" s="321"/>
      <c r="HI87" s="321"/>
      <c r="HJ87" s="321"/>
      <c r="HK87" s="321"/>
      <c r="HL87" s="321"/>
      <c r="HM87" s="321"/>
      <c r="HN87" s="321"/>
      <c r="HO87" s="321"/>
      <c r="HP87" s="321"/>
      <c r="HQ87" s="321"/>
      <c r="HR87" s="321"/>
      <c r="HS87" s="321"/>
      <c r="HT87" s="321"/>
      <c r="HU87" s="321"/>
      <c r="HV87" s="321"/>
      <c r="HW87" s="321"/>
      <c r="HX87" s="321"/>
      <c r="HY87" s="321"/>
      <c r="HZ87" s="321"/>
      <c r="IA87" s="321"/>
      <c r="IB87" s="321"/>
      <c r="IC87" s="321"/>
      <c r="ID87" s="321"/>
      <c r="IE87" s="321"/>
      <c r="IF87" s="321"/>
      <c r="IG87" s="321"/>
      <c r="IH87" s="321"/>
      <c r="II87" s="321"/>
      <c r="IJ87" s="321"/>
      <c r="IK87" s="321"/>
      <c r="IL87" s="321"/>
      <c r="IM87" s="321"/>
      <c r="IN87" s="321"/>
      <c r="IO87" s="321"/>
      <c r="IP87" s="321"/>
      <c r="IQ87" s="321"/>
      <c r="IR87" s="321"/>
      <c r="IS87" s="321"/>
      <c r="IT87" s="321"/>
      <c r="IU87" s="321"/>
      <c r="IV87" s="321"/>
    </row>
    <row r="88" spans="1:256" s="546" customFormat="1" ht="18" customHeight="1">
      <c r="A88" s="561">
        <v>80</v>
      </c>
      <c r="B88" s="554"/>
      <c r="C88" s="322"/>
      <c r="D88" s="436" t="s">
        <v>994</v>
      </c>
      <c r="E88" s="330">
        <v>631900</v>
      </c>
      <c r="F88" s="550"/>
      <c r="G88" s="331"/>
      <c r="H88" s="762"/>
      <c r="I88" s="547"/>
      <c r="J88" s="547"/>
      <c r="K88" s="547"/>
      <c r="L88" s="547"/>
      <c r="M88" s="1131">
        <v>631900</v>
      </c>
      <c r="N88" s="547"/>
      <c r="O88" s="555">
        <f>SUM(I88:N88)</f>
        <v>631900</v>
      </c>
      <c r="P88" s="551"/>
      <c r="Q88" s="321"/>
      <c r="R88" s="321"/>
      <c r="S88" s="321"/>
      <c r="T88" s="321"/>
      <c r="U88" s="321"/>
      <c r="V88" s="321"/>
      <c r="W88" s="321"/>
      <c r="X88" s="321"/>
      <c r="Y88" s="321"/>
      <c r="Z88" s="321"/>
      <c r="AA88" s="321"/>
      <c r="AB88" s="321"/>
      <c r="AC88" s="321"/>
      <c r="AD88" s="321"/>
      <c r="AE88" s="321"/>
      <c r="AF88" s="321"/>
      <c r="AG88" s="321"/>
      <c r="AH88" s="321"/>
      <c r="AI88" s="321"/>
      <c r="AJ88" s="321"/>
      <c r="AK88" s="321"/>
      <c r="AL88" s="321"/>
      <c r="AM88" s="321"/>
      <c r="AN88" s="321"/>
      <c r="AO88" s="321"/>
      <c r="AP88" s="321"/>
      <c r="AQ88" s="321"/>
      <c r="AR88" s="321"/>
      <c r="AS88" s="321"/>
      <c r="AT88" s="321"/>
      <c r="AU88" s="321"/>
      <c r="AV88" s="321"/>
      <c r="AW88" s="321"/>
      <c r="AX88" s="321"/>
      <c r="AY88" s="321"/>
      <c r="AZ88" s="321"/>
      <c r="BA88" s="321"/>
      <c r="BB88" s="321"/>
      <c r="BC88" s="321"/>
      <c r="BD88" s="321"/>
      <c r="BE88" s="321"/>
      <c r="BF88" s="321"/>
      <c r="BG88" s="321"/>
      <c r="BH88" s="321"/>
      <c r="BI88" s="321"/>
      <c r="BJ88" s="321"/>
      <c r="BK88" s="321"/>
      <c r="BL88" s="321"/>
      <c r="BM88" s="321"/>
      <c r="BN88" s="321"/>
      <c r="BO88" s="321"/>
      <c r="BP88" s="321"/>
      <c r="BQ88" s="321"/>
      <c r="BR88" s="321"/>
      <c r="BS88" s="321"/>
      <c r="BT88" s="321"/>
      <c r="BU88" s="321"/>
      <c r="BV88" s="321"/>
      <c r="BW88" s="321"/>
      <c r="BX88" s="321"/>
      <c r="BY88" s="321"/>
      <c r="BZ88" s="321"/>
      <c r="CA88" s="321"/>
      <c r="CB88" s="321"/>
      <c r="CC88" s="321"/>
      <c r="CD88" s="321"/>
      <c r="CE88" s="321"/>
      <c r="CF88" s="321"/>
      <c r="CG88" s="321"/>
      <c r="CH88" s="321"/>
      <c r="CI88" s="321"/>
      <c r="CJ88" s="321"/>
      <c r="CK88" s="321"/>
      <c r="CL88" s="321"/>
      <c r="CM88" s="321"/>
      <c r="CN88" s="321"/>
      <c r="CO88" s="321"/>
      <c r="CP88" s="321"/>
      <c r="CQ88" s="321"/>
      <c r="CR88" s="321"/>
      <c r="CS88" s="321"/>
      <c r="CT88" s="321"/>
      <c r="CU88" s="321"/>
      <c r="CV88" s="321"/>
      <c r="CW88" s="321"/>
      <c r="CX88" s="321"/>
      <c r="CY88" s="321"/>
      <c r="CZ88" s="321"/>
      <c r="DA88" s="321"/>
      <c r="DB88" s="321"/>
      <c r="DC88" s="321"/>
      <c r="DD88" s="321"/>
      <c r="DE88" s="321"/>
      <c r="DF88" s="321"/>
      <c r="DG88" s="321"/>
      <c r="DH88" s="321"/>
      <c r="DI88" s="321"/>
      <c r="DJ88" s="321"/>
      <c r="DK88" s="321"/>
      <c r="DL88" s="321"/>
      <c r="DM88" s="321"/>
      <c r="DN88" s="321"/>
      <c r="DO88" s="321"/>
      <c r="DP88" s="321"/>
      <c r="DQ88" s="321"/>
      <c r="DR88" s="321"/>
      <c r="DS88" s="321"/>
      <c r="DT88" s="321"/>
      <c r="DU88" s="321"/>
      <c r="DV88" s="321"/>
      <c r="DW88" s="321"/>
      <c r="DX88" s="321"/>
      <c r="DY88" s="321"/>
      <c r="DZ88" s="321"/>
      <c r="EA88" s="321"/>
      <c r="EB88" s="321"/>
      <c r="EC88" s="321"/>
      <c r="ED88" s="321"/>
      <c r="EE88" s="321"/>
      <c r="EF88" s="321"/>
      <c r="EG88" s="321"/>
      <c r="EH88" s="321"/>
      <c r="EI88" s="321"/>
      <c r="EJ88" s="321"/>
      <c r="EK88" s="321"/>
      <c r="EL88" s="321"/>
      <c r="EM88" s="321"/>
      <c r="EN88" s="321"/>
      <c r="EO88" s="321"/>
      <c r="EP88" s="321"/>
      <c r="EQ88" s="321"/>
      <c r="ER88" s="321"/>
      <c r="ES88" s="321"/>
      <c r="ET88" s="321"/>
      <c r="EU88" s="321"/>
      <c r="EV88" s="321"/>
      <c r="EW88" s="321"/>
      <c r="EX88" s="321"/>
      <c r="EY88" s="321"/>
      <c r="EZ88" s="321"/>
      <c r="FA88" s="321"/>
      <c r="FB88" s="321"/>
      <c r="FC88" s="321"/>
      <c r="FD88" s="321"/>
      <c r="FE88" s="321"/>
      <c r="FF88" s="321"/>
      <c r="FG88" s="321"/>
      <c r="FH88" s="321"/>
      <c r="FI88" s="321"/>
      <c r="FJ88" s="321"/>
      <c r="FK88" s="321"/>
      <c r="FL88" s="321"/>
      <c r="FM88" s="321"/>
      <c r="FN88" s="321"/>
      <c r="FO88" s="321"/>
      <c r="FP88" s="321"/>
      <c r="FQ88" s="321"/>
      <c r="FR88" s="321"/>
      <c r="FS88" s="321"/>
      <c r="FT88" s="321"/>
      <c r="FU88" s="321"/>
      <c r="FV88" s="321"/>
      <c r="FW88" s="321"/>
      <c r="FX88" s="321"/>
      <c r="FY88" s="321"/>
      <c r="FZ88" s="321"/>
      <c r="GA88" s="321"/>
      <c r="GB88" s="321"/>
      <c r="GC88" s="321"/>
      <c r="GD88" s="321"/>
      <c r="GE88" s="321"/>
      <c r="GF88" s="321"/>
      <c r="GG88" s="321"/>
      <c r="GH88" s="321"/>
      <c r="GI88" s="321"/>
      <c r="GJ88" s="321"/>
      <c r="GK88" s="321"/>
      <c r="GL88" s="321"/>
      <c r="GM88" s="321"/>
      <c r="GN88" s="321"/>
      <c r="GO88" s="321"/>
      <c r="GP88" s="321"/>
      <c r="GQ88" s="321"/>
      <c r="GR88" s="321"/>
      <c r="GS88" s="321"/>
      <c r="GT88" s="321"/>
      <c r="GU88" s="321"/>
      <c r="GV88" s="321"/>
      <c r="GW88" s="321"/>
      <c r="GX88" s="321"/>
      <c r="GY88" s="321"/>
      <c r="GZ88" s="321"/>
      <c r="HA88" s="321"/>
      <c r="HB88" s="321"/>
      <c r="HC88" s="321"/>
      <c r="HD88" s="321"/>
      <c r="HE88" s="321"/>
      <c r="HF88" s="321"/>
      <c r="HG88" s="321"/>
      <c r="HH88" s="321"/>
      <c r="HI88" s="321"/>
      <c r="HJ88" s="321"/>
      <c r="HK88" s="321"/>
      <c r="HL88" s="321"/>
      <c r="HM88" s="321"/>
      <c r="HN88" s="321"/>
      <c r="HO88" s="321"/>
      <c r="HP88" s="321"/>
      <c r="HQ88" s="321"/>
      <c r="HR88" s="321"/>
      <c r="HS88" s="321"/>
      <c r="HT88" s="321"/>
      <c r="HU88" s="321"/>
      <c r="HV88" s="321"/>
      <c r="HW88" s="321"/>
      <c r="HX88" s="321"/>
      <c r="HY88" s="321"/>
      <c r="HZ88" s="321"/>
      <c r="IA88" s="321"/>
      <c r="IB88" s="321"/>
      <c r="IC88" s="321"/>
      <c r="ID88" s="321"/>
      <c r="IE88" s="321"/>
      <c r="IF88" s="321"/>
      <c r="IG88" s="321"/>
      <c r="IH88" s="321"/>
      <c r="II88" s="321"/>
      <c r="IJ88" s="321"/>
      <c r="IK88" s="321"/>
      <c r="IL88" s="321"/>
      <c r="IM88" s="321"/>
      <c r="IN88" s="321"/>
      <c r="IO88" s="321"/>
      <c r="IP88" s="321"/>
      <c r="IQ88" s="321"/>
      <c r="IR88" s="321"/>
      <c r="IS88" s="321"/>
      <c r="IT88" s="321"/>
      <c r="IU88" s="321"/>
      <c r="IV88" s="321"/>
    </row>
    <row r="89" spans="1:256" s="546" customFormat="1" ht="18" customHeight="1">
      <c r="A89" s="561">
        <v>81</v>
      </c>
      <c r="B89" s="554"/>
      <c r="C89" s="322"/>
      <c r="D89" s="338" t="s">
        <v>1036</v>
      </c>
      <c r="E89" s="330"/>
      <c r="F89" s="550"/>
      <c r="G89" s="331"/>
      <c r="H89" s="762"/>
      <c r="I89" s="547"/>
      <c r="J89" s="547"/>
      <c r="K89" s="547"/>
      <c r="L89" s="547"/>
      <c r="M89" s="1266">
        <v>631900</v>
      </c>
      <c r="N89" s="547"/>
      <c r="O89" s="1175">
        <f>SUM(I89:N89)</f>
        <v>631900</v>
      </c>
      <c r="P89" s="551"/>
      <c r="Q89" s="321"/>
      <c r="R89" s="321"/>
      <c r="S89" s="321"/>
      <c r="T89" s="321"/>
      <c r="U89" s="321"/>
      <c r="V89" s="321"/>
      <c r="W89" s="321"/>
      <c r="X89" s="321"/>
      <c r="Y89" s="321"/>
      <c r="Z89" s="321"/>
      <c r="AA89" s="321"/>
      <c r="AB89" s="321"/>
      <c r="AC89" s="321"/>
      <c r="AD89" s="321"/>
      <c r="AE89" s="321"/>
      <c r="AF89" s="321"/>
      <c r="AG89" s="321"/>
      <c r="AH89" s="321"/>
      <c r="AI89" s="321"/>
      <c r="AJ89" s="321"/>
      <c r="AK89" s="321"/>
      <c r="AL89" s="321"/>
      <c r="AM89" s="321"/>
      <c r="AN89" s="321"/>
      <c r="AO89" s="321"/>
      <c r="AP89" s="321"/>
      <c r="AQ89" s="321"/>
      <c r="AR89" s="321"/>
      <c r="AS89" s="321"/>
      <c r="AT89" s="321"/>
      <c r="AU89" s="321"/>
      <c r="AV89" s="321"/>
      <c r="AW89" s="321"/>
      <c r="AX89" s="321"/>
      <c r="AY89" s="321"/>
      <c r="AZ89" s="321"/>
      <c r="BA89" s="321"/>
      <c r="BB89" s="321"/>
      <c r="BC89" s="321"/>
      <c r="BD89" s="321"/>
      <c r="BE89" s="321"/>
      <c r="BF89" s="321"/>
      <c r="BG89" s="321"/>
      <c r="BH89" s="321"/>
      <c r="BI89" s="321"/>
      <c r="BJ89" s="321"/>
      <c r="BK89" s="321"/>
      <c r="BL89" s="321"/>
      <c r="BM89" s="321"/>
      <c r="BN89" s="321"/>
      <c r="BO89" s="321"/>
      <c r="BP89" s="321"/>
      <c r="BQ89" s="321"/>
      <c r="BR89" s="321"/>
      <c r="BS89" s="321"/>
      <c r="BT89" s="321"/>
      <c r="BU89" s="321"/>
      <c r="BV89" s="321"/>
      <c r="BW89" s="321"/>
      <c r="BX89" s="321"/>
      <c r="BY89" s="321"/>
      <c r="BZ89" s="321"/>
      <c r="CA89" s="321"/>
      <c r="CB89" s="321"/>
      <c r="CC89" s="321"/>
      <c r="CD89" s="321"/>
      <c r="CE89" s="321"/>
      <c r="CF89" s="321"/>
      <c r="CG89" s="321"/>
      <c r="CH89" s="321"/>
      <c r="CI89" s="321"/>
      <c r="CJ89" s="321"/>
      <c r="CK89" s="321"/>
      <c r="CL89" s="321"/>
      <c r="CM89" s="321"/>
      <c r="CN89" s="321"/>
      <c r="CO89" s="321"/>
      <c r="CP89" s="321"/>
      <c r="CQ89" s="321"/>
      <c r="CR89" s="321"/>
      <c r="CS89" s="321"/>
      <c r="CT89" s="321"/>
      <c r="CU89" s="321"/>
      <c r="CV89" s="321"/>
      <c r="CW89" s="321"/>
      <c r="CX89" s="321"/>
      <c r="CY89" s="321"/>
      <c r="CZ89" s="321"/>
      <c r="DA89" s="321"/>
      <c r="DB89" s="321"/>
      <c r="DC89" s="321"/>
      <c r="DD89" s="321"/>
      <c r="DE89" s="321"/>
      <c r="DF89" s="321"/>
      <c r="DG89" s="321"/>
      <c r="DH89" s="321"/>
      <c r="DI89" s="321"/>
      <c r="DJ89" s="321"/>
      <c r="DK89" s="321"/>
      <c r="DL89" s="321"/>
      <c r="DM89" s="321"/>
      <c r="DN89" s="321"/>
      <c r="DO89" s="321"/>
      <c r="DP89" s="321"/>
      <c r="DQ89" s="321"/>
      <c r="DR89" s="321"/>
      <c r="DS89" s="321"/>
      <c r="DT89" s="321"/>
      <c r="DU89" s="321"/>
      <c r="DV89" s="321"/>
      <c r="DW89" s="321"/>
      <c r="DX89" s="321"/>
      <c r="DY89" s="321"/>
      <c r="DZ89" s="321"/>
      <c r="EA89" s="321"/>
      <c r="EB89" s="321"/>
      <c r="EC89" s="321"/>
      <c r="ED89" s="321"/>
      <c r="EE89" s="321"/>
      <c r="EF89" s="321"/>
      <c r="EG89" s="321"/>
      <c r="EH89" s="321"/>
      <c r="EI89" s="321"/>
      <c r="EJ89" s="321"/>
      <c r="EK89" s="321"/>
      <c r="EL89" s="321"/>
      <c r="EM89" s="321"/>
      <c r="EN89" s="321"/>
      <c r="EO89" s="321"/>
      <c r="EP89" s="321"/>
      <c r="EQ89" s="321"/>
      <c r="ER89" s="321"/>
      <c r="ES89" s="321"/>
      <c r="ET89" s="321"/>
      <c r="EU89" s="321"/>
      <c r="EV89" s="321"/>
      <c r="EW89" s="321"/>
      <c r="EX89" s="321"/>
      <c r="EY89" s="321"/>
      <c r="EZ89" s="321"/>
      <c r="FA89" s="321"/>
      <c r="FB89" s="321"/>
      <c r="FC89" s="321"/>
      <c r="FD89" s="321"/>
      <c r="FE89" s="321"/>
      <c r="FF89" s="321"/>
      <c r="FG89" s="321"/>
      <c r="FH89" s="321"/>
      <c r="FI89" s="321"/>
      <c r="FJ89" s="321"/>
      <c r="FK89" s="321"/>
      <c r="FL89" s="321"/>
      <c r="FM89" s="321"/>
      <c r="FN89" s="321"/>
      <c r="FO89" s="321"/>
      <c r="FP89" s="321"/>
      <c r="FQ89" s="321"/>
      <c r="FR89" s="321"/>
      <c r="FS89" s="321"/>
      <c r="FT89" s="321"/>
      <c r="FU89" s="321"/>
      <c r="FV89" s="321"/>
      <c r="FW89" s="321"/>
      <c r="FX89" s="321"/>
      <c r="FY89" s="321"/>
      <c r="FZ89" s="321"/>
      <c r="GA89" s="321"/>
      <c r="GB89" s="321"/>
      <c r="GC89" s="321"/>
      <c r="GD89" s="321"/>
      <c r="GE89" s="321"/>
      <c r="GF89" s="321"/>
      <c r="GG89" s="321"/>
      <c r="GH89" s="321"/>
      <c r="GI89" s="321"/>
      <c r="GJ89" s="321"/>
      <c r="GK89" s="321"/>
      <c r="GL89" s="321"/>
      <c r="GM89" s="321"/>
      <c r="GN89" s="321"/>
      <c r="GO89" s="321"/>
      <c r="GP89" s="321"/>
      <c r="GQ89" s="321"/>
      <c r="GR89" s="321"/>
      <c r="GS89" s="321"/>
      <c r="GT89" s="321"/>
      <c r="GU89" s="321"/>
      <c r="GV89" s="321"/>
      <c r="GW89" s="321"/>
      <c r="GX89" s="321"/>
      <c r="GY89" s="321"/>
      <c r="GZ89" s="321"/>
      <c r="HA89" s="321"/>
      <c r="HB89" s="321"/>
      <c r="HC89" s="321"/>
      <c r="HD89" s="321"/>
      <c r="HE89" s="321"/>
      <c r="HF89" s="321"/>
      <c r="HG89" s="321"/>
      <c r="HH89" s="321"/>
      <c r="HI89" s="321"/>
      <c r="HJ89" s="321"/>
      <c r="HK89" s="321"/>
      <c r="HL89" s="321"/>
      <c r="HM89" s="321"/>
      <c r="HN89" s="321"/>
      <c r="HO89" s="321"/>
      <c r="HP89" s="321"/>
      <c r="HQ89" s="321"/>
      <c r="HR89" s="321"/>
      <c r="HS89" s="321"/>
      <c r="HT89" s="321"/>
      <c r="HU89" s="321"/>
      <c r="HV89" s="321"/>
      <c r="HW89" s="321"/>
      <c r="HX89" s="321"/>
      <c r="HY89" s="321"/>
      <c r="HZ89" s="321"/>
      <c r="IA89" s="321"/>
      <c r="IB89" s="321"/>
      <c r="IC89" s="321"/>
      <c r="ID89" s="321"/>
      <c r="IE89" s="321"/>
      <c r="IF89" s="321"/>
      <c r="IG89" s="321"/>
      <c r="IH89" s="321"/>
      <c r="II89" s="321"/>
      <c r="IJ89" s="321"/>
      <c r="IK89" s="321"/>
      <c r="IL89" s="321"/>
      <c r="IM89" s="321"/>
      <c r="IN89" s="321"/>
      <c r="IO89" s="321"/>
      <c r="IP89" s="321"/>
      <c r="IQ89" s="321"/>
      <c r="IR89" s="321"/>
      <c r="IS89" s="321"/>
      <c r="IT89" s="321"/>
      <c r="IU89" s="321"/>
      <c r="IV89" s="321"/>
    </row>
    <row r="90" spans="1:256" s="546" customFormat="1" ht="18" customHeight="1">
      <c r="A90" s="561">
        <v>82</v>
      </c>
      <c r="B90" s="554"/>
      <c r="C90" s="322"/>
      <c r="D90" s="1622" t="s">
        <v>1065</v>
      </c>
      <c r="E90" s="1623"/>
      <c r="F90" s="1624"/>
      <c r="G90" s="331"/>
      <c r="H90" s="762"/>
      <c r="I90" s="547"/>
      <c r="J90" s="547"/>
      <c r="K90" s="547"/>
      <c r="L90" s="547"/>
      <c r="M90" s="1619">
        <v>40000</v>
      </c>
      <c r="N90" s="1620"/>
      <c r="O90" s="1621">
        <f>SUM(I90:N90)</f>
        <v>40000</v>
      </c>
      <c r="P90" s="551"/>
      <c r="Q90" s="321"/>
      <c r="R90" s="321"/>
      <c r="S90" s="321"/>
      <c r="T90" s="321"/>
      <c r="U90" s="321"/>
      <c r="V90" s="321"/>
      <c r="W90" s="321"/>
      <c r="X90" s="321"/>
      <c r="Y90" s="321"/>
      <c r="Z90" s="321"/>
      <c r="AA90" s="321"/>
      <c r="AB90" s="321"/>
      <c r="AC90" s="321"/>
      <c r="AD90" s="321"/>
      <c r="AE90" s="321"/>
      <c r="AF90" s="321"/>
      <c r="AG90" s="321"/>
      <c r="AH90" s="321"/>
      <c r="AI90" s="321"/>
      <c r="AJ90" s="321"/>
      <c r="AK90" s="321"/>
      <c r="AL90" s="321"/>
      <c r="AM90" s="321"/>
      <c r="AN90" s="321"/>
      <c r="AO90" s="321"/>
      <c r="AP90" s="321"/>
      <c r="AQ90" s="321"/>
      <c r="AR90" s="321"/>
      <c r="AS90" s="321"/>
      <c r="AT90" s="321"/>
      <c r="AU90" s="321"/>
      <c r="AV90" s="321"/>
      <c r="AW90" s="321"/>
      <c r="AX90" s="321"/>
      <c r="AY90" s="321"/>
      <c r="AZ90" s="321"/>
      <c r="BA90" s="321"/>
      <c r="BB90" s="321"/>
      <c r="BC90" s="321"/>
      <c r="BD90" s="321"/>
      <c r="BE90" s="321"/>
      <c r="BF90" s="321"/>
      <c r="BG90" s="321"/>
      <c r="BH90" s="321"/>
      <c r="BI90" s="321"/>
      <c r="BJ90" s="321"/>
      <c r="BK90" s="321"/>
      <c r="BL90" s="321"/>
      <c r="BM90" s="321"/>
      <c r="BN90" s="321"/>
      <c r="BO90" s="321"/>
      <c r="BP90" s="321"/>
      <c r="BQ90" s="321"/>
      <c r="BR90" s="321"/>
      <c r="BS90" s="321"/>
      <c r="BT90" s="321"/>
      <c r="BU90" s="321"/>
      <c r="BV90" s="321"/>
      <c r="BW90" s="321"/>
      <c r="BX90" s="321"/>
      <c r="BY90" s="321"/>
      <c r="BZ90" s="321"/>
      <c r="CA90" s="321"/>
      <c r="CB90" s="321"/>
      <c r="CC90" s="321"/>
      <c r="CD90" s="321"/>
      <c r="CE90" s="321"/>
      <c r="CF90" s="321"/>
      <c r="CG90" s="321"/>
      <c r="CH90" s="321"/>
      <c r="CI90" s="321"/>
      <c r="CJ90" s="321"/>
      <c r="CK90" s="321"/>
      <c r="CL90" s="321"/>
      <c r="CM90" s="321"/>
      <c r="CN90" s="321"/>
      <c r="CO90" s="321"/>
      <c r="CP90" s="321"/>
      <c r="CQ90" s="321"/>
      <c r="CR90" s="321"/>
      <c r="CS90" s="321"/>
      <c r="CT90" s="321"/>
      <c r="CU90" s="321"/>
      <c r="CV90" s="321"/>
      <c r="CW90" s="321"/>
      <c r="CX90" s="321"/>
      <c r="CY90" s="321"/>
      <c r="CZ90" s="321"/>
      <c r="DA90" s="321"/>
      <c r="DB90" s="321"/>
      <c r="DC90" s="321"/>
      <c r="DD90" s="321"/>
      <c r="DE90" s="321"/>
      <c r="DF90" s="321"/>
      <c r="DG90" s="321"/>
      <c r="DH90" s="321"/>
      <c r="DI90" s="321"/>
      <c r="DJ90" s="321"/>
      <c r="DK90" s="321"/>
      <c r="DL90" s="321"/>
      <c r="DM90" s="321"/>
      <c r="DN90" s="321"/>
      <c r="DO90" s="321"/>
      <c r="DP90" s="321"/>
      <c r="DQ90" s="321"/>
      <c r="DR90" s="321"/>
      <c r="DS90" s="321"/>
      <c r="DT90" s="321"/>
      <c r="DU90" s="321"/>
      <c r="DV90" s="321"/>
      <c r="DW90" s="321"/>
      <c r="DX90" s="321"/>
      <c r="DY90" s="321"/>
      <c r="DZ90" s="321"/>
      <c r="EA90" s="321"/>
      <c r="EB90" s="321"/>
      <c r="EC90" s="321"/>
      <c r="ED90" s="321"/>
      <c r="EE90" s="321"/>
      <c r="EF90" s="321"/>
      <c r="EG90" s="321"/>
      <c r="EH90" s="321"/>
      <c r="EI90" s="321"/>
      <c r="EJ90" s="321"/>
      <c r="EK90" s="321"/>
      <c r="EL90" s="321"/>
      <c r="EM90" s="321"/>
      <c r="EN90" s="321"/>
      <c r="EO90" s="321"/>
      <c r="EP90" s="321"/>
      <c r="EQ90" s="321"/>
      <c r="ER90" s="321"/>
      <c r="ES90" s="321"/>
      <c r="ET90" s="321"/>
      <c r="EU90" s="321"/>
      <c r="EV90" s="321"/>
      <c r="EW90" s="321"/>
      <c r="EX90" s="321"/>
      <c r="EY90" s="321"/>
      <c r="EZ90" s="321"/>
      <c r="FA90" s="321"/>
      <c r="FB90" s="321"/>
      <c r="FC90" s="321"/>
      <c r="FD90" s="321"/>
      <c r="FE90" s="321"/>
      <c r="FF90" s="321"/>
      <c r="FG90" s="321"/>
      <c r="FH90" s="321"/>
      <c r="FI90" s="321"/>
      <c r="FJ90" s="321"/>
      <c r="FK90" s="321"/>
      <c r="FL90" s="321"/>
      <c r="FM90" s="321"/>
      <c r="FN90" s="321"/>
      <c r="FO90" s="321"/>
      <c r="FP90" s="321"/>
      <c r="FQ90" s="321"/>
      <c r="FR90" s="321"/>
      <c r="FS90" s="321"/>
      <c r="FT90" s="321"/>
      <c r="FU90" s="321"/>
      <c r="FV90" s="321"/>
      <c r="FW90" s="321"/>
      <c r="FX90" s="321"/>
      <c r="FY90" s="321"/>
      <c r="FZ90" s="321"/>
      <c r="GA90" s="321"/>
      <c r="GB90" s="321"/>
      <c r="GC90" s="321"/>
      <c r="GD90" s="321"/>
      <c r="GE90" s="321"/>
      <c r="GF90" s="321"/>
      <c r="GG90" s="321"/>
      <c r="GH90" s="321"/>
      <c r="GI90" s="321"/>
      <c r="GJ90" s="321"/>
      <c r="GK90" s="321"/>
      <c r="GL90" s="321"/>
      <c r="GM90" s="321"/>
      <c r="GN90" s="321"/>
      <c r="GO90" s="321"/>
      <c r="GP90" s="321"/>
      <c r="GQ90" s="321"/>
      <c r="GR90" s="321"/>
      <c r="GS90" s="321"/>
      <c r="GT90" s="321"/>
      <c r="GU90" s="321"/>
      <c r="GV90" s="321"/>
      <c r="GW90" s="321"/>
      <c r="GX90" s="321"/>
      <c r="GY90" s="321"/>
      <c r="GZ90" s="321"/>
      <c r="HA90" s="321"/>
      <c r="HB90" s="321"/>
      <c r="HC90" s="321"/>
      <c r="HD90" s="321"/>
      <c r="HE90" s="321"/>
      <c r="HF90" s="321"/>
      <c r="HG90" s="321"/>
      <c r="HH90" s="321"/>
      <c r="HI90" s="321"/>
      <c r="HJ90" s="321"/>
      <c r="HK90" s="321"/>
      <c r="HL90" s="321"/>
      <c r="HM90" s="321"/>
      <c r="HN90" s="321"/>
      <c r="HO90" s="321"/>
      <c r="HP90" s="321"/>
      <c r="HQ90" s="321"/>
      <c r="HR90" s="321"/>
      <c r="HS90" s="321"/>
      <c r="HT90" s="321"/>
      <c r="HU90" s="321"/>
      <c r="HV90" s="321"/>
      <c r="HW90" s="321"/>
      <c r="HX90" s="321"/>
      <c r="HY90" s="321"/>
      <c r="HZ90" s="321"/>
      <c r="IA90" s="321"/>
      <c r="IB90" s="321"/>
      <c r="IC90" s="321"/>
      <c r="ID90" s="321"/>
      <c r="IE90" s="321"/>
      <c r="IF90" s="321"/>
      <c r="IG90" s="321"/>
      <c r="IH90" s="321"/>
      <c r="II90" s="321"/>
      <c r="IJ90" s="321"/>
      <c r="IK90" s="321"/>
      <c r="IL90" s="321"/>
      <c r="IM90" s="321"/>
      <c r="IN90" s="321"/>
      <c r="IO90" s="321"/>
      <c r="IP90" s="321"/>
      <c r="IQ90" s="321"/>
      <c r="IR90" s="321"/>
      <c r="IS90" s="321"/>
      <c r="IT90" s="321"/>
      <c r="IU90" s="321"/>
      <c r="IV90" s="321"/>
    </row>
    <row r="91" spans="1:256" s="546" customFormat="1" ht="18" customHeight="1">
      <c r="A91" s="561">
        <v>83</v>
      </c>
      <c r="B91" s="554"/>
      <c r="C91" s="322"/>
      <c r="D91" s="1622" t="s">
        <v>995</v>
      </c>
      <c r="E91" s="1623"/>
      <c r="F91" s="1624"/>
      <c r="G91" s="331"/>
      <c r="H91" s="762"/>
      <c r="I91" s="547"/>
      <c r="J91" s="547"/>
      <c r="K91" s="547"/>
      <c r="L91" s="547"/>
      <c r="M91" s="1619">
        <v>221464</v>
      </c>
      <c r="N91" s="1620"/>
      <c r="O91" s="1621">
        <f>SUM(I91:N91)</f>
        <v>221464</v>
      </c>
      <c r="P91" s="551"/>
      <c r="Q91" s="321"/>
      <c r="R91" s="321"/>
      <c r="S91" s="321"/>
      <c r="T91" s="321"/>
      <c r="U91" s="321"/>
      <c r="V91" s="321"/>
      <c r="W91" s="321"/>
      <c r="X91" s="321"/>
      <c r="Y91" s="321"/>
      <c r="Z91" s="321"/>
      <c r="AA91" s="321"/>
      <c r="AB91" s="321"/>
      <c r="AC91" s="321"/>
      <c r="AD91" s="321"/>
      <c r="AE91" s="321"/>
      <c r="AF91" s="321"/>
      <c r="AG91" s="321"/>
      <c r="AH91" s="321"/>
      <c r="AI91" s="321"/>
      <c r="AJ91" s="321"/>
      <c r="AK91" s="321"/>
      <c r="AL91" s="321"/>
      <c r="AM91" s="321"/>
      <c r="AN91" s="321"/>
      <c r="AO91" s="321"/>
      <c r="AP91" s="321"/>
      <c r="AQ91" s="321"/>
      <c r="AR91" s="321"/>
      <c r="AS91" s="321"/>
      <c r="AT91" s="321"/>
      <c r="AU91" s="321"/>
      <c r="AV91" s="321"/>
      <c r="AW91" s="321"/>
      <c r="AX91" s="321"/>
      <c r="AY91" s="321"/>
      <c r="AZ91" s="321"/>
      <c r="BA91" s="321"/>
      <c r="BB91" s="321"/>
      <c r="BC91" s="321"/>
      <c r="BD91" s="321"/>
      <c r="BE91" s="321"/>
      <c r="BF91" s="321"/>
      <c r="BG91" s="321"/>
      <c r="BH91" s="321"/>
      <c r="BI91" s="321"/>
      <c r="BJ91" s="321"/>
      <c r="BK91" s="321"/>
      <c r="BL91" s="321"/>
      <c r="BM91" s="321"/>
      <c r="BN91" s="321"/>
      <c r="BO91" s="321"/>
      <c r="BP91" s="321"/>
      <c r="BQ91" s="321"/>
      <c r="BR91" s="321"/>
      <c r="BS91" s="321"/>
      <c r="BT91" s="321"/>
      <c r="BU91" s="321"/>
      <c r="BV91" s="321"/>
      <c r="BW91" s="321"/>
      <c r="BX91" s="321"/>
      <c r="BY91" s="321"/>
      <c r="BZ91" s="321"/>
      <c r="CA91" s="321"/>
      <c r="CB91" s="321"/>
      <c r="CC91" s="321"/>
      <c r="CD91" s="321"/>
      <c r="CE91" s="321"/>
      <c r="CF91" s="321"/>
      <c r="CG91" s="321"/>
      <c r="CH91" s="321"/>
      <c r="CI91" s="321"/>
      <c r="CJ91" s="321"/>
      <c r="CK91" s="321"/>
      <c r="CL91" s="321"/>
      <c r="CM91" s="321"/>
      <c r="CN91" s="321"/>
      <c r="CO91" s="321"/>
      <c r="CP91" s="321"/>
      <c r="CQ91" s="321"/>
      <c r="CR91" s="321"/>
      <c r="CS91" s="321"/>
      <c r="CT91" s="321"/>
      <c r="CU91" s="321"/>
      <c r="CV91" s="321"/>
      <c r="CW91" s="321"/>
      <c r="CX91" s="321"/>
      <c r="CY91" s="321"/>
      <c r="CZ91" s="321"/>
      <c r="DA91" s="321"/>
      <c r="DB91" s="321"/>
      <c r="DC91" s="321"/>
      <c r="DD91" s="321"/>
      <c r="DE91" s="321"/>
      <c r="DF91" s="321"/>
      <c r="DG91" s="321"/>
      <c r="DH91" s="321"/>
      <c r="DI91" s="321"/>
      <c r="DJ91" s="321"/>
      <c r="DK91" s="321"/>
      <c r="DL91" s="321"/>
      <c r="DM91" s="321"/>
      <c r="DN91" s="321"/>
      <c r="DO91" s="321"/>
      <c r="DP91" s="321"/>
      <c r="DQ91" s="321"/>
      <c r="DR91" s="321"/>
      <c r="DS91" s="321"/>
      <c r="DT91" s="321"/>
      <c r="DU91" s="321"/>
      <c r="DV91" s="321"/>
      <c r="DW91" s="321"/>
      <c r="DX91" s="321"/>
      <c r="DY91" s="321"/>
      <c r="DZ91" s="321"/>
      <c r="EA91" s="321"/>
      <c r="EB91" s="321"/>
      <c r="EC91" s="321"/>
      <c r="ED91" s="321"/>
      <c r="EE91" s="321"/>
      <c r="EF91" s="321"/>
      <c r="EG91" s="321"/>
      <c r="EH91" s="321"/>
      <c r="EI91" s="321"/>
      <c r="EJ91" s="321"/>
      <c r="EK91" s="321"/>
      <c r="EL91" s="321"/>
      <c r="EM91" s="321"/>
      <c r="EN91" s="321"/>
      <c r="EO91" s="321"/>
      <c r="EP91" s="321"/>
      <c r="EQ91" s="321"/>
      <c r="ER91" s="321"/>
      <c r="ES91" s="321"/>
      <c r="ET91" s="321"/>
      <c r="EU91" s="321"/>
      <c r="EV91" s="321"/>
      <c r="EW91" s="321"/>
      <c r="EX91" s="321"/>
      <c r="EY91" s="321"/>
      <c r="EZ91" s="321"/>
      <c r="FA91" s="321"/>
      <c r="FB91" s="321"/>
      <c r="FC91" s="321"/>
      <c r="FD91" s="321"/>
      <c r="FE91" s="321"/>
      <c r="FF91" s="321"/>
      <c r="FG91" s="321"/>
      <c r="FH91" s="321"/>
      <c r="FI91" s="321"/>
      <c r="FJ91" s="321"/>
      <c r="FK91" s="321"/>
      <c r="FL91" s="321"/>
      <c r="FM91" s="321"/>
      <c r="FN91" s="321"/>
      <c r="FO91" s="321"/>
      <c r="FP91" s="321"/>
      <c r="FQ91" s="321"/>
      <c r="FR91" s="321"/>
      <c r="FS91" s="321"/>
      <c r="FT91" s="321"/>
      <c r="FU91" s="321"/>
      <c r="FV91" s="321"/>
      <c r="FW91" s="321"/>
      <c r="FX91" s="321"/>
      <c r="FY91" s="321"/>
      <c r="FZ91" s="321"/>
      <c r="GA91" s="321"/>
      <c r="GB91" s="321"/>
      <c r="GC91" s="321"/>
      <c r="GD91" s="321"/>
      <c r="GE91" s="321"/>
      <c r="GF91" s="321"/>
      <c r="GG91" s="321"/>
      <c r="GH91" s="321"/>
      <c r="GI91" s="321"/>
      <c r="GJ91" s="321"/>
      <c r="GK91" s="321"/>
      <c r="GL91" s="321"/>
      <c r="GM91" s="321"/>
      <c r="GN91" s="321"/>
      <c r="GO91" s="321"/>
      <c r="GP91" s="321"/>
      <c r="GQ91" s="321"/>
      <c r="GR91" s="321"/>
      <c r="GS91" s="321"/>
      <c r="GT91" s="321"/>
      <c r="GU91" s="321"/>
      <c r="GV91" s="321"/>
      <c r="GW91" s="321"/>
      <c r="GX91" s="321"/>
      <c r="GY91" s="321"/>
      <c r="GZ91" s="321"/>
      <c r="HA91" s="321"/>
      <c r="HB91" s="321"/>
      <c r="HC91" s="321"/>
      <c r="HD91" s="321"/>
      <c r="HE91" s="321"/>
      <c r="HF91" s="321"/>
      <c r="HG91" s="321"/>
      <c r="HH91" s="321"/>
      <c r="HI91" s="321"/>
      <c r="HJ91" s="321"/>
      <c r="HK91" s="321"/>
      <c r="HL91" s="321"/>
      <c r="HM91" s="321"/>
      <c r="HN91" s="321"/>
      <c r="HO91" s="321"/>
      <c r="HP91" s="321"/>
      <c r="HQ91" s="321"/>
      <c r="HR91" s="321"/>
      <c r="HS91" s="321"/>
      <c r="HT91" s="321"/>
      <c r="HU91" s="321"/>
      <c r="HV91" s="321"/>
      <c r="HW91" s="321"/>
      <c r="HX91" s="321"/>
      <c r="HY91" s="321"/>
      <c r="HZ91" s="321"/>
      <c r="IA91" s="321"/>
      <c r="IB91" s="321"/>
      <c r="IC91" s="321"/>
      <c r="ID91" s="321"/>
      <c r="IE91" s="321"/>
      <c r="IF91" s="321"/>
      <c r="IG91" s="321"/>
      <c r="IH91" s="321"/>
      <c r="II91" s="321"/>
      <c r="IJ91" s="321"/>
      <c r="IK91" s="321"/>
      <c r="IL91" s="321"/>
      <c r="IM91" s="321"/>
      <c r="IN91" s="321"/>
      <c r="IO91" s="321"/>
      <c r="IP91" s="321"/>
      <c r="IQ91" s="321"/>
      <c r="IR91" s="321"/>
      <c r="IS91" s="321"/>
      <c r="IT91" s="321"/>
      <c r="IU91" s="321"/>
      <c r="IV91" s="321"/>
    </row>
    <row r="92" spans="1:256" s="546" customFormat="1" ht="18" customHeight="1">
      <c r="A92" s="561">
        <v>84</v>
      </c>
      <c r="B92" s="554"/>
      <c r="C92" s="322"/>
      <c r="D92" s="1622" t="s">
        <v>996</v>
      </c>
      <c r="E92" s="1623"/>
      <c r="F92" s="1624"/>
      <c r="G92" s="331"/>
      <c r="H92" s="762"/>
      <c r="I92" s="547"/>
      <c r="J92" s="547"/>
      <c r="K92" s="547"/>
      <c r="L92" s="547"/>
      <c r="M92" s="1619">
        <v>100000</v>
      </c>
      <c r="N92" s="1620"/>
      <c r="O92" s="1621">
        <f>SUM(I92:N92)</f>
        <v>100000</v>
      </c>
      <c r="P92" s="551"/>
      <c r="Q92" s="321"/>
      <c r="R92" s="321"/>
      <c r="S92" s="321"/>
      <c r="T92" s="321"/>
      <c r="U92" s="321"/>
      <c r="V92" s="321"/>
      <c r="W92" s="321"/>
      <c r="X92" s="321"/>
      <c r="Y92" s="321"/>
      <c r="Z92" s="321"/>
      <c r="AA92" s="321"/>
      <c r="AB92" s="321"/>
      <c r="AC92" s="321"/>
      <c r="AD92" s="321"/>
      <c r="AE92" s="321"/>
      <c r="AF92" s="321"/>
      <c r="AG92" s="321"/>
      <c r="AH92" s="321"/>
      <c r="AI92" s="321"/>
      <c r="AJ92" s="321"/>
      <c r="AK92" s="321"/>
      <c r="AL92" s="321"/>
      <c r="AM92" s="321"/>
      <c r="AN92" s="321"/>
      <c r="AO92" s="321"/>
      <c r="AP92" s="321"/>
      <c r="AQ92" s="321"/>
      <c r="AR92" s="321"/>
      <c r="AS92" s="321"/>
      <c r="AT92" s="321"/>
      <c r="AU92" s="321"/>
      <c r="AV92" s="321"/>
      <c r="AW92" s="321"/>
      <c r="AX92" s="321"/>
      <c r="AY92" s="321"/>
      <c r="AZ92" s="321"/>
      <c r="BA92" s="321"/>
      <c r="BB92" s="321"/>
      <c r="BC92" s="321"/>
      <c r="BD92" s="321"/>
      <c r="BE92" s="321"/>
      <c r="BF92" s="321"/>
      <c r="BG92" s="321"/>
      <c r="BH92" s="321"/>
      <c r="BI92" s="321"/>
      <c r="BJ92" s="321"/>
      <c r="BK92" s="321"/>
      <c r="BL92" s="321"/>
      <c r="BM92" s="321"/>
      <c r="BN92" s="321"/>
      <c r="BO92" s="321"/>
      <c r="BP92" s="321"/>
      <c r="BQ92" s="321"/>
      <c r="BR92" s="321"/>
      <c r="BS92" s="321"/>
      <c r="BT92" s="321"/>
      <c r="BU92" s="321"/>
      <c r="BV92" s="321"/>
      <c r="BW92" s="321"/>
      <c r="BX92" s="321"/>
      <c r="BY92" s="321"/>
      <c r="BZ92" s="321"/>
      <c r="CA92" s="321"/>
      <c r="CB92" s="321"/>
      <c r="CC92" s="321"/>
      <c r="CD92" s="321"/>
      <c r="CE92" s="321"/>
      <c r="CF92" s="321"/>
      <c r="CG92" s="321"/>
      <c r="CH92" s="321"/>
      <c r="CI92" s="321"/>
      <c r="CJ92" s="321"/>
      <c r="CK92" s="321"/>
      <c r="CL92" s="321"/>
      <c r="CM92" s="321"/>
      <c r="CN92" s="321"/>
      <c r="CO92" s="321"/>
      <c r="CP92" s="321"/>
      <c r="CQ92" s="321"/>
      <c r="CR92" s="321"/>
      <c r="CS92" s="321"/>
      <c r="CT92" s="321"/>
      <c r="CU92" s="321"/>
      <c r="CV92" s="321"/>
      <c r="CW92" s="321"/>
      <c r="CX92" s="321"/>
      <c r="CY92" s="321"/>
      <c r="CZ92" s="321"/>
      <c r="DA92" s="321"/>
      <c r="DB92" s="321"/>
      <c r="DC92" s="321"/>
      <c r="DD92" s="321"/>
      <c r="DE92" s="321"/>
      <c r="DF92" s="321"/>
      <c r="DG92" s="321"/>
      <c r="DH92" s="321"/>
      <c r="DI92" s="321"/>
      <c r="DJ92" s="321"/>
      <c r="DK92" s="321"/>
      <c r="DL92" s="321"/>
      <c r="DM92" s="321"/>
      <c r="DN92" s="321"/>
      <c r="DO92" s="321"/>
      <c r="DP92" s="321"/>
      <c r="DQ92" s="321"/>
      <c r="DR92" s="321"/>
      <c r="DS92" s="321"/>
      <c r="DT92" s="321"/>
      <c r="DU92" s="321"/>
      <c r="DV92" s="321"/>
      <c r="DW92" s="321"/>
      <c r="DX92" s="321"/>
      <c r="DY92" s="321"/>
      <c r="DZ92" s="321"/>
      <c r="EA92" s="321"/>
      <c r="EB92" s="321"/>
      <c r="EC92" s="321"/>
      <c r="ED92" s="321"/>
      <c r="EE92" s="321"/>
      <c r="EF92" s="321"/>
      <c r="EG92" s="321"/>
      <c r="EH92" s="321"/>
      <c r="EI92" s="321"/>
      <c r="EJ92" s="321"/>
      <c r="EK92" s="321"/>
      <c r="EL92" s="321"/>
      <c r="EM92" s="321"/>
      <c r="EN92" s="321"/>
      <c r="EO92" s="321"/>
      <c r="EP92" s="321"/>
      <c r="EQ92" s="321"/>
      <c r="ER92" s="321"/>
      <c r="ES92" s="321"/>
      <c r="ET92" s="321"/>
      <c r="EU92" s="321"/>
      <c r="EV92" s="321"/>
      <c r="EW92" s="321"/>
      <c r="EX92" s="321"/>
      <c r="EY92" s="321"/>
      <c r="EZ92" s="321"/>
      <c r="FA92" s="321"/>
      <c r="FB92" s="321"/>
      <c r="FC92" s="321"/>
      <c r="FD92" s="321"/>
      <c r="FE92" s="321"/>
      <c r="FF92" s="321"/>
      <c r="FG92" s="321"/>
      <c r="FH92" s="321"/>
      <c r="FI92" s="321"/>
      <c r="FJ92" s="321"/>
      <c r="FK92" s="321"/>
      <c r="FL92" s="321"/>
      <c r="FM92" s="321"/>
      <c r="FN92" s="321"/>
      <c r="FO92" s="321"/>
      <c r="FP92" s="321"/>
      <c r="FQ92" s="321"/>
      <c r="FR92" s="321"/>
      <c r="FS92" s="321"/>
      <c r="FT92" s="321"/>
      <c r="FU92" s="321"/>
      <c r="FV92" s="321"/>
      <c r="FW92" s="321"/>
      <c r="FX92" s="321"/>
      <c r="FY92" s="321"/>
      <c r="FZ92" s="321"/>
      <c r="GA92" s="321"/>
      <c r="GB92" s="321"/>
      <c r="GC92" s="321"/>
      <c r="GD92" s="321"/>
      <c r="GE92" s="321"/>
      <c r="GF92" s="321"/>
      <c r="GG92" s="321"/>
      <c r="GH92" s="321"/>
      <c r="GI92" s="321"/>
      <c r="GJ92" s="321"/>
      <c r="GK92" s="321"/>
      <c r="GL92" s="321"/>
      <c r="GM92" s="321"/>
      <c r="GN92" s="321"/>
      <c r="GO92" s="321"/>
      <c r="GP92" s="321"/>
      <c r="GQ92" s="321"/>
      <c r="GR92" s="321"/>
      <c r="GS92" s="321"/>
      <c r="GT92" s="321"/>
      <c r="GU92" s="321"/>
      <c r="GV92" s="321"/>
      <c r="GW92" s="321"/>
      <c r="GX92" s="321"/>
      <c r="GY92" s="321"/>
      <c r="GZ92" s="321"/>
      <c r="HA92" s="321"/>
      <c r="HB92" s="321"/>
      <c r="HC92" s="321"/>
      <c r="HD92" s="321"/>
      <c r="HE92" s="321"/>
      <c r="HF92" s="321"/>
      <c r="HG92" s="321"/>
      <c r="HH92" s="321"/>
      <c r="HI92" s="321"/>
      <c r="HJ92" s="321"/>
      <c r="HK92" s="321"/>
      <c r="HL92" s="321"/>
      <c r="HM92" s="321"/>
      <c r="HN92" s="321"/>
      <c r="HO92" s="321"/>
      <c r="HP92" s="321"/>
      <c r="HQ92" s="321"/>
      <c r="HR92" s="321"/>
      <c r="HS92" s="321"/>
      <c r="HT92" s="321"/>
      <c r="HU92" s="321"/>
      <c r="HV92" s="321"/>
      <c r="HW92" s="321"/>
      <c r="HX92" s="321"/>
      <c r="HY92" s="321"/>
      <c r="HZ92" s="321"/>
      <c r="IA92" s="321"/>
      <c r="IB92" s="321"/>
      <c r="IC92" s="321"/>
      <c r="ID92" s="321"/>
      <c r="IE92" s="321"/>
      <c r="IF92" s="321"/>
      <c r="IG92" s="321"/>
      <c r="IH92" s="321"/>
      <c r="II92" s="321"/>
      <c r="IJ92" s="321"/>
      <c r="IK92" s="321"/>
      <c r="IL92" s="321"/>
      <c r="IM92" s="321"/>
      <c r="IN92" s="321"/>
      <c r="IO92" s="321"/>
      <c r="IP92" s="321"/>
      <c r="IQ92" s="321"/>
      <c r="IR92" s="321"/>
      <c r="IS92" s="321"/>
      <c r="IT92" s="321"/>
      <c r="IU92" s="321"/>
      <c r="IV92" s="321"/>
    </row>
    <row r="93" spans="1:256" s="546" customFormat="1" ht="18" customHeight="1">
      <c r="A93" s="561">
        <v>85</v>
      </c>
      <c r="B93" s="554"/>
      <c r="C93" s="322"/>
      <c r="D93" s="2252" t="s">
        <v>1008</v>
      </c>
      <c r="E93" s="2253"/>
      <c r="F93" s="2254"/>
      <c r="G93" s="331"/>
      <c r="H93" s="762"/>
      <c r="I93" s="547"/>
      <c r="J93" s="547"/>
      <c r="K93" s="547"/>
      <c r="L93" s="547"/>
      <c r="M93" s="1619">
        <v>20000</v>
      </c>
      <c r="N93" s="1620"/>
      <c r="O93" s="1621">
        <f>SUM(I93:N93)</f>
        <v>20000</v>
      </c>
      <c r="P93" s="551"/>
      <c r="Q93" s="321"/>
      <c r="R93" s="321"/>
      <c r="S93" s="321"/>
      <c r="T93" s="321"/>
      <c r="U93" s="321"/>
      <c r="V93" s="321"/>
      <c r="W93" s="321"/>
      <c r="X93" s="321"/>
      <c r="Y93" s="321"/>
      <c r="Z93" s="321"/>
      <c r="AA93" s="321"/>
      <c r="AB93" s="321"/>
      <c r="AC93" s="321"/>
      <c r="AD93" s="321"/>
      <c r="AE93" s="321"/>
      <c r="AF93" s="321"/>
      <c r="AG93" s="321"/>
      <c r="AH93" s="321"/>
      <c r="AI93" s="321"/>
      <c r="AJ93" s="321"/>
      <c r="AK93" s="321"/>
      <c r="AL93" s="321"/>
      <c r="AM93" s="321"/>
      <c r="AN93" s="321"/>
      <c r="AO93" s="321"/>
      <c r="AP93" s="321"/>
      <c r="AQ93" s="321"/>
      <c r="AR93" s="321"/>
      <c r="AS93" s="321"/>
      <c r="AT93" s="321"/>
      <c r="AU93" s="321"/>
      <c r="AV93" s="321"/>
      <c r="AW93" s="321"/>
      <c r="AX93" s="321"/>
      <c r="AY93" s="321"/>
      <c r="AZ93" s="321"/>
      <c r="BA93" s="321"/>
      <c r="BB93" s="321"/>
      <c r="BC93" s="321"/>
      <c r="BD93" s="321"/>
      <c r="BE93" s="321"/>
      <c r="BF93" s="321"/>
      <c r="BG93" s="321"/>
      <c r="BH93" s="321"/>
      <c r="BI93" s="321"/>
      <c r="BJ93" s="321"/>
      <c r="BK93" s="321"/>
      <c r="BL93" s="321"/>
      <c r="BM93" s="321"/>
      <c r="BN93" s="321"/>
      <c r="BO93" s="321"/>
      <c r="BP93" s="321"/>
      <c r="BQ93" s="321"/>
      <c r="BR93" s="321"/>
      <c r="BS93" s="321"/>
      <c r="BT93" s="321"/>
      <c r="BU93" s="321"/>
      <c r="BV93" s="321"/>
      <c r="BW93" s="321"/>
      <c r="BX93" s="321"/>
      <c r="BY93" s="321"/>
      <c r="BZ93" s="321"/>
      <c r="CA93" s="321"/>
      <c r="CB93" s="321"/>
      <c r="CC93" s="321"/>
      <c r="CD93" s="321"/>
      <c r="CE93" s="321"/>
      <c r="CF93" s="321"/>
      <c r="CG93" s="321"/>
      <c r="CH93" s="321"/>
      <c r="CI93" s="321"/>
      <c r="CJ93" s="321"/>
      <c r="CK93" s="321"/>
      <c r="CL93" s="321"/>
      <c r="CM93" s="321"/>
      <c r="CN93" s="321"/>
      <c r="CO93" s="321"/>
      <c r="CP93" s="321"/>
      <c r="CQ93" s="321"/>
      <c r="CR93" s="321"/>
      <c r="CS93" s="321"/>
      <c r="CT93" s="321"/>
      <c r="CU93" s="321"/>
      <c r="CV93" s="321"/>
      <c r="CW93" s="321"/>
      <c r="CX93" s="321"/>
      <c r="CY93" s="321"/>
      <c r="CZ93" s="321"/>
      <c r="DA93" s="321"/>
      <c r="DB93" s="321"/>
      <c r="DC93" s="321"/>
      <c r="DD93" s="321"/>
      <c r="DE93" s="321"/>
      <c r="DF93" s="321"/>
      <c r="DG93" s="321"/>
      <c r="DH93" s="321"/>
      <c r="DI93" s="321"/>
      <c r="DJ93" s="321"/>
      <c r="DK93" s="321"/>
      <c r="DL93" s="321"/>
      <c r="DM93" s="321"/>
      <c r="DN93" s="321"/>
      <c r="DO93" s="321"/>
      <c r="DP93" s="321"/>
      <c r="DQ93" s="321"/>
      <c r="DR93" s="321"/>
      <c r="DS93" s="321"/>
      <c r="DT93" s="321"/>
      <c r="DU93" s="321"/>
      <c r="DV93" s="321"/>
      <c r="DW93" s="321"/>
      <c r="DX93" s="321"/>
      <c r="DY93" s="321"/>
      <c r="DZ93" s="321"/>
      <c r="EA93" s="321"/>
      <c r="EB93" s="321"/>
      <c r="EC93" s="321"/>
      <c r="ED93" s="321"/>
      <c r="EE93" s="321"/>
      <c r="EF93" s="321"/>
      <c r="EG93" s="321"/>
      <c r="EH93" s="321"/>
      <c r="EI93" s="321"/>
      <c r="EJ93" s="321"/>
      <c r="EK93" s="321"/>
      <c r="EL93" s="321"/>
      <c r="EM93" s="321"/>
      <c r="EN93" s="321"/>
      <c r="EO93" s="321"/>
      <c r="EP93" s="321"/>
      <c r="EQ93" s="321"/>
      <c r="ER93" s="321"/>
      <c r="ES93" s="321"/>
      <c r="ET93" s="321"/>
      <c r="EU93" s="321"/>
      <c r="EV93" s="321"/>
      <c r="EW93" s="321"/>
      <c r="EX93" s="321"/>
      <c r="EY93" s="321"/>
      <c r="EZ93" s="321"/>
      <c r="FA93" s="321"/>
      <c r="FB93" s="321"/>
      <c r="FC93" s="321"/>
      <c r="FD93" s="321"/>
      <c r="FE93" s="321"/>
      <c r="FF93" s="321"/>
      <c r="FG93" s="321"/>
      <c r="FH93" s="321"/>
      <c r="FI93" s="321"/>
      <c r="FJ93" s="321"/>
      <c r="FK93" s="321"/>
      <c r="FL93" s="321"/>
      <c r="FM93" s="321"/>
      <c r="FN93" s="321"/>
      <c r="FO93" s="321"/>
      <c r="FP93" s="321"/>
      <c r="FQ93" s="321"/>
      <c r="FR93" s="321"/>
      <c r="FS93" s="321"/>
      <c r="FT93" s="321"/>
      <c r="FU93" s="321"/>
      <c r="FV93" s="321"/>
      <c r="FW93" s="321"/>
      <c r="FX93" s="321"/>
      <c r="FY93" s="321"/>
      <c r="FZ93" s="321"/>
      <c r="GA93" s="321"/>
      <c r="GB93" s="321"/>
      <c r="GC93" s="321"/>
      <c r="GD93" s="321"/>
      <c r="GE93" s="321"/>
      <c r="GF93" s="321"/>
      <c r="GG93" s="321"/>
      <c r="GH93" s="321"/>
      <c r="GI93" s="321"/>
      <c r="GJ93" s="321"/>
      <c r="GK93" s="321"/>
      <c r="GL93" s="321"/>
      <c r="GM93" s="321"/>
      <c r="GN93" s="321"/>
      <c r="GO93" s="321"/>
      <c r="GP93" s="321"/>
      <c r="GQ93" s="321"/>
      <c r="GR93" s="321"/>
      <c r="GS93" s="321"/>
      <c r="GT93" s="321"/>
      <c r="GU93" s="321"/>
      <c r="GV93" s="321"/>
      <c r="GW93" s="321"/>
      <c r="GX93" s="321"/>
      <c r="GY93" s="321"/>
      <c r="GZ93" s="321"/>
      <c r="HA93" s="321"/>
      <c r="HB93" s="321"/>
      <c r="HC93" s="321"/>
      <c r="HD93" s="321"/>
      <c r="HE93" s="321"/>
      <c r="HF93" s="321"/>
      <c r="HG93" s="321"/>
      <c r="HH93" s="321"/>
      <c r="HI93" s="321"/>
      <c r="HJ93" s="321"/>
      <c r="HK93" s="321"/>
      <c r="HL93" s="321"/>
      <c r="HM93" s="321"/>
      <c r="HN93" s="321"/>
      <c r="HO93" s="321"/>
      <c r="HP93" s="321"/>
      <c r="HQ93" s="321"/>
      <c r="HR93" s="321"/>
      <c r="HS93" s="321"/>
      <c r="HT93" s="321"/>
      <c r="HU93" s="321"/>
      <c r="HV93" s="321"/>
      <c r="HW93" s="321"/>
      <c r="HX93" s="321"/>
      <c r="HY93" s="321"/>
      <c r="HZ93" s="321"/>
      <c r="IA93" s="321"/>
      <c r="IB93" s="321"/>
      <c r="IC93" s="321"/>
      <c r="ID93" s="321"/>
      <c r="IE93" s="321"/>
      <c r="IF93" s="321"/>
      <c r="IG93" s="321"/>
      <c r="IH93" s="321"/>
      <c r="II93" s="321"/>
      <c r="IJ93" s="321"/>
      <c r="IK93" s="321"/>
      <c r="IL93" s="321"/>
      <c r="IM93" s="321"/>
      <c r="IN93" s="321"/>
      <c r="IO93" s="321"/>
      <c r="IP93" s="321"/>
      <c r="IQ93" s="321"/>
      <c r="IR93" s="321"/>
      <c r="IS93" s="321"/>
      <c r="IT93" s="321"/>
      <c r="IU93" s="321"/>
      <c r="IV93" s="321"/>
    </row>
    <row r="94" spans="1:256" s="546" customFormat="1" ht="18" customHeight="1">
      <c r="A94" s="561">
        <v>86</v>
      </c>
      <c r="B94" s="554"/>
      <c r="C94" s="322"/>
      <c r="D94" s="1622" t="s">
        <v>1000</v>
      </c>
      <c r="E94" s="1623"/>
      <c r="F94" s="1624"/>
      <c r="G94" s="331"/>
      <c r="H94" s="762"/>
      <c r="I94" s="547"/>
      <c r="J94" s="547"/>
      <c r="K94" s="547"/>
      <c r="L94" s="547"/>
      <c r="M94" s="1619">
        <v>50000</v>
      </c>
      <c r="N94" s="1620"/>
      <c r="O94" s="1621">
        <f>SUM(I94:N94)</f>
        <v>50000</v>
      </c>
      <c r="P94" s="551"/>
      <c r="Q94" s="321"/>
      <c r="R94" s="321"/>
      <c r="S94" s="321"/>
      <c r="T94" s="321"/>
      <c r="U94" s="321"/>
      <c r="V94" s="321"/>
      <c r="W94" s="321"/>
      <c r="X94" s="321"/>
      <c r="Y94" s="321"/>
      <c r="Z94" s="321"/>
      <c r="AA94" s="321"/>
      <c r="AB94" s="321"/>
      <c r="AC94" s="321"/>
      <c r="AD94" s="321"/>
      <c r="AE94" s="321"/>
      <c r="AF94" s="321"/>
      <c r="AG94" s="321"/>
      <c r="AH94" s="321"/>
      <c r="AI94" s="321"/>
      <c r="AJ94" s="321"/>
      <c r="AK94" s="321"/>
      <c r="AL94" s="321"/>
      <c r="AM94" s="321"/>
      <c r="AN94" s="321"/>
      <c r="AO94" s="321"/>
      <c r="AP94" s="321"/>
      <c r="AQ94" s="321"/>
      <c r="AR94" s="321"/>
      <c r="AS94" s="321"/>
      <c r="AT94" s="321"/>
      <c r="AU94" s="321"/>
      <c r="AV94" s="321"/>
      <c r="AW94" s="321"/>
      <c r="AX94" s="321"/>
      <c r="AY94" s="321"/>
      <c r="AZ94" s="321"/>
      <c r="BA94" s="321"/>
      <c r="BB94" s="321"/>
      <c r="BC94" s="321"/>
      <c r="BD94" s="321"/>
      <c r="BE94" s="321"/>
      <c r="BF94" s="321"/>
      <c r="BG94" s="321"/>
      <c r="BH94" s="321"/>
      <c r="BI94" s="321"/>
      <c r="BJ94" s="321"/>
      <c r="BK94" s="321"/>
      <c r="BL94" s="321"/>
      <c r="BM94" s="321"/>
      <c r="BN94" s="321"/>
      <c r="BO94" s="321"/>
      <c r="BP94" s="321"/>
      <c r="BQ94" s="321"/>
      <c r="BR94" s="321"/>
      <c r="BS94" s="321"/>
      <c r="BT94" s="321"/>
      <c r="BU94" s="321"/>
      <c r="BV94" s="321"/>
      <c r="BW94" s="321"/>
      <c r="BX94" s="321"/>
      <c r="BY94" s="321"/>
      <c r="BZ94" s="321"/>
      <c r="CA94" s="321"/>
      <c r="CB94" s="321"/>
      <c r="CC94" s="321"/>
      <c r="CD94" s="321"/>
      <c r="CE94" s="321"/>
      <c r="CF94" s="321"/>
      <c r="CG94" s="321"/>
      <c r="CH94" s="321"/>
      <c r="CI94" s="321"/>
      <c r="CJ94" s="321"/>
      <c r="CK94" s="321"/>
      <c r="CL94" s="321"/>
      <c r="CM94" s="321"/>
      <c r="CN94" s="321"/>
      <c r="CO94" s="321"/>
      <c r="CP94" s="321"/>
      <c r="CQ94" s="321"/>
      <c r="CR94" s="321"/>
      <c r="CS94" s="321"/>
      <c r="CT94" s="321"/>
      <c r="CU94" s="321"/>
      <c r="CV94" s="321"/>
      <c r="CW94" s="321"/>
      <c r="CX94" s="321"/>
      <c r="CY94" s="321"/>
      <c r="CZ94" s="321"/>
      <c r="DA94" s="321"/>
      <c r="DB94" s="321"/>
      <c r="DC94" s="321"/>
      <c r="DD94" s="321"/>
      <c r="DE94" s="321"/>
      <c r="DF94" s="321"/>
      <c r="DG94" s="321"/>
      <c r="DH94" s="321"/>
      <c r="DI94" s="321"/>
      <c r="DJ94" s="321"/>
      <c r="DK94" s="321"/>
      <c r="DL94" s="321"/>
      <c r="DM94" s="321"/>
      <c r="DN94" s="321"/>
      <c r="DO94" s="321"/>
      <c r="DP94" s="321"/>
      <c r="DQ94" s="321"/>
      <c r="DR94" s="321"/>
      <c r="DS94" s="321"/>
      <c r="DT94" s="321"/>
      <c r="DU94" s="321"/>
      <c r="DV94" s="321"/>
      <c r="DW94" s="321"/>
      <c r="DX94" s="321"/>
      <c r="DY94" s="321"/>
      <c r="DZ94" s="321"/>
      <c r="EA94" s="321"/>
      <c r="EB94" s="321"/>
      <c r="EC94" s="321"/>
      <c r="ED94" s="321"/>
      <c r="EE94" s="321"/>
      <c r="EF94" s="321"/>
      <c r="EG94" s="321"/>
      <c r="EH94" s="321"/>
      <c r="EI94" s="321"/>
      <c r="EJ94" s="321"/>
      <c r="EK94" s="321"/>
      <c r="EL94" s="321"/>
      <c r="EM94" s="321"/>
      <c r="EN94" s="321"/>
      <c r="EO94" s="321"/>
      <c r="EP94" s="321"/>
      <c r="EQ94" s="321"/>
      <c r="ER94" s="321"/>
      <c r="ES94" s="321"/>
      <c r="ET94" s="321"/>
      <c r="EU94" s="321"/>
      <c r="EV94" s="321"/>
      <c r="EW94" s="321"/>
      <c r="EX94" s="321"/>
      <c r="EY94" s="321"/>
      <c r="EZ94" s="321"/>
      <c r="FA94" s="321"/>
      <c r="FB94" s="321"/>
      <c r="FC94" s="321"/>
      <c r="FD94" s="321"/>
      <c r="FE94" s="321"/>
      <c r="FF94" s="321"/>
      <c r="FG94" s="321"/>
      <c r="FH94" s="321"/>
      <c r="FI94" s="321"/>
      <c r="FJ94" s="321"/>
      <c r="FK94" s="321"/>
      <c r="FL94" s="321"/>
      <c r="FM94" s="321"/>
      <c r="FN94" s="321"/>
      <c r="FO94" s="321"/>
      <c r="FP94" s="321"/>
      <c r="FQ94" s="321"/>
      <c r="FR94" s="321"/>
      <c r="FS94" s="321"/>
      <c r="FT94" s="321"/>
      <c r="FU94" s="321"/>
      <c r="FV94" s="321"/>
      <c r="FW94" s="321"/>
      <c r="FX94" s="321"/>
      <c r="FY94" s="321"/>
      <c r="FZ94" s="321"/>
      <c r="GA94" s="321"/>
      <c r="GB94" s="321"/>
      <c r="GC94" s="321"/>
      <c r="GD94" s="321"/>
      <c r="GE94" s="321"/>
      <c r="GF94" s="321"/>
      <c r="GG94" s="321"/>
      <c r="GH94" s="321"/>
      <c r="GI94" s="321"/>
      <c r="GJ94" s="321"/>
      <c r="GK94" s="321"/>
      <c r="GL94" s="321"/>
      <c r="GM94" s="321"/>
      <c r="GN94" s="321"/>
      <c r="GO94" s="321"/>
      <c r="GP94" s="321"/>
      <c r="GQ94" s="321"/>
      <c r="GR94" s="321"/>
      <c r="GS94" s="321"/>
      <c r="GT94" s="321"/>
      <c r="GU94" s="321"/>
      <c r="GV94" s="321"/>
      <c r="GW94" s="321"/>
      <c r="GX94" s="321"/>
      <c r="GY94" s="321"/>
      <c r="GZ94" s="321"/>
      <c r="HA94" s="321"/>
      <c r="HB94" s="321"/>
      <c r="HC94" s="321"/>
      <c r="HD94" s="321"/>
      <c r="HE94" s="321"/>
      <c r="HF94" s="321"/>
      <c r="HG94" s="321"/>
      <c r="HH94" s="321"/>
      <c r="HI94" s="321"/>
      <c r="HJ94" s="321"/>
      <c r="HK94" s="321"/>
      <c r="HL94" s="321"/>
      <c r="HM94" s="321"/>
      <c r="HN94" s="321"/>
      <c r="HO94" s="321"/>
      <c r="HP94" s="321"/>
      <c r="HQ94" s="321"/>
      <c r="HR94" s="321"/>
      <c r="HS94" s="321"/>
      <c r="HT94" s="321"/>
      <c r="HU94" s="321"/>
      <c r="HV94" s="321"/>
      <c r="HW94" s="321"/>
      <c r="HX94" s="321"/>
      <c r="HY94" s="321"/>
      <c r="HZ94" s="321"/>
      <c r="IA94" s="321"/>
      <c r="IB94" s="321"/>
      <c r="IC94" s="321"/>
      <c r="ID94" s="321"/>
      <c r="IE94" s="321"/>
      <c r="IF94" s="321"/>
      <c r="IG94" s="321"/>
      <c r="IH94" s="321"/>
      <c r="II94" s="321"/>
      <c r="IJ94" s="321"/>
      <c r="IK94" s="321"/>
      <c r="IL94" s="321"/>
      <c r="IM94" s="321"/>
      <c r="IN94" s="321"/>
      <c r="IO94" s="321"/>
      <c r="IP94" s="321"/>
      <c r="IQ94" s="321"/>
      <c r="IR94" s="321"/>
      <c r="IS94" s="321"/>
      <c r="IT94" s="321"/>
      <c r="IU94" s="321"/>
      <c r="IV94" s="321"/>
    </row>
    <row r="95" spans="1:256" s="546" customFormat="1" ht="18" customHeight="1" thickBot="1">
      <c r="A95" s="561">
        <v>87</v>
      </c>
      <c r="B95" s="554"/>
      <c r="C95" s="322"/>
      <c r="D95" s="1622" t="s">
        <v>997</v>
      </c>
      <c r="E95" s="1623"/>
      <c r="F95" s="1624"/>
      <c r="G95" s="331"/>
      <c r="H95" s="762"/>
      <c r="I95" s="547"/>
      <c r="J95" s="547"/>
      <c r="K95" s="547"/>
      <c r="L95" s="547"/>
      <c r="M95" s="1619">
        <v>200436</v>
      </c>
      <c r="N95" s="1620"/>
      <c r="O95" s="1621">
        <f>SUM(I95:N95)</f>
        <v>200436</v>
      </c>
      <c r="P95" s="1117"/>
      <c r="Q95" s="321"/>
      <c r="R95" s="321"/>
      <c r="S95" s="321"/>
      <c r="T95" s="321"/>
      <c r="U95" s="321"/>
      <c r="V95" s="321"/>
      <c r="W95" s="321"/>
      <c r="X95" s="321"/>
      <c r="Y95" s="321"/>
      <c r="Z95" s="321"/>
      <c r="AA95" s="321"/>
      <c r="AB95" s="321"/>
      <c r="AC95" s="321"/>
      <c r="AD95" s="321"/>
      <c r="AE95" s="321"/>
      <c r="AF95" s="321"/>
      <c r="AG95" s="321"/>
      <c r="AH95" s="321"/>
      <c r="AI95" s="321"/>
      <c r="AJ95" s="321"/>
      <c r="AK95" s="321"/>
      <c r="AL95" s="321"/>
      <c r="AM95" s="321"/>
      <c r="AN95" s="321"/>
      <c r="AO95" s="321"/>
      <c r="AP95" s="321"/>
      <c r="AQ95" s="321"/>
      <c r="AR95" s="321"/>
      <c r="AS95" s="321"/>
      <c r="AT95" s="321"/>
      <c r="AU95" s="321"/>
      <c r="AV95" s="321"/>
      <c r="AW95" s="321"/>
      <c r="AX95" s="321"/>
      <c r="AY95" s="321"/>
      <c r="AZ95" s="321"/>
      <c r="BA95" s="321"/>
      <c r="BB95" s="321"/>
      <c r="BC95" s="321"/>
      <c r="BD95" s="321"/>
      <c r="BE95" s="321"/>
      <c r="BF95" s="321"/>
      <c r="BG95" s="321"/>
      <c r="BH95" s="321"/>
      <c r="BI95" s="321"/>
      <c r="BJ95" s="321"/>
      <c r="BK95" s="321"/>
      <c r="BL95" s="321"/>
      <c r="BM95" s="321"/>
      <c r="BN95" s="321"/>
      <c r="BO95" s="321"/>
      <c r="BP95" s="321"/>
      <c r="BQ95" s="321"/>
      <c r="BR95" s="321"/>
      <c r="BS95" s="321"/>
      <c r="BT95" s="321"/>
      <c r="BU95" s="321"/>
      <c r="BV95" s="321"/>
      <c r="BW95" s="321"/>
      <c r="BX95" s="321"/>
      <c r="BY95" s="321"/>
      <c r="BZ95" s="321"/>
      <c r="CA95" s="321"/>
      <c r="CB95" s="321"/>
      <c r="CC95" s="321"/>
      <c r="CD95" s="321"/>
      <c r="CE95" s="321"/>
      <c r="CF95" s="321"/>
      <c r="CG95" s="321"/>
      <c r="CH95" s="321"/>
      <c r="CI95" s="321"/>
      <c r="CJ95" s="321"/>
      <c r="CK95" s="321"/>
      <c r="CL95" s="321"/>
      <c r="CM95" s="321"/>
      <c r="CN95" s="321"/>
      <c r="CO95" s="321"/>
      <c r="CP95" s="321"/>
      <c r="CQ95" s="321"/>
      <c r="CR95" s="321"/>
      <c r="CS95" s="321"/>
      <c r="CT95" s="321"/>
      <c r="CU95" s="321"/>
      <c r="CV95" s="321"/>
      <c r="CW95" s="321"/>
      <c r="CX95" s="321"/>
      <c r="CY95" s="321"/>
      <c r="CZ95" s="321"/>
      <c r="DA95" s="321"/>
      <c r="DB95" s="321"/>
      <c r="DC95" s="321"/>
      <c r="DD95" s="321"/>
      <c r="DE95" s="321"/>
      <c r="DF95" s="321"/>
      <c r="DG95" s="321"/>
      <c r="DH95" s="321"/>
      <c r="DI95" s="321"/>
      <c r="DJ95" s="321"/>
      <c r="DK95" s="321"/>
      <c r="DL95" s="321"/>
      <c r="DM95" s="321"/>
      <c r="DN95" s="321"/>
      <c r="DO95" s="321"/>
      <c r="DP95" s="321"/>
      <c r="DQ95" s="321"/>
      <c r="DR95" s="321"/>
      <c r="DS95" s="321"/>
      <c r="DT95" s="321"/>
      <c r="DU95" s="321"/>
      <c r="DV95" s="321"/>
      <c r="DW95" s="321"/>
      <c r="DX95" s="321"/>
      <c r="DY95" s="321"/>
      <c r="DZ95" s="321"/>
      <c r="EA95" s="321"/>
      <c r="EB95" s="321"/>
      <c r="EC95" s="321"/>
      <c r="ED95" s="321"/>
      <c r="EE95" s="321"/>
      <c r="EF95" s="321"/>
      <c r="EG95" s="321"/>
      <c r="EH95" s="321"/>
      <c r="EI95" s="321"/>
      <c r="EJ95" s="321"/>
      <c r="EK95" s="321"/>
      <c r="EL95" s="321"/>
      <c r="EM95" s="321"/>
      <c r="EN95" s="321"/>
      <c r="EO95" s="321"/>
      <c r="EP95" s="321"/>
      <c r="EQ95" s="321"/>
      <c r="ER95" s="321"/>
      <c r="ES95" s="321"/>
      <c r="ET95" s="321"/>
      <c r="EU95" s="321"/>
      <c r="EV95" s="321"/>
      <c r="EW95" s="321"/>
      <c r="EX95" s="321"/>
      <c r="EY95" s="321"/>
      <c r="EZ95" s="321"/>
      <c r="FA95" s="321"/>
      <c r="FB95" s="321"/>
      <c r="FC95" s="321"/>
      <c r="FD95" s="321"/>
      <c r="FE95" s="321"/>
      <c r="FF95" s="321"/>
      <c r="FG95" s="321"/>
      <c r="FH95" s="321"/>
      <c r="FI95" s="321"/>
      <c r="FJ95" s="321"/>
      <c r="FK95" s="321"/>
      <c r="FL95" s="321"/>
      <c r="FM95" s="321"/>
      <c r="FN95" s="321"/>
      <c r="FO95" s="321"/>
      <c r="FP95" s="321"/>
      <c r="FQ95" s="321"/>
      <c r="FR95" s="321"/>
      <c r="FS95" s="321"/>
      <c r="FT95" s="321"/>
      <c r="FU95" s="321"/>
      <c r="FV95" s="321"/>
      <c r="FW95" s="321"/>
      <c r="FX95" s="321"/>
      <c r="FY95" s="321"/>
      <c r="FZ95" s="321"/>
      <c r="GA95" s="321"/>
      <c r="GB95" s="321"/>
      <c r="GC95" s="321"/>
      <c r="GD95" s="321"/>
      <c r="GE95" s="321"/>
      <c r="GF95" s="321"/>
      <c r="GG95" s="321"/>
      <c r="GH95" s="321"/>
      <c r="GI95" s="321"/>
      <c r="GJ95" s="321"/>
      <c r="GK95" s="321"/>
      <c r="GL95" s="321"/>
      <c r="GM95" s="321"/>
      <c r="GN95" s="321"/>
      <c r="GO95" s="321"/>
      <c r="GP95" s="321"/>
      <c r="GQ95" s="321"/>
      <c r="GR95" s="321"/>
      <c r="GS95" s="321"/>
      <c r="GT95" s="321"/>
      <c r="GU95" s="321"/>
      <c r="GV95" s="321"/>
      <c r="GW95" s="321"/>
      <c r="GX95" s="321"/>
      <c r="GY95" s="321"/>
      <c r="GZ95" s="321"/>
      <c r="HA95" s="321"/>
      <c r="HB95" s="321"/>
      <c r="HC95" s="321"/>
      <c r="HD95" s="321"/>
      <c r="HE95" s="321"/>
      <c r="HF95" s="321"/>
      <c r="HG95" s="321"/>
      <c r="HH95" s="321"/>
      <c r="HI95" s="321"/>
      <c r="HJ95" s="321"/>
      <c r="HK95" s="321"/>
      <c r="HL95" s="321"/>
      <c r="HM95" s="321"/>
      <c r="HN95" s="321"/>
      <c r="HO95" s="321"/>
      <c r="HP95" s="321"/>
      <c r="HQ95" s="321"/>
      <c r="HR95" s="321"/>
      <c r="HS95" s="321"/>
      <c r="HT95" s="321"/>
      <c r="HU95" s="321"/>
      <c r="HV95" s="321"/>
      <c r="HW95" s="321"/>
      <c r="HX95" s="321"/>
      <c r="HY95" s="321"/>
      <c r="HZ95" s="321"/>
      <c r="IA95" s="321"/>
      <c r="IB95" s="321"/>
      <c r="IC95" s="321"/>
      <c r="ID95" s="321"/>
      <c r="IE95" s="321"/>
      <c r="IF95" s="321"/>
      <c r="IG95" s="321"/>
      <c r="IH95" s="321"/>
      <c r="II95" s="321"/>
      <c r="IJ95" s="321"/>
      <c r="IK95" s="321"/>
      <c r="IL95" s="321"/>
      <c r="IM95" s="321"/>
      <c r="IN95" s="321"/>
      <c r="IO95" s="321"/>
      <c r="IP95" s="321"/>
      <c r="IQ95" s="321"/>
      <c r="IR95" s="321"/>
      <c r="IS95" s="321"/>
      <c r="IT95" s="321"/>
      <c r="IU95" s="321"/>
      <c r="IV95" s="321"/>
    </row>
    <row r="96" spans="1:16" s="325" customFormat="1" ht="19.5" customHeight="1">
      <c r="A96" s="561">
        <v>88</v>
      </c>
      <c r="B96" s="2218" t="s">
        <v>13</v>
      </c>
      <c r="C96" s="2219"/>
      <c r="D96" s="2219"/>
      <c r="E96" s="2219"/>
      <c r="F96" s="2219"/>
      <c r="G96" s="2220"/>
      <c r="H96" s="1123"/>
      <c r="I96" s="1374"/>
      <c r="J96" s="1374"/>
      <c r="K96" s="1374"/>
      <c r="L96" s="1374"/>
      <c r="M96" s="1374"/>
      <c r="N96" s="1374"/>
      <c r="O96" s="1374"/>
      <c r="P96" s="1147"/>
    </row>
    <row r="97" spans="1:16" s="325" customFormat="1" ht="19.5" customHeight="1">
      <c r="A97" s="561">
        <v>89</v>
      </c>
      <c r="B97" s="1297"/>
      <c r="C97" s="1298"/>
      <c r="D97" s="2213" t="s">
        <v>303</v>
      </c>
      <c r="E97" s="2214"/>
      <c r="F97" s="2214"/>
      <c r="G97" s="2215"/>
      <c r="H97" s="1305"/>
      <c r="I97" s="1372">
        <f aca="true" t="shared" si="0" ref="I97:O97">I59+I55+I51+I47+I43+I39+I35+I31+I27+I23+I19+I15+I11</f>
        <v>0</v>
      </c>
      <c r="J97" s="1372">
        <f t="shared" si="0"/>
        <v>0</v>
      </c>
      <c r="K97" s="1372">
        <f t="shared" si="0"/>
        <v>39215</v>
      </c>
      <c r="L97" s="1372">
        <f t="shared" si="0"/>
        <v>0</v>
      </c>
      <c r="M97" s="1372">
        <f t="shared" si="0"/>
        <v>7494559</v>
      </c>
      <c r="N97" s="1372">
        <f t="shared" si="0"/>
        <v>40493</v>
      </c>
      <c r="O97" s="1375">
        <f t="shared" si="0"/>
        <v>7574267</v>
      </c>
      <c r="P97" s="1306">
        <f>SUM(P9:P96)</f>
        <v>17916034</v>
      </c>
    </row>
    <row r="98" spans="1:16" s="325" customFormat="1" ht="19.5" customHeight="1">
      <c r="A98" s="561">
        <v>90</v>
      </c>
      <c r="B98" s="1297"/>
      <c r="C98" s="1298"/>
      <c r="D98" s="1971" t="s">
        <v>994</v>
      </c>
      <c r="E98" s="1968"/>
      <c r="F98" s="1480"/>
      <c r="G98" s="1481"/>
      <c r="H98" s="1305"/>
      <c r="I98" s="1304">
        <f aca="true" t="shared" si="1" ref="I98:O98">I60+I56+I52+I48+I44+I40+I36+I32+I28+I24+I20+I16+I12+I63+I66+I69+I72+I75+I78+I81+I85+I88</f>
        <v>0</v>
      </c>
      <c r="J98" s="1304">
        <f t="shared" si="1"/>
        <v>0</v>
      </c>
      <c r="K98" s="1304">
        <f t="shared" si="1"/>
        <v>144856</v>
      </c>
      <c r="L98" s="1304">
        <f t="shared" si="1"/>
        <v>0</v>
      </c>
      <c r="M98" s="1304">
        <f t="shared" si="1"/>
        <v>13480693</v>
      </c>
      <c r="N98" s="1304">
        <f t="shared" si="1"/>
        <v>40493</v>
      </c>
      <c r="O98" s="1128">
        <f t="shared" si="1"/>
        <v>13666042</v>
      </c>
      <c r="P98" s="1306"/>
    </row>
    <row r="99" spans="1:16" s="325" customFormat="1" ht="19.5" customHeight="1" thickBot="1">
      <c r="A99" s="561">
        <v>91</v>
      </c>
      <c r="B99" s="1125"/>
      <c r="C99" s="1126"/>
      <c r="D99" s="2161" t="s">
        <v>1036</v>
      </c>
      <c r="E99" s="2216"/>
      <c r="F99" s="2216"/>
      <c r="G99" s="2217"/>
      <c r="H99" s="1124"/>
      <c r="I99" s="1535">
        <f aca="true" t="shared" si="2" ref="I99:N99">I61+I57+I53+I49+I45+I41+I37+I33+I29+I25+I21+I17+I13+I70+I67+I64+I73+I76+I79+I82+I86+I89</f>
        <v>0</v>
      </c>
      <c r="J99" s="1535">
        <f t="shared" si="2"/>
        <v>0</v>
      </c>
      <c r="K99" s="1535">
        <f t="shared" si="2"/>
        <v>53934</v>
      </c>
      <c r="L99" s="1535">
        <f t="shared" si="2"/>
        <v>0</v>
      </c>
      <c r="M99" s="1535">
        <f t="shared" si="2"/>
        <v>2711931</v>
      </c>
      <c r="N99" s="1535">
        <f t="shared" si="2"/>
        <v>0</v>
      </c>
      <c r="O99" s="1987">
        <f>I99+J99+K99+L99+M99+N99</f>
        <v>2765865</v>
      </c>
      <c r="P99" s="1127"/>
    </row>
    <row r="100" spans="2:15" ht="18" customHeight="1">
      <c r="B100" s="552" t="s">
        <v>27</v>
      </c>
      <c r="C100" s="553"/>
      <c r="D100" s="552"/>
      <c r="E100" s="332"/>
      <c r="F100" s="333"/>
      <c r="G100" s="332"/>
      <c r="H100" s="539"/>
      <c r="I100" s="332"/>
      <c r="J100" s="332"/>
      <c r="K100" s="332"/>
      <c r="L100" s="332"/>
      <c r="M100" s="332"/>
      <c r="N100" s="332"/>
      <c r="O100" s="563"/>
    </row>
    <row r="101" spans="2:15" ht="18" customHeight="1">
      <c r="B101" s="552" t="s">
        <v>28</v>
      </c>
      <c r="C101" s="553"/>
      <c r="D101" s="552"/>
      <c r="E101" s="466"/>
      <c r="F101" s="333"/>
      <c r="G101" s="332"/>
      <c r="H101" s="539"/>
      <c r="I101" s="332"/>
      <c r="J101" s="332"/>
      <c r="K101" s="332"/>
      <c r="L101" s="332"/>
      <c r="M101" s="332"/>
      <c r="N101" s="332"/>
      <c r="O101" s="563"/>
    </row>
    <row r="102" spans="2:15" ht="18" customHeight="1">
      <c r="B102" s="552" t="s">
        <v>29</v>
      </c>
      <c r="C102" s="553"/>
      <c r="D102" s="552"/>
      <c r="E102" s="466"/>
      <c r="F102" s="333"/>
      <c r="G102" s="332"/>
      <c r="H102" s="539"/>
      <c r="I102" s="332"/>
      <c r="J102" s="332"/>
      <c r="K102" s="332"/>
      <c r="L102" s="332"/>
      <c r="M102" s="332"/>
      <c r="N102" s="332"/>
      <c r="O102" s="563"/>
    </row>
    <row r="103" spans="2:3" ht="17.25">
      <c r="B103" s="329" t="s">
        <v>793</v>
      </c>
      <c r="C103" s="329"/>
    </row>
  </sheetData>
  <sheetProtection/>
  <mergeCells count="22">
    <mergeCell ref="B1:Q1"/>
    <mergeCell ref="D97:G97"/>
    <mergeCell ref="D99:G99"/>
    <mergeCell ref="A2:P2"/>
    <mergeCell ref="A3:P3"/>
    <mergeCell ref="D93:F93"/>
    <mergeCell ref="Q6:R6"/>
    <mergeCell ref="I7:L7"/>
    <mergeCell ref="M7:N7"/>
    <mergeCell ref="O7:O8"/>
    <mergeCell ref="B96:G96"/>
    <mergeCell ref="B6:B8"/>
    <mergeCell ref="C6:C8"/>
    <mergeCell ref="D6:D8"/>
    <mergeCell ref="E6:E8"/>
    <mergeCell ref="F6:F8"/>
    <mergeCell ref="D83:F83"/>
    <mergeCell ref="G6:G8"/>
    <mergeCell ref="H6:H8"/>
    <mergeCell ref="I6:O6"/>
    <mergeCell ref="P6:P8"/>
    <mergeCell ref="D80:F80"/>
  </mergeCells>
  <printOptions horizontalCentered="1"/>
  <pageMargins left="0.1968503937007874" right="0.1968503937007874" top="0.5905511811023623" bottom="0.5905511811023623" header="0.5118110236220472" footer="0.5118110236220472"/>
  <pageSetup fitToHeight="0" horizontalDpi="600" verticalDpi="600" orientation="landscape" paperSize="9" scale="57" r:id="rId1"/>
  <headerFooter>
    <oddFooter>&amp;C-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V167"/>
  <sheetViews>
    <sheetView view="pageBreakPreview" zoomScale="75" zoomScaleSheetLayoutView="75" zoomScalePageLayoutView="0" workbookViewId="0" topLeftCell="A1">
      <selection activeCell="B1" sqref="B1:Q1"/>
    </sheetView>
  </sheetViews>
  <sheetFormatPr defaultColWidth="9.125" defaultRowHeight="12.75"/>
  <cols>
    <col min="1" max="1" width="4.375" style="538" customWidth="1"/>
    <col min="2" max="3" width="5.75390625" style="651" customWidth="1"/>
    <col min="4" max="4" width="62.75390625" style="321" customWidth="1"/>
    <col min="5" max="5" width="12.75390625" style="650" customWidth="1"/>
    <col min="6" max="7" width="10.75390625" style="650" customWidth="1"/>
    <col min="8" max="8" width="6.75390625" style="541" customWidth="1"/>
    <col min="9" max="13" width="14.875" style="650" customWidth="1"/>
    <col min="14" max="14" width="14.875" style="782" customWidth="1"/>
    <col min="15" max="15" width="14.875" style="650" customWidth="1"/>
    <col min="16" max="16" width="15.75390625" style="562" customWidth="1"/>
    <col min="17" max="17" width="13.875" style="650" customWidth="1"/>
    <col min="18" max="16384" width="9.125" style="321" customWidth="1"/>
  </cols>
  <sheetData>
    <row r="1" spans="1:17" ht="16.5" customHeight="1">
      <c r="A1" s="1409"/>
      <c r="B1" s="2140" t="s">
        <v>1469</v>
      </c>
      <c r="C1" s="2140"/>
      <c r="D1" s="2140"/>
      <c r="E1" s="2140"/>
      <c r="F1" s="2140"/>
      <c r="G1" s="2140"/>
      <c r="H1" s="2140"/>
      <c r="I1" s="2140"/>
      <c r="J1" s="2140"/>
      <c r="K1" s="2140"/>
      <c r="L1" s="2140"/>
      <c r="M1" s="2140"/>
      <c r="N1" s="2140"/>
      <c r="O1" s="2140"/>
      <c r="P1" s="2140"/>
      <c r="Q1" s="2140"/>
    </row>
    <row r="2" spans="1:17" ht="24.75" customHeight="1">
      <c r="A2" s="2173" t="s">
        <v>14</v>
      </c>
      <c r="B2" s="2173"/>
      <c r="C2" s="2173"/>
      <c r="D2" s="2173"/>
      <c r="E2" s="2173"/>
      <c r="F2" s="2173"/>
      <c r="G2" s="2173"/>
      <c r="H2" s="2173"/>
      <c r="I2" s="2173"/>
      <c r="J2" s="2173"/>
      <c r="K2" s="2173"/>
      <c r="L2" s="2173"/>
      <c r="M2" s="2173"/>
      <c r="N2" s="2173"/>
      <c r="O2" s="2173"/>
      <c r="P2" s="2173"/>
      <c r="Q2" s="2173"/>
    </row>
    <row r="3" spans="1:17" ht="24.75" customHeight="1">
      <c r="A3" s="2231" t="s">
        <v>1054</v>
      </c>
      <c r="B3" s="2231"/>
      <c r="C3" s="2231"/>
      <c r="D3" s="2231"/>
      <c r="E3" s="2231"/>
      <c r="F3" s="2231"/>
      <c r="G3" s="2231"/>
      <c r="H3" s="2231"/>
      <c r="I3" s="2231"/>
      <c r="J3" s="2231"/>
      <c r="K3" s="2231"/>
      <c r="L3" s="2231"/>
      <c r="M3" s="2231"/>
      <c r="N3" s="2231"/>
      <c r="O3" s="2231"/>
      <c r="P3" s="2231"/>
      <c r="Q3" s="2231"/>
    </row>
    <row r="4" spans="1:17" s="731" customFormat="1" ht="18" customHeight="1">
      <c r="A4" s="538"/>
      <c r="B4" s="538"/>
      <c r="C4" s="538"/>
      <c r="E4" s="497"/>
      <c r="F4" s="497"/>
      <c r="G4" s="497"/>
      <c r="H4" s="732"/>
      <c r="I4" s="497"/>
      <c r="J4" s="497"/>
      <c r="K4" s="497"/>
      <c r="L4" s="497"/>
      <c r="M4" s="497"/>
      <c r="N4" s="497"/>
      <c r="O4" s="497"/>
      <c r="P4" s="733"/>
      <c r="Q4" s="503" t="s">
        <v>0</v>
      </c>
    </row>
    <row r="5" spans="1:251" s="737" customFormat="1" ht="18" customHeight="1" thickBot="1">
      <c r="A5" s="734"/>
      <c r="B5" s="735" t="s">
        <v>1</v>
      </c>
      <c r="C5" s="736" t="s">
        <v>3</v>
      </c>
      <c r="D5" s="736" t="s">
        <v>2</v>
      </c>
      <c r="E5" s="736" t="s">
        <v>4</v>
      </c>
      <c r="F5" s="736" t="s">
        <v>5</v>
      </c>
      <c r="G5" s="736" t="s">
        <v>15</v>
      </c>
      <c r="H5" s="736" t="s">
        <v>16</v>
      </c>
      <c r="I5" s="736" t="s">
        <v>17</v>
      </c>
      <c r="J5" s="736" t="s">
        <v>36</v>
      </c>
      <c r="K5" s="736" t="s">
        <v>30</v>
      </c>
      <c r="L5" s="736" t="s">
        <v>23</v>
      </c>
      <c r="M5" s="736" t="s">
        <v>37</v>
      </c>
      <c r="N5" s="736" t="s">
        <v>38</v>
      </c>
      <c r="O5" s="736" t="s">
        <v>158</v>
      </c>
      <c r="P5" s="736" t="s">
        <v>159</v>
      </c>
      <c r="Q5" s="736" t="s">
        <v>160</v>
      </c>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734"/>
      <c r="AT5" s="734"/>
      <c r="AU5" s="734"/>
      <c r="AV5" s="734"/>
      <c r="AW5" s="734"/>
      <c r="AX5" s="734"/>
      <c r="AY5" s="734"/>
      <c r="AZ5" s="734"/>
      <c r="BA5" s="734"/>
      <c r="BB5" s="734"/>
      <c r="BC5" s="734"/>
      <c r="BD5" s="734"/>
      <c r="BE5" s="734"/>
      <c r="BF5" s="734"/>
      <c r="BG5" s="734"/>
      <c r="BH5" s="734"/>
      <c r="BI5" s="734"/>
      <c r="BJ5" s="734"/>
      <c r="BK5" s="734"/>
      <c r="BL5" s="734"/>
      <c r="BM5" s="734"/>
      <c r="BN5" s="734"/>
      <c r="BO5" s="734"/>
      <c r="BP5" s="734"/>
      <c r="BQ5" s="734"/>
      <c r="BR5" s="734"/>
      <c r="BS5" s="734"/>
      <c r="BT5" s="734"/>
      <c r="BU5" s="734"/>
      <c r="BV5" s="734"/>
      <c r="BW5" s="734"/>
      <c r="BX5" s="734"/>
      <c r="BY5" s="734"/>
      <c r="BZ5" s="734"/>
      <c r="CA5" s="734"/>
      <c r="CB5" s="734"/>
      <c r="CC5" s="734"/>
      <c r="CD5" s="734"/>
      <c r="CE5" s="734"/>
      <c r="CF5" s="734"/>
      <c r="CG5" s="734"/>
      <c r="CH5" s="734"/>
      <c r="CI5" s="734"/>
      <c r="CJ5" s="734"/>
      <c r="CK5" s="734"/>
      <c r="CL5" s="734"/>
      <c r="CM5" s="734"/>
      <c r="CN5" s="734"/>
      <c r="CO5" s="734"/>
      <c r="CP5" s="734"/>
      <c r="CQ5" s="734"/>
      <c r="CR5" s="734"/>
      <c r="CS5" s="734"/>
      <c r="CT5" s="734"/>
      <c r="CU5" s="734"/>
      <c r="CV5" s="734"/>
      <c r="CW5" s="734"/>
      <c r="CX5" s="734"/>
      <c r="CY5" s="734"/>
      <c r="CZ5" s="734"/>
      <c r="DA5" s="734"/>
      <c r="DB5" s="734"/>
      <c r="DC5" s="734"/>
      <c r="DD5" s="734"/>
      <c r="DE5" s="734"/>
      <c r="DF5" s="734"/>
      <c r="DG5" s="734"/>
      <c r="DH5" s="734"/>
      <c r="DI5" s="734"/>
      <c r="DJ5" s="734"/>
      <c r="DK5" s="734"/>
      <c r="DL5" s="734"/>
      <c r="DM5" s="734"/>
      <c r="DN5" s="734"/>
      <c r="DO5" s="734"/>
      <c r="DP5" s="734"/>
      <c r="DQ5" s="734"/>
      <c r="DR5" s="734"/>
      <c r="DS5" s="734"/>
      <c r="DT5" s="734"/>
      <c r="DU5" s="734"/>
      <c r="DV5" s="734"/>
      <c r="DW5" s="734"/>
      <c r="DX5" s="734"/>
      <c r="DY5" s="734"/>
      <c r="DZ5" s="734"/>
      <c r="EA5" s="734"/>
      <c r="EB5" s="734"/>
      <c r="EC5" s="734"/>
      <c r="ED5" s="734"/>
      <c r="EE5" s="734"/>
      <c r="EF5" s="734"/>
      <c r="EG5" s="734"/>
      <c r="EH5" s="734"/>
      <c r="EI5" s="734"/>
      <c r="EJ5" s="734"/>
      <c r="EK5" s="734"/>
      <c r="EL5" s="734"/>
      <c r="EM5" s="734"/>
      <c r="EN5" s="734"/>
      <c r="EO5" s="734"/>
      <c r="EP5" s="734"/>
      <c r="EQ5" s="734"/>
      <c r="ER5" s="734"/>
      <c r="ES5" s="734"/>
      <c r="ET5" s="734"/>
      <c r="EU5" s="734"/>
      <c r="EV5" s="734"/>
      <c r="EW5" s="734"/>
      <c r="EX5" s="734"/>
      <c r="EY5" s="734"/>
      <c r="EZ5" s="734"/>
      <c r="FA5" s="734"/>
      <c r="FB5" s="734"/>
      <c r="FC5" s="734"/>
      <c r="FD5" s="734"/>
      <c r="FE5" s="734"/>
      <c r="FF5" s="734"/>
      <c r="FG5" s="734"/>
      <c r="FH5" s="734"/>
      <c r="FI5" s="734"/>
      <c r="FJ5" s="734"/>
      <c r="FK5" s="734"/>
      <c r="FL5" s="734"/>
      <c r="FM5" s="734"/>
      <c r="FN5" s="734"/>
      <c r="FO5" s="734"/>
      <c r="FP5" s="734"/>
      <c r="FQ5" s="734"/>
      <c r="FR5" s="734"/>
      <c r="FS5" s="734"/>
      <c r="FT5" s="734"/>
      <c r="FU5" s="734"/>
      <c r="FV5" s="734"/>
      <c r="FW5" s="734"/>
      <c r="FX5" s="734"/>
      <c r="FY5" s="734"/>
      <c r="FZ5" s="734"/>
      <c r="GA5" s="734"/>
      <c r="GB5" s="734"/>
      <c r="GC5" s="734"/>
      <c r="GD5" s="734"/>
      <c r="GE5" s="734"/>
      <c r="GF5" s="734"/>
      <c r="GG5" s="734"/>
      <c r="GH5" s="734"/>
      <c r="GI5" s="734"/>
      <c r="GJ5" s="734"/>
      <c r="GK5" s="734"/>
      <c r="GL5" s="734"/>
      <c r="GM5" s="734"/>
      <c r="GN5" s="734"/>
      <c r="GO5" s="734"/>
      <c r="GP5" s="734"/>
      <c r="GQ5" s="734"/>
      <c r="GR5" s="734"/>
      <c r="GS5" s="734"/>
      <c r="GT5" s="734"/>
      <c r="GU5" s="734"/>
      <c r="GV5" s="734"/>
      <c r="GW5" s="734"/>
      <c r="GX5" s="734"/>
      <c r="GY5" s="734"/>
      <c r="GZ5" s="734"/>
      <c r="HA5" s="734"/>
      <c r="HB5" s="734"/>
      <c r="HC5" s="734"/>
      <c r="HD5" s="734"/>
      <c r="HE5" s="734"/>
      <c r="HF5" s="734"/>
      <c r="HG5" s="734"/>
      <c r="HH5" s="734"/>
      <c r="HI5" s="734"/>
      <c r="HJ5" s="734"/>
      <c r="HK5" s="734"/>
      <c r="HL5" s="734"/>
      <c r="HM5" s="734"/>
      <c r="HN5" s="734"/>
      <c r="HO5" s="734"/>
      <c r="HP5" s="734"/>
      <c r="HQ5" s="734"/>
      <c r="HR5" s="734"/>
      <c r="HS5" s="734"/>
      <c r="HT5" s="734"/>
      <c r="HU5" s="734"/>
      <c r="HV5" s="734"/>
      <c r="HW5" s="734"/>
      <c r="HX5" s="734"/>
      <c r="HY5" s="734"/>
      <c r="HZ5" s="734"/>
      <c r="IA5" s="734"/>
      <c r="IB5" s="734"/>
      <c r="IC5" s="734"/>
      <c r="ID5" s="734"/>
      <c r="IE5" s="734"/>
      <c r="IF5" s="734"/>
      <c r="IG5" s="734"/>
      <c r="IH5" s="734"/>
      <c r="II5" s="734"/>
      <c r="IJ5" s="734"/>
      <c r="IK5" s="734"/>
      <c r="IL5" s="734"/>
      <c r="IM5" s="734"/>
      <c r="IN5" s="734"/>
      <c r="IO5" s="734"/>
      <c r="IP5" s="734"/>
      <c r="IQ5" s="734"/>
    </row>
    <row r="6" spans="2:19" ht="22.5" customHeight="1">
      <c r="B6" s="2225" t="s">
        <v>18</v>
      </c>
      <c r="C6" s="2221" t="s">
        <v>19</v>
      </c>
      <c r="D6" s="2232" t="s">
        <v>6</v>
      </c>
      <c r="E6" s="2228" t="s">
        <v>578</v>
      </c>
      <c r="F6" s="2228" t="s">
        <v>794</v>
      </c>
      <c r="G6" s="2235" t="s">
        <v>820</v>
      </c>
      <c r="H6" s="2190" t="s">
        <v>20</v>
      </c>
      <c r="I6" s="2238" t="s">
        <v>569</v>
      </c>
      <c r="J6" s="2228"/>
      <c r="K6" s="2228"/>
      <c r="L6" s="2228"/>
      <c r="M6" s="2228"/>
      <c r="N6" s="2228"/>
      <c r="O6" s="2228"/>
      <c r="P6" s="2239"/>
      <c r="Q6" s="2240" t="s">
        <v>574</v>
      </c>
      <c r="R6" s="2224"/>
      <c r="S6" s="2224"/>
    </row>
    <row r="7" spans="2:17" ht="33" customHeight="1">
      <c r="B7" s="2226"/>
      <c r="C7" s="2222"/>
      <c r="D7" s="2233"/>
      <c r="E7" s="2229"/>
      <c r="F7" s="2229"/>
      <c r="G7" s="2236"/>
      <c r="H7" s="2191"/>
      <c r="I7" s="2243" t="s">
        <v>580</v>
      </c>
      <c r="J7" s="2244"/>
      <c r="K7" s="2245"/>
      <c r="L7" s="2245"/>
      <c r="M7" s="2210" t="s">
        <v>161</v>
      </c>
      <c r="N7" s="2210"/>
      <c r="O7" s="2210"/>
      <c r="P7" s="2211" t="s">
        <v>127</v>
      </c>
      <c r="Q7" s="2241"/>
    </row>
    <row r="8" spans="2:17" ht="53.25" customHeight="1" thickBot="1">
      <c r="B8" s="2227"/>
      <c r="C8" s="2223"/>
      <c r="D8" s="2234"/>
      <c r="E8" s="2230"/>
      <c r="F8" s="2230"/>
      <c r="G8" s="2237"/>
      <c r="H8" s="2192"/>
      <c r="I8" s="756" t="s">
        <v>40</v>
      </c>
      <c r="J8" s="542" t="s">
        <v>575</v>
      </c>
      <c r="K8" s="543" t="s">
        <v>42</v>
      </c>
      <c r="L8" s="543" t="s">
        <v>577</v>
      </c>
      <c r="M8" s="542" t="s">
        <v>227</v>
      </c>
      <c r="N8" s="542" t="s">
        <v>228</v>
      </c>
      <c r="O8" s="542" t="s">
        <v>162</v>
      </c>
      <c r="P8" s="2212"/>
      <c r="Q8" s="2242"/>
    </row>
    <row r="9" spans="1:256" s="546" customFormat="1" ht="22.5" customHeight="1">
      <c r="A9" s="561">
        <v>1</v>
      </c>
      <c r="B9" s="544">
        <v>18</v>
      </c>
      <c r="C9" s="556" t="s">
        <v>14</v>
      </c>
      <c r="D9" s="744"/>
      <c r="E9" s="328"/>
      <c r="F9" s="326"/>
      <c r="G9" s="327"/>
      <c r="H9" s="761"/>
      <c r="I9" s="757"/>
      <c r="J9" s="564"/>
      <c r="K9" s="564"/>
      <c r="L9" s="564"/>
      <c r="M9" s="564"/>
      <c r="N9" s="564"/>
      <c r="O9" s="564"/>
      <c r="P9" s="545"/>
      <c r="Q9" s="548"/>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21"/>
      <c r="BE9" s="321"/>
      <c r="BF9" s="321"/>
      <c r="BG9" s="321"/>
      <c r="BH9" s="321"/>
      <c r="BI9" s="321"/>
      <c r="BJ9" s="321"/>
      <c r="BK9" s="321"/>
      <c r="BL9" s="321"/>
      <c r="BM9" s="321"/>
      <c r="BN9" s="321"/>
      <c r="BO9" s="321"/>
      <c r="BP9" s="321"/>
      <c r="BQ9" s="321"/>
      <c r="BR9" s="321"/>
      <c r="BS9" s="321"/>
      <c r="BT9" s="321"/>
      <c r="BU9" s="321"/>
      <c r="BV9" s="321"/>
      <c r="BW9" s="321"/>
      <c r="BX9" s="321"/>
      <c r="BY9" s="321"/>
      <c r="BZ9" s="321"/>
      <c r="CA9" s="321"/>
      <c r="CB9" s="321"/>
      <c r="CC9" s="321"/>
      <c r="CD9" s="321"/>
      <c r="CE9" s="321"/>
      <c r="CF9" s="321"/>
      <c r="CG9" s="321"/>
      <c r="CH9" s="321"/>
      <c r="CI9" s="321"/>
      <c r="CJ9" s="321"/>
      <c r="CK9" s="321"/>
      <c r="CL9" s="321"/>
      <c r="CM9" s="321"/>
      <c r="CN9" s="321"/>
      <c r="CO9" s="321"/>
      <c r="CP9" s="321"/>
      <c r="CQ9" s="321"/>
      <c r="CR9" s="321"/>
      <c r="CS9" s="321"/>
      <c r="CT9" s="321"/>
      <c r="CU9" s="321"/>
      <c r="CV9" s="321"/>
      <c r="CW9" s="321"/>
      <c r="CX9" s="321"/>
      <c r="CY9" s="321"/>
      <c r="CZ9" s="321"/>
      <c r="DA9" s="321"/>
      <c r="DB9" s="321"/>
      <c r="DC9" s="321"/>
      <c r="DD9" s="321"/>
      <c r="DE9" s="321"/>
      <c r="DF9" s="321"/>
      <c r="DG9" s="321"/>
      <c r="DH9" s="321"/>
      <c r="DI9" s="321"/>
      <c r="DJ9" s="321"/>
      <c r="DK9" s="321"/>
      <c r="DL9" s="321"/>
      <c r="DM9" s="321"/>
      <c r="DN9" s="321"/>
      <c r="DO9" s="321"/>
      <c r="DP9" s="321"/>
      <c r="DQ9" s="321"/>
      <c r="DR9" s="321"/>
      <c r="DS9" s="321"/>
      <c r="DT9" s="321"/>
      <c r="DU9" s="321"/>
      <c r="DV9" s="321"/>
      <c r="DW9" s="321"/>
      <c r="DX9" s="321"/>
      <c r="DY9" s="321"/>
      <c r="DZ9" s="321"/>
      <c r="EA9" s="321"/>
      <c r="EB9" s="321"/>
      <c r="EC9" s="321"/>
      <c r="ED9" s="321"/>
      <c r="EE9" s="321"/>
      <c r="EF9" s="321"/>
      <c r="EG9" s="321"/>
      <c r="EH9" s="321"/>
      <c r="EI9" s="321"/>
      <c r="EJ9" s="321"/>
      <c r="EK9" s="321"/>
      <c r="EL9" s="321"/>
      <c r="EM9" s="321"/>
      <c r="EN9" s="321"/>
      <c r="EO9" s="321"/>
      <c r="EP9" s="321"/>
      <c r="EQ9" s="321"/>
      <c r="ER9" s="321"/>
      <c r="ES9" s="321"/>
      <c r="ET9" s="321"/>
      <c r="EU9" s="321"/>
      <c r="EV9" s="321"/>
      <c r="EW9" s="321"/>
      <c r="EX9" s="321"/>
      <c r="EY9" s="321"/>
      <c r="EZ9" s="321"/>
      <c r="FA9" s="321"/>
      <c r="FB9" s="321"/>
      <c r="FC9" s="321"/>
      <c r="FD9" s="321"/>
      <c r="FE9" s="321"/>
      <c r="FF9" s="321"/>
      <c r="FG9" s="321"/>
      <c r="FH9" s="321"/>
      <c r="FI9" s="321"/>
      <c r="FJ9" s="321"/>
      <c r="FK9" s="321"/>
      <c r="FL9" s="321"/>
      <c r="FM9" s="321"/>
      <c r="FN9" s="321"/>
      <c r="FO9" s="321"/>
      <c r="FP9" s="321"/>
      <c r="FQ9" s="321"/>
      <c r="FR9" s="321"/>
      <c r="FS9" s="321"/>
      <c r="FT9" s="321"/>
      <c r="FU9" s="321"/>
      <c r="FV9" s="321"/>
      <c r="FW9" s="321"/>
      <c r="FX9" s="321"/>
      <c r="FY9" s="321"/>
      <c r="FZ9" s="321"/>
      <c r="GA9" s="321"/>
      <c r="GB9" s="321"/>
      <c r="GC9" s="321"/>
      <c r="GD9" s="321"/>
      <c r="GE9" s="321"/>
      <c r="GF9" s="321"/>
      <c r="GG9" s="321"/>
      <c r="GH9" s="321"/>
      <c r="GI9" s="321"/>
      <c r="GJ9" s="321"/>
      <c r="GK9" s="321"/>
      <c r="GL9" s="321"/>
      <c r="GM9" s="321"/>
      <c r="GN9" s="321"/>
      <c r="GO9" s="321"/>
      <c r="GP9" s="321"/>
      <c r="GQ9" s="321"/>
      <c r="GR9" s="321"/>
      <c r="GS9" s="321"/>
      <c r="GT9" s="321"/>
      <c r="GU9" s="321"/>
      <c r="GV9" s="321"/>
      <c r="GW9" s="321"/>
      <c r="GX9" s="321"/>
      <c r="GY9" s="321"/>
      <c r="GZ9" s="321"/>
      <c r="HA9" s="321"/>
      <c r="HB9" s="321"/>
      <c r="HC9" s="321"/>
      <c r="HD9" s="321"/>
      <c r="HE9" s="321"/>
      <c r="HF9" s="321"/>
      <c r="HG9" s="321"/>
      <c r="HH9" s="321"/>
      <c r="HI9" s="321"/>
      <c r="HJ9" s="321"/>
      <c r="HK9" s="321"/>
      <c r="HL9" s="321"/>
      <c r="HM9" s="321"/>
      <c r="HN9" s="321"/>
      <c r="HO9" s="321"/>
      <c r="HP9" s="321"/>
      <c r="HQ9" s="321"/>
      <c r="HR9" s="321"/>
      <c r="HS9" s="321"/>
      <c r="HT9" s="321"/>
      <c r="HU9" s="321"/>
      <c r="HV9" s="321"/>
      <c r="HW9" s="321"/>
      <c r="HX9" s="321"/>
      <c r="HY9" s="321"/>
      <c r="HZ9" s="321"/>
      <c r="IA9" s="321"/>
      <c r="IB9" s="321"/>
      <c r="IC9" s="321"/>
      <c r="ID9" s="321"/>
      <c r="IE9" s="321"/>
      <c r="IF9" s="321"/>
      <c r="IG9" s="321"/>
      <c r="IH9" s="321"/>
      <c r="II9" s="321"/>
      <c r="IJ9" s="321"/>
      <c r="IK9" s="321"/>
      <c r="IL9" s="321"/>
      <c r="IM9" s="321"/>
      <c r="IN9" s="321"/>
      <c r="IO9" s="321"/>
      <c r="IP9" s="321"/>
      <c r="IQ9" s="321"/>
      <c r="IR9" s="321"/>
      <c r="IS9" s="321"/>
      <c r="IT9" s="321"/>
      <c r="IU9" s="321"/>
      <c r="IV9" s="321"/>
    </row>
    <row r="10" spans="1:256" s="546" customFormat="1" ht="24.75" customHeight="1">
      <c r="A10" s="561">
        <v>2</v>
      </c>
      <c r="B10" s="544"/>
      <c r="C10" s="810">
        <v>1</v>
      </c>
      <c r="D10" s="798" t="s">
        <v>673</v>
      </c>
      <c r="E10" s="328"/>
      <c r="F10" s="326"/>
      <c r="G10" s="327"/>
      <c r="H10" s="761" t="s">
        <v>24</v>
      </c>
      <c r="I10" s="547"/>
      <c r="J10" s="547"/>
      <c r="K10" s="547"/>
      <c r="L10" s="547"/>
      <c r="M10" s="547"/>
      <c r="N10" s="547"/>
      <c r="O10" s="547"/>
      <c r="P10" s="555"/>
      <c r="Q10" s="548"/>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1"/>
      <c r="AY10" s="321"/>
      <c r="AZ10" s="321"/>
      <c r="BA10" s="321"/>
      <c r="BB10" s="321"/>
      <c r="BC10" s="321"/>
      <c r="BD10" s="321"/>
      <c r="BE10" s="321"/>
      <c r="BF10" s="321"/>
      <c r="BG10" s="321"/>
      <c r="BH10" s="321"/>
      <c r="BI10" s="321"/>
      <c r="BJ10" s="321"/>
      <c r="BK10" s="321"/>
      <c r="BL10" s="321"/>
      <c r="BM10" s="321"/>
      <c r="BN10" s="321"/>
      <c r="BO10" s="321"/>
      <c r="BP10" s="321"/>
      <c r="BQ10" s="321"/>
      <c r="BR10" s="321"/>
      <c r="BS10" s="321"/>
      <c r="BT10" s="321"/>
      <c r="BU10" s="321"/>
      <c r="BV10" s="321"/>
      <c r="BW10" s="321"/>
      <c r="BX10" s="321"/>
      <c r="BY10" s="321"/>
      <c r="BZ10" s="321"/>
      <c r="CA10" s="321"/>
      <c r="CB10" s="321"/>
      <c r="CC10" s="321"/>
      <c r="CD10" s="321"/>
      <c r="CE10" s="321"/>
      <c r="CF10" s="321"/>
      <c r="CG10" s="321"/>
      <c r="CH10" s="321"/>
      <c r="CI10" s="321"/>
      <c r="CJ10" s="321"/>
      <c r="CK10" s="321"/>
      <c r="CL10" s="321"/>
      <c r="CM10" s="321"/>
      <c r="CN10" s="321"/>
      <c r="CO10" s="321"/>
      <c r="CP10" s="321"/>
      <c r="CQ10" s="321"/>
      <c r="CR10" s="321"/>
      <c r="CS10" s="321"/>
      <c r="CT10" s="321"/>
      <c r="CU10" s="321"/>
      <c r="CV10" s="321"/>
      <c r="CW10" s="321"/>
      <c r="CX10" s="321"/>
      <c r="CY10" s="321"/>
      <c r="CZ10" s="321"/>
      <c r="DA10" s="321"/>
      <c r="DB10" s="321"/>
      <c r="DC10" s="321"/>
      <c r="DD10" s="321"/>
      <c r="DE10" s="321"/>
      <c r="DF10" s="321"/>
      <c r="DG10" s="321"/>
      <c r="DH10" s="321"/>
      <c r="DI10" s="321"/>
      <c r="DJ10" s="321"/>
      <c r="DK10" s="321"/>
      <c r="DL10" s="321"/>
      <c r="DM10" s="321"/>
      <c r="DN10" s="321"/>
      <c r="DO10" s="321"/>
      <c r="DP10" s="321"/>
      <c r="DQ10" s="321"/>
      <c r="DR10" s="321"/>
      <c r="DS10" s="321"/>
      <c r="DT10" s="321"/>
      <c r="DU10" s="321"/>
      <c r="DV10" s="321"/>
      <c r="DW10" s="321"/>
      <c r="DX10" s="321"/>
      <c r="DY10" s="321"/>
      <c r="DZ10" s="321"/>
      <c r="EA10" s="321"/>
      <c r="EB10" s="321"/>
      <c r="EC10" s="321"/>
      <c r="ED10" s="321"/>
      <c r="EE10" s="321"/>
      <c r="EF10" s="321"/>
      <c r="EG10" s="321"/>
      <c r="EH10" s="321"/>
      <c r="EI10" s="321"/>
      <c r="EJ10" s="321"/>
      <c r="EK10" s="321"/>
      <c r="EL10" s="321"/>
      <c r="EM10" s="321"/>
      <c r="EN10" s="321"/>
      <c r="EO10" s="321"/>
      <c r="EP10" s="321"/>
      <c r="EQ10" s="321"/>
      <c r="ER10" s="321"/>
      <c r="ES10" s="321"/>
      <c r="ET10" s="321"/>
      <c r="EU10" s="321"/>
      <c r="EV10" s="321"/>
      <c r="EW10" s="321"/>
      <c r="EX10" s="321"/>
      <c r="EY10" s="321"/>
      <c r="EZ10" s="321"/>
      <c r="FA10" s="321"/>
      <c r="FB10" s="321"/>
      <c r="FC10" s="321"/>
      <c r="FD10" s="321"/>
      <c r="FE10" s="321"/>
      <c r="FF10" s="321"/>
      <c r="FG10" s="321"/>
      <c r="FH10" s="321"/>
      <c r="FI10" s="321"/>
      <c r="FJ10" s="321"/>
      <c r="FK10" s="321"/>
      <c r="FL10" s="321"/>
      <c r="FM10" s="321"/>
      <c r="FN10" s="321"/>
      <c r="FO10" s="321"/>
      <c r="FP10" s="321"/>
      <c r="FQ10" s="321"/>
      <c r="FR10" s="321"/>
      <c r="FS10" s="321"/>
      <c r="FT10" s="321"/>
      <c r="FU10" s="321"/>
      <c r="FV10" s="321"/>
      <c r="FW10" s="321"/>
      <c r="FX10" s="321"/>
      <c r="FY10" s="321"/>
      <c r="FZ10" s="321"/>
      <c r="GA10" s="321"/>
      <c r="GB10" s="321"/>
      <c r="GC10" s="321"/>
      <c r="GD10" s="321"/>
      <c r="GE10" s="321"/>
      <c r="GF10" s="321"/>
      <c r="GG10" s="321"/>
      <c r="GH10" s="321"/>
      <c r="GI10" s="321"/>
      <c r="GJ10" s="321"/>
      <c r="GK10" s="321"/>
      <c r="GL10" s="321"/>
      <c r="GM10" s="321"/>
      <c r="GN10" s="321"/>
      <c r="GO10" s="321"/>
      <c r="GP10" s="321"/>
      <c r="GQ10" s="321"/>
      <c r="GR10" s="321"/>
      <c r="GS10" s="321"/>
      <c r="GT10" s="321"/>
      <c r="GU10" s="321"/>
      <c r="GV10" s="321"/>
      <c r="GW10" s="321"/>
      <c r="GX10" s="321"/>
      <c r="GY10" s="321"/>
      <c r="GZ10" s="321"/>
      <c r="HA10" s="321"/>
      <c r="HB10" s="321"/>
      <c r="HC10" s="321"/>
      <c r="HD10" s="321"/>
      <c r="HE10" s="321"/>
      <c r="HF10" s="321"/>
      <c r="HG10" s="321"/>
      <c r="HH10" s="321"/>
      <c r="HI10" s="321"/>
      <c r="HJ10" s="321"/>
      <c r="HK10" s="321"/>
      <c r="HL10" s="321"/>
      <c r="HM10" s="321"/>
      <c r="HN10" s="321"/>
      <c r="HO10" s="321"/>
      <c r="HP10" s="321"/>
      <c r="HQ10" s="321"/>
      <c r="HR10" s="321"/>
      <c r="HS10" s="321"/>
      <c r="HT10" s="321"/>
      <c r="HU10" s="321"/>
      <c r="HV10" s="321"/>
      <c r="HW10" s="321"/>
      <c r="HX10" s="321"/>
      <c r="HY10" s="321"/>
      <c r="HZ10" s="321"/>
      <c r="IA10" s="321"/>
      <c r="IB10" s="321"/>
      <c r="IC10" s="321"/>
      <c r="ID10" s="321"/>
      <c r="IE10" s="321"/>
      <c r="IF10" s="321"/>
      <c r="IG10" s="321"/>
      <c r="IH10" s="321"/>
      <c r="II10" s="321"/>
      <c r="IJ10" s="321"/>
      <c r="IK10" s="321"/>
      <c r="IL10" s="321"/>
      <c r="IM10" s="321"/>
      <c r="IN10" s="321"/>
      <c r="IO10" s="321"/>
      <c r="IP10" s="321"/>
      <c r="IQ10" s="321"/>
      <c r="IR10" s="321"/>
      <c r="IS10" s="321"/>
      <c r="IT10" s="321"/>
      <c r="IU10" s="321"/>
      <c r="IV10" s="321"/>
    </row>
    <row r="11" spans="1:256" s="546" customFormat="1" ht="22.5" customHeight="1">
      <c r="A11" s="561">
        <v>3</v>
      </c>
      <c r="B11" s="554"/>
      <c r="C11" s="361"/>
      <c r="D11" s="1455" t="s">
        <v>671</v>
      </c>
      <c r="E11" s="330"/>
      <c r="F11" s="550"/>
      <c r="G11" s="331"/>
      <c r="H11" s="762"/>
      <c r="I11" s="758"/>
      <c r="J11" s="547"/>
      <c r="K11" s="547"/>
      <c r="L11" s="547"/>
      <c r="M11" s="547"/>
      <c r="N11" s="547"/>
      <c r="O11" s="547"/>
      <c r="P11" s="555"/>
      <c r="Q11" s="55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c r="AZ11" s="321"/>
      <c r="BA11" s="321"/>
      <c r="BB11" s="321"/>
      <c r="BC11" s="321"/>
      <c r="BD11" s="321"/>
      <c r="BE11" s="321"/>
      <c r="BF11" s="321"/>
      <c r="BG11" s="321"/>
      <c r="BH11" s="321"/>
      <c r="BI11" s="321"/>
      <c r="BJ11" s="321"/>
      <c r="BK11" s="321"/>
      <c r="BL11" s="321"/>
      <c r="BM11" s="321"/>
      <c r="BN11" s="321"/>
      <c r="BO11" s="321"/>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c r="CM11" s="321"/>
      <c r="CN11" s="321"/>
      <c r="CO11" s="321"/>
      <c r="CP11" s="321"/>
      <c r="CQ11" s="321"/>
      <c r="CR11" s="321"/>
      <c r="CS11" s="321"/>
      <c r="CT11" s="321"/>
      <c r="CU11" s="321"/>
      <c r="CV11" s="321"/>
      <c r="CW11" s="321"/>
      <c r="CX11" s="321"/>
      <c r="CY11" s="321"/>
      <c r="CZ11" s="321"/>
      <c r="DA11" s="321"/>
      <c r="DB11" s="321"/>
      <c r="DC11" s="321"/>
      <c r="DD11" s="321"/>
      <c r="DE11" s="321"/>
      <c r="DF11" s="321"/>
      <c r="DG11" s="321"/>
      <c r="DH11" s="321"/>
      <c r="DI11" s="321"/>
      <c r="DJ11" s="321"/>
      <c r="DK11" s="321"/>
      <c r="DL11" s="321"/>
      <c r="DM11" s="321"/>
      <c r="DN11" s="321"/>
      <c r="DO11" s="321"/>
      <c r="DP11" s="321"/>
      <c r="DQ11" s="321"/>
      <c r="DR11" s="321"/>
      <c r="DS11" s="321"/>
      <c r="DT11" s="321"/>
      <c r="DU11" s="321"/>
      <c r="DV11" s="321"/>
      <c r="DW11" s="321"/>
      <c r="DX11" s="321"/>
      <c r="DY11" s="321"/>
      <c r="DZ11" s="321"/>
      <c r="EA11" s="321"/>
      <c r="EB11" s="321"/>
      <c r="EC11" s="321"/>
      <c r="ED11" s="321"/>
      <c r="EE11" s="321"/>
      <c r="EF11" s="321"/>
      <c r="EG11" s="321"/>
      <c r="EH11" s="321"/>
      <c r="EI11" s="321"/>
      <c r="EJ11" s="321"/>
      <c r="EK11" s="321"/>
      <c r="EL11" s="321"/>
      <c r="EM11" s="321"/>
      <c r="EN11" s="321"/>
      <c r="EO11" s="321"/>
      <c r="EP11" s="321"/>
      <c r="EQ11" s="321"/>
      <c r="ER11" s="321"/>
      <c r="ES11" s="321"/>
      <c r="ET11" s="321"/>
      <c r="EU11" s="321"/>
      <c r="EV11" s="321"/>
      <c r="EW11" s="321"/>
      <c r="EX11" s="321"/>
      <c r="EY11" s="321"/>
      <c r="EZ11" s="321"/>
      <c r="FA11" s="321"/>
      <c r="FB11" s="321"/>
      <c r="FC11" s="321"/>
      <c r="FD11" s="321"/>
      <c r="FE11" s="321"/>
      <c r="FF11" s="321"/>
      <c r="FG11" s="321"/>
      <c r="FH11" s="321"/>
      <c r="FI11" s="321"/>
      <c r="FJ11" s="321"/>
      <c r="FK11" s="321"/>
      <c r="FL11" s="321"/>
      <c r="FM11" s="321"/>
      <c r="FN11" s="321"/>
      <c r="FO11" s="321"/>
      <c r="FP11" s="321"/>
      <c r="FQ11" s="321"/>
      <c r="FR11" s="321"/>
      <c r="FS11" s="321"/>
      <c r="FT11" s="321"/>
      <c r="FU11" s="321"/>
      <c r="FV11" s="321"/>
      <c r="FW11" s="321"/>
      <c r="FX11" s="321"/>
      <c r="FY11" s="321"/>
      <c r="FZ11" s="321"/>
      <c r="GA11" s="321"/>
      <c r="GB11" s="321"/>
      <c r="GC11" s="321"/>
      <c r="GD11" s="321"/>
      <c r="GE11" s="321"/>
      <c r="GF11" s="321"/>
      <c r="GG11" s="321"/>
      <c r="GH11" s="321"/>
      <c r="GI11" s="321"/>
      <c r="GJ11" s="321"/>
      <c r="GK11" s="321"/>
      <c r="GL11" s="321"/>
      <c r="GM11" s="321"/>
      <c r="GN11" s="321"/>
      <c r="GO11" s="321"/>
      <c r="GP11" s="321"/>
      <c r="GQ11" s="321"/>
      <c r="GR11" s="321"/>
      <c r="GS11" s="321"/>
      <c r="GT11" s="321"/>
      <c r="GU11" s="321"/>
      <c r="GV11" s="321"/>
      <c r="GW11" s="321"/>
      <c r="GX11" s="321"/>
      <c r="GY11" s="321"/>
      <c r="GZ11" s="321"/>
      <c r="HA11" s="321"/>
      <c r="HB11" s="321"/>
      <c r="HC11" s="321"/>
      <c r="HD11" s="321"/>
      <c r="HE11" s="321"/>
      <c r="HF11" s="321"/>
      <c r="HG11" s="321"/>
      <c r="HH11" s="321"/>
      <c r="HI11" s="321"/>
      <c r="HJ11" s="321"/>
      <c r="HK11" s="321"/>
      <c r="HL11" s="321"/>
      <c r="HM11" s="321"/>
      <c r="HN11" s="321"/>
      <c r="HO11" s="321"/>
      <c r="HP11" s="321"/>
      <c r="HQ11" s="321"/>
      <c r="HR11" s="321"/>
      <c r="HS11" s="321"/>
      <c r="HT11" s="321"/>
      <c r="HU11" s="321"/>
      <c r="HV11" s="321"/>
      <c r="HW11" s="321"/>
      <c r="HX11" s="321"/>
      <c r="HY11" s="321"/>
      <c r="HZ11" s="321"/>
      <c r="IA11" s="321"/>
      <c r="IB11" s="321"/>
      <c r="IC11" s="321"/>
      <c r="ID11" s="321"/>
      <c r="IE11" s="321"/>
      <c r="IF11" s="321"/>
      <c r="IG11" s="321"/>
      <c r="IH11" s="321"/>
      <c r="II11" s="321"/>
      <c r="IJ11" s="321"/>
      <c r="IK11" s="321"/>
      <c r="IL11" s="321"/>
      <c r="IM11" s="321"/>
      <c r="IN11" s="321"/>
      <c r="IO11" s="321"/>
      <c r="IP11" s="321"/>
      <c r="IQ11" s="321"/>
      <c r="IR11" s="321"/>
      <c r="IS11" s="321"/>
      <c r="IT11" s="321"/>
      <c r="IU11" s="321"/>
      <c r="IV11" s="321"/>
    </row>
    <row r="12" spans="1:17" s="754" customFormat="1" ht="18" customHeight="1">
      <c r="A12" s="561">
        <v>4</v>
      </c>
      <c r="B12" s="746"/>
      <c r="C12" s="361"/>
      <c r="D12" s="748" t="s">
        <v>303</v>
      </c>
      <c r="E12" s="330">
        <f>F12+G12+2261+P13+Q12</f>
        <v>338971</v>
      </c>
      <c r="F12" s="785"/>
      <c r="G12" s="331">
        <f>50667+10996+4445+8177+635-1891</f>
        <v>73029</v>
      </c>
      <c r="H12" s="763"/>
      <c r="I12" s="759">
        <v>1000</v>
      </c>
      <c r="J12" s="752">
        <v>500</v>
      </c>
      <c r="K12" s="752">
        <f>320196-4230-1500</f>
        <v>314466</v>
      </c>
      <c r="L12" s="752"/>
      <c r="M12" s="773"/>
      <c r="N12" s="773"/>
      <c r="O12" s="752"/>
      <c r="P12" s="745">
        <f>SUM(I12:O12)</f>
        <v>315966</v>
      </c>
      <c r="Q12" s="753"/>
    </row>
    <row r="13" spans="1:17" s="754" customFormat="1" ht="18" customHeight="1">
      <c r="A13" s="561">
        <v>5</v>
      </c>
      <c r="B13" s="746"/>
      <c r="C13" s="361"/>
      <c r="D13" s="436" t="s">
        <v>994</v>
      </c>
      <c r="E13" s="330"/>
      <c r="F13" s="785"/>
      <c r="G13" s="331"/>
      <c r="H13" s="763"/>
      <c r="I13" s="1132">
        <v>0</v>
      </c>
      <c r="J13" s="1131">
        <v>0</v>
      </c>
      <c r="K13" s="1131">
        <v>262181</v>
      </c>
      <c r="L13" s="1131">
        <v>350</v>
      </c>
      <c r="M13" s="547"/>
      <c r="N13" s="547"/>
      <c r="O13" s="1131">
        <v>1150</v>
      </c>
      <c r="P13" s="1140">
        <f>SUM(I13:O13)</f>
        <v>263681</v>
      </c>
      <c r="Q13" s="753"/>
    </row>
    <row r="14" spans="1:17" s="754" customFormat="1" ht="18" customHeight="1">
      <c r="A14" s="561">
        <v>6</v>
      </c>
      <c r="B14" s="746"/>
      <c r="C14" s="361"/>
      <c r="D14" s="987" t="s">
        <v>1035</v>
      </c>
      <c r="E14" s="330"/>
      <c r="F14" s="785"/>
      <c r="G14" s="331"/>
      <c r="H14" s="763"/>
      <c r="I14" s="1269">
        <v>0</v>
      </c>
      <c r="J14" s="1269">
        <v>0</v>
      </c>
      <c r="K14" s="1269">
        <v>262180</v>
      </c>
      <c r="L14" s="1269">
        <v>350</v>
      </c>
      <c r="M14" s="1269"/>
      <c r="N14" s="1269"/>
      <c r="O14" s="1269">
        <v>1150</v>
      </c>
      <c r="P14" s="1175">
        <f>SUM(I14:O14)</f>
        <v>263680</v>
      </c>
      <c r="Q14" s="753"/>
    </row>
    <row r="15" spans="1:17" s="754" customFormat="1" ht="22.5" customHeight="1">
      <c r="A15" s="561">
        <v>7</v>
      </c>
      <c r="B15" s="746"/>
      <c r="C15" s="361"/>
      <c r="D15" s="1455" t="s">
        <v>672</v>
      </c>
      <c r="E15" s="330"/>
      <c r="F15" s="785"/>
      <c r="G15" s="331"/>
      <c r="H15" s="763"/>
      <c r="I15" s="759"/>
      <c r="J15" s="752"/>
      <c r="K15" s="773"/>
      <c r="L15" s="752"/>
      <c r="M15" s="773"/>
      <c r="N15" s="773"/>
      <c r="O15" s="752"/>
      <c r="P15" s="745"/>
      <c r="Q15" s="753"/>
    </row>
    <row r="16" spans="1:17" s="754" customFormat="1" ht="22.5" customHeight="1">
      <c r="A16" s="561">
        <v>8</v>
      </c>
      <c r="B16" s="746"/>
      <c r="C16" s="361"/>
      <c r="D16" s="549" t="s">
        <v>990</v>
      </c>
      <c r="E16" s="330"/>
      <c r="F16" s="785"/>
      <c r="G16" s="331"/>
      <c r="H16" s="763"/>
      <c r="I16" s="759"/>
      <c r="J16" s="752"/>
      <c r="K16" s="773"/>
      <c r="L16" s="752"/>
      <c r="M16" s="773"/>
      <c r="N16" s="773"/>
      <c r="O16" s="752"/>
      <c r="P16" s="745"/>
      <c r="Q16" s="753"/>
    </row>
    <row r="17" spans="1:17" s="754" customFormat="1" ht="18" customHeight="1">
      <c r="A17" s="561">
        <v>9</v>
      </c>
      <c r="B17" s="746"/>
      <c r="C17" s="361"/>
      <c r="D17" s="748" t="s">
        <v>303</v>
      </c>
      <c r="E17" s="330">
        <f>F17+G17+2261+P18+Q17</f>
        <v>2261</v>
      </c>
      <c r="F17" s="785"/>
      <c r="G17" s="331"/>
      <c r="H17" s="763"/>
      <c r="I17" s="759"/>
      <c r="J17" s="752"/>
      <c r="K17" s="773"/>
      <c r="L17" s="752"/>
      <c r="M17" s="773"/>
      <c r="N17" s="752">
        <v>68500</v>
      </c>
      <c r="O17" s="752"/>
      <c r="P17" s="745">
        <f>SUM(I17:O17)</f>
        <v>68500</v>
      </c>
      <c r="Q17" s="753"/>
    </row>
    <row r="18" spans="1:17" s="754" customFormat="1" ht="18" customHeight="1">
      <c r="A18" s="561">
        <v>10</v>
      </c>
      <c r="B18" s="746"/>
      <c r="C18" s="361"/>
      <c r="D18" s="436" t="s">
        <v>994</v>
      </c>
      <c r="E18" s="330"/>
      <c r="F18" s="785"/>
      <c r="G18" s="331"/>
      <c r="H18" s="763"/>
      <c r="I18" s="759"/>
      <c r="J18" s="752"/>
      <c r="K18" s="773"/>
      <c r="L18" s="752"/>
      <c r="M18" s="773"/>
      <c r="N18" s="1131">
        <v>0</v>
      </c>
      <c r="O18" s="1131"/>
      <c r="P18" s="555">
        <f>SUM(I18:O18)</f>
        <v>0</v>
      </c>
      <c r="Q18" s="753"/>
    </row>
    <row r="19" spans="1:17" s="754" customFormat="1" ht="18" customHeight="1">
      <c r="A19" s="561">
        <v>11</v>
      </c>
      <c r="B19" s="746"/>
      <c r="C19" s="361"/>
      <c r="D19" s="987" t="s">
        <v>1035</v>
      </c>
      <c r="E19" s="330"/>
      <c r="F19" s="785"/>
      <c r="G19" s="331"/>
      <c r="H19" s="763"/>
      <c r="I19" s="1132"/>
      <c r="J19" s="1131"/>
      <c r="K19" s="547"/>
      <c r="L19" s="1131"/>
      <c r="M19" s="547"/>
      <c r="N19" s="1266">
        <v>0</v>
      </c>
      <c r="O19" s="1131"/>
      <c r="P19" s="1175">
        <f>SUM(I19:O19)</f>
        <v>0</v>
      </c>
      <c r="Q19" s="753"/>
    </row>
    <row r="20" spans="1:17" s="754" customFormat="1" ht="22.5" customHeight="1">
      <c r="A20" s="561">
        <v>12</v>
      </c>
      <c r="B20" s="746"/>
      <c r="C20" s="361"/>
      <c r="D20" s="549" t="s">
        <v>669</v>
      </c>
      <c r="E20" s="330"/>
      <c r="F20" s="785"/>
      <c r="G20" s="331"/>
      <c r="H20" s="763"/>
      <c r="I20" s="759"/>
      <c r="J20" s="752"/>
      <c r="K20" s="773"/>
      <c r="L20" s="752"/>
      <c r="M20" s="773"/>
      <c r="N20" s="773"/>
      <c r="O20" s="752"/>
      <c r="P20" s="745"/>
      <c r="Q20" s="753"/>
    </row>
    <row r="21" spans="1:17" s="754" customFormat="1" ht="18" customHeight="1">
      <c r="A21" s="561">
        <v>13</v>
      </c>
      <c r="B21" s="746"/>
      <c r="C21" s="361"/>
      <c r="D21" s="748" t="s">
        <v>303</v>
      </c>
      <c r="E21" s="330">
        <f>F21+G21+2261+P22+Q21</f>
        <v>2261</v>
      </c>
      <c r="F21" s="785"/>
      <c r="G21" s="331"/>
      <c r="H21" s="763"/>
      <c r="I21" s="759"/>
      <c r="J21" s="752"/>
      <c r="K21" s="773"/>
      <c r="L21" s="752"/>
      <c r="M21" s="752">
        <v>38500</v>
      </c>
      <c r="N21" s="773"/>
      <c r="O21" s="752"/>
      <c r="P21" s="745">
        <f>SUM(I21:O21)</f>
        <v>38500</v>
      </c>
      <c r="Q21" s="753"/>
    </row>
    <row r="22" spans="1:17" s="754" customFormat="1" ht="18" customHeight="1">
      <c r="A22" s="561">
        <v>14</v>
      </c>
      <c r="B22" s="746"/>
      <c r="C22" s="361"/>
      <c r="D22" s="436" t="s">
        <v>994</v>
      </c>
      <c r="E22" s="330"/>
      <c r="F22" s="785"/>
      <c r="G22" s="331"/>
      <c r="H22" s="763"/>
      <c r="I22" s="759"/>
      <c r="J22" s="752"/>
      <c r="K22" s="773"/>
      <c r="L22" s="752"/>
      <c r="M22" s="1131">
        <v>0</v>
      </c>
      <c r="N22" s="547"/>
      <c r="O22" s="1131"/>
      <c r="P22" s="555">
        <f>SUM(I22:O22)</f>
        <v>0</v>
      </c>
      <c r="Q22" s="753"/>
    </row>
    <row r="23" spans="1:17" s="754" customFormat="1" ht="18" customHeight="1">
      <c r="A23" s="561">
        <v>15</v>
      </c>
      <c r="B23" s="746"/>
      <c r="C23" s="361"/>
      <c r="D23" s="987" t="s">
        <v>1035</v>
      </c>
      <c r="E23" s="330"/>
      <c r="F23" s="785"/>
      <c r="G23" s="331"/>
      <c r="H23" s="763"/>
      <c r="I23" s="1132"/>
      <c r="J23" s="1131"/>
      <c r="K23" s="547"/>
      <c r="L23" s="1131"/>
      <c r="M23" s="1266">
        <v>0</v>
      </c>
      <c r="N23" s="547"/>
      <c r="O23" s="1131"/>
      <c r="P23" s="1175">
        <f>SUM(I23:O23)</f>
        <v>0</v>
      </c>
      <c r="Q23" s="753"/>
    </row>
    <row r="24" spans="1:256" s="546" customFormat="1" ht="22.5" customHeight="1">
      <c r="A24" s="561">
        <v>16</v>
      </c>
      <c r="B24" s="554"/>
      <c r="C24" s="361"/>
      <c r="D24" s="549" t="s">
        <v>628</v>
      </c>
      <c r="E24" s="330"/>
      <c r="F24" s="550"/>
      <c r="G24" s="331"/>
      <c r="H24" s="762"/>
      <c r="I24" s="758"/>
      <c r="J24" s="547"/>
      <c r="K24" s="547"/>
      <c r="L24" s="547"/>
      <c r="M24" s="547"/>
      <c r="N24" s="547"/>
      <c r="O24" s="547"/>
      <c r="P24" s="555"/>
      <c r="Q24" s="55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c r="AU24" s="321"/>
      <c r="AV24" s="321"/>
      <c r="AW24" s="321"/>
      <c r="AX24" s="321"/>
      <c r="AY24" s="321"/>
      <c r="AZ24" s="321"/>
      <c r="BA24" s="321"/>
      <c r="BB24" s="321"/>
      <c r="BC24" s="321"/>
      <c r="BD24" s="321"/>
      <c r="BE24" s="321"/>
      <c r="BF24" s="321"/>
      <c r="BG24" s="321"/>
      <c r="BH24" s="321"/>
      <c r="BI24" s="321"/>
      <c r="BJ24" s="321"/>
      <c r="BK24" s="321"/>
      <c r="BL24" s="321"/>
      <c r="BM24" s="321"/>
      <c r="BN24" s="321"/>
      <c r="BO24" s="321"/>
      <c r="BP24" s="321"/>
      <c r="BQ24" s="321"/>
      <c r="BR24" s="321"/>
      <c r="BS24" s="321"/>
      <c r="BT24" s="321"/>
      <c r="BU24" s="321"/>
      <c r="BV24" s="321"/>
      <c r="BW24" s="321"/>
      <c r="BX24" s="321"/>
      <c r="BY24" s="321"/>
      <c r="BZ24" s="321"/>
      <c r="CA24" s="321"/>
      <c r="CB24" s="321"/>
      <c r="CC24" s="321"/>
      <c r="CD24" s="321"/>
      <c r="CE24" s="321"/>
      <c r="CF24" s="321"/>
      <c r="CG24" s="321"/>
      <c r="CH24" s="321"/>
      <c r="CI24" s="321"/>
      <c r="CJ24" s="321"/>
      <c r="CK24" s="321"/>
      <c r="CL24" s="321"/>
      <c r="CM24" s="321"/>
      <c r="CN24" s="321"/>
      <c r="CO24" s="321"/>
      <c r="CP24" s="321"/>
      <c r="CQ24" s="321"/>
      <c r="CR24" s="321"/>
      <c r="CS24" s="321"/>
      <c r="CT24" s="321"/>
      <c r="CU24" s="321"/>
      <c r="CV24" s="321"/>
      <c r="CW24" s="321"/>
      <c r="CX24" s="321"/>
      <c r="CY24" s="321"/>
      <c r="CZ24" s="321"/>
      <c r="DA24" s="321"/>
      <c r="DB24" s="321"/>
      <c r="DC24" s="321"/>
      <c r="DD24" s="321"/>
      <c r="DE24" s="321"/>
      <c r="DF24" s="321"/>
      <c r="DG24" s="321"/>
      <c r="DH24" s="321"/>
      <c r="DI24" s="321"/>
      <c r="DJ24" s="321"/>
      <c r="DK24" s="321"/>
      <c r="DL24" s="321"/>
      <c r="DM24" s="321"/>
      <c r="DN24" s="321"/>
      <c r="DO24" s="321"/>
      <c r="DP24" s="321"/>
      <c r="DQ24" s="321"/>
      <c r="DR24" s="321"/>
      <c r="DS24" s="321"/>
      <c r="DT24" s="321"/>
      <c r="DU24" s="321"/>
      <c r="DV24" s="321"/>
      <c r="DW24" s="321"/>
      <c r="DX24" s="321"/>
      <c r="DY24" s="321"/>
      <c r="DZ24" s="321"/>
      <c r="EA24" s="321"/>
      <c r="EB24" s="321"/>
      <c r="EC24" s="321"/>
      <c r="ED24" s="321"/>
      <c r="EE24" s="321"/>
      <c r="EF24" s="321"/>
      <c r="EG24" s="321"/>
      <c r="EH24" s="321"/>
      <c r="EI24" s="321"/>
      <c r="EJ24" s="321"/>
      <c r="EK24" s="321"/>
      <c r="EL24" s="321"/>
      <c r="EM24" s="321"/>
      <c r="EN24" s="321"/>
      <c r="EO24" s="321"/>
      <c r="EP24" s="321"/>
      <c r="EQ24" s="321"/>
      <c r="ER24" s="321"/>
      <c r="ES24" s="321"/>
      <c r="ET24" s="321"/>
      <c r="EU24" s="321"/>
      <c r="EV24" s="321"/>
      <c r="EW24" s="321"/>
      <c r="EX24" s="321"/>
      <c r="EY24" s="321"/>
      <c r="EZ24" s="321"/>
      <c r="FA24" s="321"/>
      <c r="FB24" s="321"/>
      <c r="FC24" s="321"/>
      <c r="FD24" s="321"/>
      <c r="FE24" s="321"/>
      <c r="FF24" s="321"/>
      <c r="FG24" s="321"/>
      <c r="FH24" s="321"/>
      <c r="FI24" s="321"/>
      <c r="FJ24" s="321"/>
      <c r="FK24" s="321"/>
      <c r="FL24" s="321"/>
      <c r="FM24" s="321"/>
      <c r="FN24" s="321"/>
      <c r="FO24" s="321"/>
      <c r="FP24" s="321"/>
      <c r="FQ24" s="321"/>
      <c r="FR24" s="321"/>
      <c r="FS24" s="321"/>
      <c r="FT24" s="321"/>
      <c r="FU24" s="321"/>
      <c r="FV24" s="321"/>
      <c r="FW24" s="321"/>
      <c r="FX24" s="321"/>
      <c r="FY24" s="321"/>
      <c r="FZ24" s="321"/>
      <c r="GA24" s="321"/>
      <c r="GB24" s="321"/>
      <c r="GC24" s="321"/>
      <c r="GD24" s="321"/>
      <c r="GE24" s="321"/>
      <c r="GF24" s="321"/>
      <c r="GG24" s="321"/>
      <c r="GH24" s="321"/>
      <c r="GI24" s="321"/>
      <c r="GJ24" s="321"/>
      <c r="GK24" s="321"/>
      <c r="GL24" s="321"/>
      <c r="GM24" s="321"/>
      <c r="GN24" s="321"/>
      <c r="GO24" s="321"/>
      <c r="GP24" s="321"/>
      <c r="GQ24" s="321"/>
      <c r="GR24" s="321"/>
      <c r="GS24" s="321"/>
      <c r="GT24" s="321"/>
      <c r="GU24" s="321"/>
      <c r="GV24" s="321"/>
      <c r="GW24" s="321"/>
      <c r="GX24" s="321"/>
      <c r="GY24" s="321"/>
      <c r="GZ24" s="321"/>
      <c r="HA24" s="321"/>
      <c r="HB24" s="321"/>
      <c r="HC24" s="321"/>
      <c r="HD24" s="321"/>
      <c r="HE24" s="321"/>
      <c r="HF24" s="321"/>
      <c r="HG24" s="321"/>
      <c r="HH24" s="321"/>
      <c r="HI24" s="321"/>
      <c r="HJ24" s="321"/>
      <c r="HK24" s="321"/>
      <c r="HL24" s="321"/>
      <c r="HM24" s="321"/>
      <c r="HN24" s="321"/>
      <c r="HO24" s="321"/>
      <c r="HP24" s="321"/>
      <c r="HQ24" s="321"/>
      <c r="HR24" s="321"/>
      <c r="HS24" s="321"/>
      <c r="HT24" s="321"/>
      <c r="HU24" s="321"/>
      <c r="HV24" s="321"/>
      <c r="HW24" s="321"/>
      <c r="HX24" s="321"/>
      <c r="HY24" s="321"/>
      <c r="HZ24" s="321"/>
      <c r="IA24" s="321"/>
      <c r="IB24" s="321"/>
      <c r="IC24" s="321"/>
      <c r="ID24" s="321"/>
      <c r="IE24" s="321"/>
      <c r="IF24" s="321"/>
      <c r="IG24" s="321"/>
      <c r="IH24" s="321"/>
      <c r="II24" s="321"/>
      <c r="IJ24" s="321"/>
      <c r="IK24" s="321"/>
      <c r="IL24" s="321"/>
      <c r="IM24" s="321"/>
      <c r="IN24" s="321"/>
      <c r="IO24" s="321"/>
      <c r="IP24" s="321"/>
      <c r="IQ24" s="321"/>
      <c r="IR24" s="321"/>
      <c r="IS24" s="321"/>
      <c r="IT24" s="321"/>
      <c r="IU24" s="321"/>
      <c r="IV24" s="321"/>
    </row>
    <row r="25" spans="1:17" s="754" customFormat="1" ht="18" customHeight="1">
      <c r="A25" s="561">
        <v>17</v>
      </c>
      <c r="B25" s="746"/>
      <c r="C25" s="822"/>
      <c r="D25" s="748" t="s">
        <v>303</v>
      </c>
      <c r="E25" s="330">
        <f>F25+G25+2261+P26+Q25</f>
        <v>6273</v>
      </c>
      <c r="F25" s="823"/>
      <c r="G25" s="830">
        <v>1891</v>
      </c>
      <c r="H25" s="824"/>
      <c r="I25" s="825"/>
      <c r="J25" s="826"/>
      <c r="K25" s="826">
        <v>4230</v>
      </c>
      <c r="L25" s="826"/>
      <c r="M25" s="826"/>
      <c r="N25" s="826"/>
      <c r="O25" s="826"/>
      <c r="P25" s="827">
        <f>SUM(I25:O25)</f>
        <v>4230</v>
      </c>
      <c r="Q25" s="819"/>
    </row>
    <row r="26" spans="1:17" s="754" customFormat="1" ht="18" customHeight="1">
      <c r="A26" s="561">
        <v>18</v>
      </c>
      <c r="B26" s="746"/>
      <c r="C26" s="822"/>
      <c r="D26" s="436" t="s">
        <v>994</v>
      </c>
      <c r="E26" s="828"/>
      <c r="F26" s="823"/>
      <c r="G26" s="830"/>
      <c r="H26" s="824"/>
      <c r="I26" s="825"/>
      <c r="J26" s="825"/>
      <c r="K26" s="1295">
        <v>2121</v>
      </c>
      <c r="L26" s="1295"/>
      <c r="M26" s="1295"/>
      <c r="N26" s="1295"/>
      <c r="O26" s="1295"/>
      <c r="P26" s="1140">
        <f>SUM(I26:O26)</f>
        <v>2121</v>
      </c>
      <c r="Q26" s="819"/>
    </row>
    <row r="27" spans="1:17" s="754" customFormat="1" ht="18" customHeight="1">
      <c r="A27" s="561">
        <v>19</v>
      </c>
      <c r="B27" s="746"/>
      <c r="C27" s="361"/>
      <c r="D27" s="987" t="s">
        <v>1035</v>
      </c>
      <c r="E27" s="330"/>
      <c r="F27" s="785"/>
      <c r="G27" s="331"/>
      <c r="H27" s="763"/>
      <c r="I27" s="1132"/>
      <c r="J27" s="1132"/>
      <c r="K27" s="1269">
        <v>742</v>
      </c>
      <c r="L27" s="1132"/>
      <c r="M27" s="1132"/>
      <c r="N27" s="1132"/>
      <c r="O27" s="1132"/>
      <c r="P27" s="1175">
        <f>SUM(I27:O27)</f>
        <v>742</v>
      </c>
      <c r="Q27" s="753"/>
    </row>
    <row r="28" spans="1:17" s="754" customFormat="1" ht="22.5" customHeight="1">
      <c r="A28" s="561">
        <v>20</v>
      </c>
      <c r="B28" s="746"/>
      <c r="C28" s="361"/>
      <c r="D28" s="549" t="s">
        <v>909</v>
      </c>
      <c r="E28" s="330"/>
      <c r="F28" s="785"/>
      <c r="G28" s="331"/>
      <c r="H28" s="763"/>
      <c r="I28" s="1132"/>
      <c r="J28" s="1132"/>
      <c r="K28" s="1132"/>
      <c r="L28" s="1132"/>
      <c r="M28" s="1132"/>
      <c r="N28" s="1132"/>
      <c r="O28" s="1132"/>
      <c r="P28" s="555"/>
      <c r="Q28" s="753"/>
    </row>
    <row r="29" spans="1:17" s="754" customFormat="1" ht="18" customHeight="1">
      <c r="A29" s="561">
        <v>21</v>
      </c>
      <c r="B29" s="746"/>
      <c r="C29" s="1129"/>
      <c r="D29" s="436" t="s">
        <v>994</v>
      </c>
      <c r="E29" s="330">
        <f>F29+G29+2261+P30+Q29</f>
        <v>47283</v>
      </c>
      <c r="F29" s="785"/>
      <c r="G29" s="331"/>
      <c r="H29" s="763"/>
      <c r="I29" s="1132"/>
      <c r="J29" s="1132"/>
      <c r="K29" s="1132"/>
      <c r="L29" s="1132"/>
      <c r="M29" s="1132">
        <v>45022</v>
      </c>
      <c r="N29" s="1132"/>
      <c r="O29" s="1132"/>
      <c r="P29" s="1140">
        <f>SUM(I29:O29)</f>
        <v>45022</v>
      </c>
      <c r="Q29" s="753"/>
    </row>
    <row r="30" spans="1:17" s="754" customFormat="1" ht="18" customHeight="1">
      <c r="A30" s="561">
        <v>22</v>
      </c>
      <c r="B30" s="746"/>
      <c r="C30" s="361"/>
      <c r="D30" s="987" t="s">
        <v>1035</v>
      </c>
      <c r="E30" s="330"/>
      <c r="F30" s="785"/>
      <c r="G30" s="331"/>
      <c r="H30" s="763"/>
      <c r="I30" s="1132"/>
      <c r="J30" s="1132"/>
      <c r="K30" s="1132"/>
      <c r="L30" s="1132"/>
      <c r="M30" s="1269">
        <v>45022</v>
      </c>
      <c r="N30" s="1132"/>
      <c r="O30" s="1132"/>
      <c r="P30" s="1175">
        <f>SUM(I30:O30)</f>
        <v>45022</v>
      </c>
      <c r="Q30" s="753"/>
    </row>
    <row r="31" spans="1:17" s="754" customFormat="1" ht="22.5" customHeight="1">
      <c r="A31" s="561">
        <v>23</v>
      </c>
      <c r="B31" s="746"/>
      <c r="C31" s="361"/>
      <c r="D31" s="549" t="s">
        <v>822</v>
      </c>
      <c r="E31" s="330"/>
      <c r="F31" s="785"/>
      <c r="G31" s="331"/>
      <c r="H31" s="763"/>
      <c r="I31" s="1132"/>
      <c r="J31" s="1131"/>
      <c r="K31" s="547"/>
      <c r="L31" s="1131"/>
      <c r="M31" s="547"/>
      <c r="N31" s="547"/>
      <c r="O31" s="1131"/>
      <c r="P31" s="555"/>
      <c r="Q31" s="753"/>
    </row>
    <row r="32" spans="1:17" s="754" customFormat="1" ht="22.5" customHeight="1">
      <c r="A32" s="561">
        <v>24</v>
      </c>
      <c r="B32" s="746"/>
      <c r="C32" s="361"/>
      <c r="D32" s="436" t="s">
        <v>994</v>
      </c>
      <c r="E32" s="330">
        <f>F32+G32+2261+P33+Q32</f>
        <v>88494</v>
      </c>
      <c r="F32" s="785"/>
      <c r="G32" s="331"/>
      <c r="H32" s="763"/>
      <c r="I32" s="1132"/>
      <c r="J32" s="1131"/>
      <c r="K32" s="547"/>
      <c r="L32" s="1131"/>
      <c r="M32" s="1131">
        <v>86233</v>
      </c>
      <c r="N32" s="547"/>
      <c r="O32" s="1131"/>
      <c r="P32" s="1140">
        <f>SUM(I32:O32)</f>
        <v>86233</v>
      </c>
      <c r="Q32" s="753"/>
    </row>
    <row r="33" spans="1:17" s="754" customFormat="1" ht="18" customHeight="1">
      <c r="A33" s="561">
        <v>25</v>
      </c>
      <c r="B33" s="746"/>
      <c r="C33" s="361"/>
      <c r="D33" s="987" t="s">
        <v>1035</v>
      </c>
      <c r="E33" s="330"/>
      <c r="F33" s="785"/>
      <c r="G33" s="331"/>
      <c r="H33" s="763"/>
      <c r="I33" s="1132"/>
      <c r="J33" s="1131"/>
      <c r="K33" s="547"/>
      <c r="L33" s="1131"/>
      <c r="M33" s="1269">
        <v>86233</v>
      </c>
      <c r="N33" s="547"/>
      <c r="O33" s="1131"/>
      <c r="P33" s="1175">
        <f>SUM(I33:O33)</f>
        <v>86233</v>
      </c>
      <c r="Q33" s="753"/>
    </row>
    <row r="34" spans="1:17" s="754" customFormat="1" ht="22.5" customHeight="1">
      <c r="A34" s="561">
        <v>26</v>
      </c>
      <c r="B34" s="746"/>
      <c r="C34" s="361"/>
      <c r="D34" s="549" t="s">
        <v>824</v>
      </c>
      <c r="E34" s="330"/>
      <c r="F34" s="785"/>
      <c r="G34" s="331"/>
      <c r="H34" s="763"/>
      <c r="I34" s="1132"/>
      <c r="J34" s="1131"/>
      <c r="K34" s="547"/>
      <c r="L34" s="1131"/>
      <c r="M34" s="547"/>
      <c r="N34" s="547"/>
      <c r="O34" s="1131"/>
      <c r="P34" s="555"/>
      <c r="Q34" s="753"/>
    </row>
    <row r="35" spans="1:17" s="754" customFormat="1" ht="22.5" customHeight="1">
      <c r="A35" s="561">
        <v>27</v>
      </c>
      <c r="B35" s="746"/>
      <c r="C35" s="361"/>
      <c r="D35" s="436" t="s">
        <v>994</v>
      </c>
      <c r="E35" s="330">
        <f>F35+G35+2261+P36+Q35</f>
        <v>6589</v>
      </c>
      <c r="F35" s="785"/>
      <c r="G35" s="331"/>
      <c r="H35" s="763"/>
      <c r="I35" s="1132"/>
      <c r="J35" s="1131"/>
      <c r="K35" s="1131"/>
      <c r="L35" s="1131"/>
      <c r="M35" s="1131">
        <v>4328</v>
      </c>
      <c r="N35" s="547"/>
      <c r="O35" s="1131"/>
      <c r="P35" s="1140">
        <f>SUM(I35:O35)</f>
        <v>4328</v>
      </c>
      <c r="Q35" s="753"/>
    </row>
    <row r="36" spans="1:17" s="754" customFormat="1" ht="18" customHeight="1">
      <c r="A36" s="561">
        <v>28</v>
      </c>
      <c r="B36" s="746"/>
      <c r="C36" s="361"/>
      <c r="D36" s="987" t="s">
        <v>1035</v>
      </c>
      <c r="E36" s="330"/>
      <c r="F36" s="785"/>
      <c r="G36" s="331"/>
      <c r="H36" s="763"/>
      <c r="I36" s="1132"/>
      <c r="J36" s="1131"/>
      <c r="K36" s="1266"/>
      <c r="L36" s="1131"/>
      <c r="M36" s="1269">
        <v>4328</v>
      </c>
      <c r="N36" s="547"/>
      <c r="O36" s="1131"/>
      <c r="P36" s="1175">
        <f>SUM(I36:O36)</f>
        <v>4328</v>
      </c>
      <c r="Q36" s="753"/>
    </row>
    <row r="37" spans="1:17" s="754" customFormat="1" ht="22.5" customHeight="1">
      <c r="A37" s="561">
        <v>29</v>
      </c>
      <c r="B37" s="746"/>
      <c r="C37" s="361"/>
      <c r="D37" s="549" t="s">
        <v>825</v>
      </c>
      <c r="E37" s="330"/>
      <c r="F37" s="785"/>
      <c r="G37" s="331"/>
      <c r="H37" s="763"/>
      <c r="I37" s="1132"/>
      <c r="J37" s="1131"/>
      <c r="K37" s="547"/>
      <c r="L37" s="1131"/>
      <c r="M37" s="547"/>
      <c r="N37" s="547"/>
      <c r="O37" s="1131"/>
      <c r="P37" s="555"/>
      <c r="Q37" s="753"/>
    </row>
    <row r="38" spans="1:17" s="754" customFormat="1" ht="22.5" customHeight="1">
      <c r="A38" s="561">
        <v>30</v>
      </c>
      <c r="B38" s="746"/>
      <c r="C38" s="361"/>
      <c r="D38" s="436" t="s">
        <v>994</v>
      </c>
      <c r="E38" s="330">
        <f>F38+G38+2261+P39+Q38</f>
        <v>5283</v>
      </c>
      <c r="F38" s="785"/>
      <c r="G38" s="331"/>
      <c r="H38" s="763"/>
      <c r="I38" s="1132"/>
      <c r="J38" s="1131"/>
      <c r="K38" s="1131"/>
      <c r="L38" s="1131"/>
      <c r="M38" s="1131">
        <v>3021</v>
      </c>
      <c r="N38" s="547"/>
      <c r="O38" s="1131"/>
      <c r="P38" s="1140">
        <f>SUM(I38:O38)</f>
        <v>3021</v>
      </c>
      <c r="Q38" s="753"/>
    </row>
    <row r="39" spans="1:17" s="754" customFormat="1" ht="18" customHeight="1">
      <c r="A39" s="561">
        <v>31</v>
      </c>
      <c r="B39" s="746"/>
      <c r="C39" s="361"/>
      <c r="D39" s="987" t="s">
        <v>1035</v>
      </c>
      <c r="E39" s="330"/>
      <c r="F39" s="785"/>
      <c r="G39" s="331"/>
      <c r="H39" s="763"/>
      <c r="I39" s="1132"/>
      <c r="J39" s="1131"/>
      <c r="K39" s="1266"/>
      <c r="L39" s="1131"/>
      <c r="M39" s="1269">
        <v>3022</v>
      </c>
      <c r="N39" s="547"/>
      <c r="O39" s="1131"/>
      <c r="P39" s="1175">
        <f>SUM(I39:O39)</f>
        <v>3022</v>
      </c>
      <c r="Q39" s="753"/>
    </row>
    <row r="40" spans="1:17" s="754" customFormat="1" ht="22.5" customHeight="1">
      <c r="A40" s="561">
        <v>32</v>
      </c>
      <c r="B40" s="746"/>
      <c r="C40" s="361"/>
      <c r="D40" s="549" t="s">
        <v>828</v>
      </c>
      <c r="E40" s="330"/>
      <c r="F40" s="785"/>
      <c r="G40" s="331"/>
      <c r="H40" s="763"/>
      <c r="I40" s="1132"/>
      <c r="J40" s="1131"/>
      <c r="K40" s="1131"/>
      <c r="L40" s="1131"/>
      <c r="M40" s="1131"/>
      <c r="N40" s="547"/>
      <c r="O40" s="1131"/>
      <c r="P40" s="555"/>
      <c r="Q40" s="753"/>
    </row>
    <row r="41" spans="1:17" s="754" customFormat="1" ht="22.5" customHeight="1">
      <c r="A41" s="561">
        <v>33</v>
      </c>
      <c r="B41" s="746"/>
      <c r="C41" s="361"/>
      <c r="D41" s="436" t="s">
        <v>994</v>
      </c>
      <c r="E41" s="330">
        <f>F41+G41+2261+P42+Q41</f>
        <v>3658</v>
      </c>
      <c r="F41" s="785"/>
      <c r="G41" s="331"/>
      <c r="H41" s="763"/>
      <c r="I41" s="1132"/>
      <c r="J41" s="1131"/>
      <c r="K41" s="1131"/>
      <c r="L41" s="1131"/>
      <c r="M41" s="1131">
        <v>1397</v>
      </c>
      <c r="N41" s="547"/>
      <c r="O41" s="1131"/>
      <c r="P41" s="1140">
        <f>SUM(I41:O41)</f>
        <v>1397</v>
      </c>
      <c r="Q41" s="753"/>
    </row>
    <row r="42" spans="1:17" s="754" customFormat="1" ht="18" customHeight="1">
      <c r="A42" s="561">
        <v>34</v>
      </c>
      <c r="B42" s="746"/>
      <c r="C42" s="361"/>
      <c r="D42" s="987" t="s">
        <v>1035</v>
      </c>
      <c r="E42" s="330"/>
      <c r="F42" s="785"/>
      <c r="G42" s="331"/>
      <c r="H42" s="763"/>
      <c r="I42" s="1132"/>
      <c r="J42" s="1131"/>
      <c r="K42" s="1131"/>
      <c r="L42" s="1131"/>
      <c r="M42" s="1269">
        <v>1397</v>
      </c>
      <c r="N42" s="547"/>
      <c r="O42" s="1131"/>
      <c r="P42" s="1175">
        <f>SUM(I42:O42)</f>
        <v>1397</v>
      </c>
      <c r="Q42" s="753"/>
    </row>
    <row r="43" spans="1:17" s="754" customFormat="1" ht="22.5" customHeight="1">
      <c r="A43" s="561">
        <v>35</v>
      </c>
      <c r="B43" s="746"/>
      <c r="C43" s="361"/>
      <c r="D43" s="549" t="s">
        <v>829</v>
      </c>
      <c r="E43" s="330"/>
      <c r="F43" s="785"/>
      <c r="G43" s="331"/>
      <c r="H43" s="763"/>
      <c r="I43" s="1132"/>
      <c r="J43" s="1131"/>
      <c r="K43" s="1131"/>
      <c r="L43" s="1131"/>
      <c r="M43" s="1131"/>
      <c r="N43" s="547"/>
      <c r="O43" s="1131"/>
      <c r="P43" s="555"/>
      <c r="Q43" s="753"/>
    </row>
    <row r="44" spans="1:17" s="754" customFormat="1" ht="22.5" customHeight="1">
      <c r="A44" s="561">
        <v>36</v>
      </c>
      <c r="B44" s="746"/>
      <c r="C44" s="361"/>
      <c r="D44" s="436" t="s">
        <v>994</v>
      </c>
      <c r="E44" s="330">
        <f>F44+G44+2261+P45+Q44</f>
        <v>8357</v>
      </c>
      <c r="F44" s="785"/>
      <c r="G44" s="331"/>
      <c r="H44" s="763"/>
      <c r="I44" s="1132"/>
      <c r="J44" s="1131"/>
      <c r="K44" s="1131"/>
      <c r="L44" s="1131"/>
      <c r="M44" s="1131">
        <v>6096</v>
      </c>
      <c r="N44" s="547"/>
      <c r="O44" s="1131"/>
      <c r="P44" s="1140">
        <f>SUM(I44:O44)</f>
        <v>6096</v>
      </c>
      <c r="Q44" s="753"/>
    </row>
    <row r="45" spans="1:17" s="754" customFormat="1" ht="18" customHeight="1">
      <c r="A45" s="561">
        <v>37</v>
      </c>
      <c r="B45" s="746"/>
      <c r="C45" s="361"/>
      <c r="D45" s="987" t="s">
        <v>1035</v>
      </c>
      <c r="E45" s="330"/>
      <c r="F45" s="785"/>
      <c r="G45" s="331"/>
      <c r="H45" s="763"/>
      <c r="I45" s="1132"/>
      <c r="J45" s="1131"/>
      <c r="K45" s="1131"/>
      <c r="L45" s="1131"/>
      <c r="M45" s="1269">
        <v>6096</v>
      </c>
      <c r="N45" s="547"/>
      <c r="O45" s="1131"/>
      <c r="P45" s="1175">
        <f>SUM(I45:O45)</f>
        <v>6096</v>
      </c>
      <c r="Q45" s="753"/>
    </row>
    <row r="46" spans="1:17" s="754" customFormat="1" ht="22.5" customHeight="1">
      <c r="A46" s="561">
        <v>38</v>
      </c>
      <c r="B46" s="746"/>
      <c r="C46" s="361"/>
      <c r="D46" s="549" t="s">
        <v>826</v>
      </c>
      <c r="E46" s="330"/>
      <c r="F46" s="785"/>
      <c r="G46" s="331"/>
      <c r="H46" s="763"/>
      <c r="I46" s="1132"/>
      <c r="J46" s="1131"/>
      <c r="K46" s="1131"/>
      <c r="L46" s="1131"/>
      <c r="M46" s="1131"/>
      <c r="N46" s="547"/>
      <c r="O46" s="1131"/>
      <c r="P46" s="555"/>
      <c r="Q46" s="753"/>
    </row>
    <row r="47" spans="1:17" s="754" customFormat="1" ht="22.5" customHeight="1">
      <c r="A47" s="561">
        <v>39</v>
      </c>
      <c r="B47" s="746"/>
      <c r="C47" s="361"/>
      <c r="D47" s="436" t="s">
        <v>994</v>
      </c>
      <c r="E47" s="330">
        <f>F47+G47+2261+P48+Q47</f>
        <v>3277</v>
      </c>
      <c r="F47" s="785"/>
      <c r="G47" s="331"/>
      <c r="H47" s="763"/>
      <c r="I47" s="1132"/>
      <c r="J47" s="1131"/>
      <c r="K47" s="1131"/>
      <c r="L47" s="1131"/>
      <c r="M47" s="1131">
        <v>1016</v>
      </c>
      <c r="N47" s="547"/>
      <c r="O47" s="1131"/>
      <c r="P47" s="1140">
        <f>SUM(I47:O47)</f>
        <v>1016</v>
      </c>
      <c r="Q47" s="753"/>
    </row>
    <row r="48" spans="1:17" s="754" customFormat="1" ht="18" customHeight="1">
      <c r="A48" s="561">
        <v>40</v>
      </c>
      <c r="B48" s="746"/>
      <c r="C48" s="361"/>
      <c r="D48" s="987" t="s">
        <v>1035</v>
      </c>
      <c r="E48" s="330"/>
      <c r="F48" s="785"/>
      <c r="G48" s="331"/>
      <c r="H48" s="763"/>
      <c r="I48" s="1132"/>
      <c r="J48" s="1131"/>
      <c r="K48" s="1131"/>
      <c r="L48" s="1131"/>
      <c r="M48" s="1269">
        <v>1016</v>
      </c>
      <c r="N48" s="547"/>
      <c r="O48" s="1131"/>
      <c r="P48" s="1175">
        <f>SUM(I48:O48)</f>
        <v>1016</v>
      </c>
      <c r="Q48" s="753"/>
    </row>
    <row r="49" spans="1:17" s="754" customFormat="1" ht="22.5" customHeight="1">
      <c r="A49" s="561">
        <v>41</v>
      </c>
      <c r="B49" s="746"/>
      <c r="C49" s="361"/>
      <c r="D49" s="549" t="s">
        <v>827</v>
      </c>
      <c r="E49" s="330"/>
      <c r="F49" s="785"/>
      <c r="G49" s="331"/>
      <c r="H49" s="763"/>
      <c r="I49" s="1132"/>
      <c r="J49" s="1131"/>
      <c r="K49" s="1131"/>
      <c r="L49" s="1131"/>
      <c r="M49" s="1131"/>
      <c r="N49" s="547"/>
      <c r="O49" s="1131"/>
      <c r="P49" s="555"/>
      <c r="Q49" s="753"/>
    </row>
    <row r="50" spans="1:17" s="754" customFormat="1" ht="22.5" customHeight="1">
      <c r="A50" s="561">
        <v>42</v>
      </c>
      <c r="B50" s="746"/>
      <c r="C50" s="361"/>
      <c r="D50" s="436" t="s">
        <v>994</v>
      </c>
      <c r="E50" s="330">
        <f>F50+G50+2261+P51+Q50</f>
        <v>3468</v>
      </c>
      <c r="F50" s="785"/>
      <c r="G50" s="331"/>
      <c r="H50" s="763"/>
      <c r="I50" s="1132"/>
      <c r="J50" s="1131"/>
      <c r="K50" s="1131"/>
      <c r="L50" s="1131"/>
      <c r="M50" s="1131">
        <v>1206</v>
      </c>
      <c r="N50" s="547"/>
      <c r="O50" s="1131"/>
      <c r="P50" s="1140">
        <f>SUM(I50:O50)</f>
        <v>1206</v>
      </c>
      <c r="Q50" s="753"/>
    </row>
    <row r="51" spans="1:17" s="754" customFormat="1" ht="18" customHeight="1">
      <c r="A51" s="561">
        <v>43</v>
      </c>
      <c r="B51" s="746"/>
      <c r="C51" s="361"/>
      <c r="D51" s="987" t="s">
        <v>1035</v>
      </c>
      <c r="E51" s="330"/>
      <c r="F51" s="785"/>
      <c r="G51" s="331"/>
      <c r="H51" s="763"/>
      <c r="I51" s="1132"/>
      <c r="J51" s="1131"/>
      <c r="K51" s="1131"/>
      <c r="L51" s="1131"/>
      <c r="M51" s="1269">
        <v>1207</v>
      </c>
      <c r="N51" s="547"/>
      <c r="O51" s="1131"/>
      <c r="P51" s="1175">
        <f>SUM(I51:O51)</f>
        <v>1207</v>
      </c>
      <c r="Q51" s="753"/>
    </row>
    <row r="52" spans="1:17" s="754" customFormat="1" ht="22.5" customHeight="1">
      <c r="A52" s="561">
        <v>44</v>
      </c>
      <c r="B52" s="746"/>
      <c r="C52" s="361"/>
      <c r="D52" s="549" t="s">
        <v>850</v>
      </c>
      <c r="E52" s="330"/>
      <c r="F52" s="785"/>
      <c r="G52" s="331"/>
      <c r="H52" s="763"/>
      <c r="I52" s="1132"/>
      <c r="J52" s="1131"/>
      <c r="K52" s="1131"/>
      <c r="L52" s="1131"/>
      <c r="M52" s="1131"/>
      <c r="N52" s="547"/>
      <c r="O52" s="1131"/>
      <c r="P52" s="1140"/>
      <c r="Q52" s="753"/>
    </row>
    <row r="53" spans="1:17" s="754" customFormat="1" ht="22.5" customHeight="1">
      <c r="A53" s="561">
        <v>45</v>
      </c>
      <c r="B53" s="746"/>
      <c r="C53" s="361"/>
      <c r="D53" s="436" t="s">
        <v>994</v>
      </c>
      <c r="E53" s="330">
        <f>F53+G53+2261+P54+Q53</f>
        <v>2763</v>
      </c>
      <c r="F53" s="785"/>
      <c r="G53" s="331"/>
      <c r="H53" s="763"/>
      <c r="I53" s="1132"/>
      <c r="J53" s="1131"/>
      <c r="K53" s="1131"/>
      <c r="L53" s="1131"/>
      <c r="M53" s="1131">
        <v>502</v>
      </c>
      <c r="N53" s="547"/>
      <c r="O53" s="1131"/>
      <c r="P53" s="1140">
        <f>SUM(I53:O53)</f>
        <v>502</v>
      </c>
      <c r="Q53" s="753"/>
    </row>
    <row r="54" spans="1:17" s="754" customFormat="1" ht="18" customHeight="1">
      <c r="A54" s="561">
        <v>46</v>
      </c>
      <c r="B54" s="746"/>
      <c r="C54" s="361"/>
      <c r="D54" s="987" t="s">
        <v>1035</v>
      </c>
      <c r="E54" s="330"/>
      <c r="F54" s="785"/>
      <c r="G54" s="331"/>
      <c r="H54" s="763"/>
      <c r="I54" s="1132"/>
      <c r="J54" s="1131"/>
      <c r="K54" s="1131"/>
      <c r="L54" s="1131"/>
      <c r="M54" s="1269">
        <v>502</v>
      </c>
      <c r="N54" s="547"/>
      <c r="O54" s="1131"/>
      <c r="P54" s="1175">
        <f>SUM(I54:O54)</f>
        <v>502</v>
      </c>
      <c r="Q54" s="753"/>
    </row>
    <row r="55" spans="1:17" s="754" customFormat="1" ht="22.5" customHeight="1">
      <c r="A55" s="561">
        <v>47</v>
      </c>
      <c r="B55" s="746"/>
      <c r="C55" s="361"/>
      <c r="D55" s="549" t="s">
        <v>823</v>
      </c>
      <c r="E55" s="330"/>
      <c r="F55" s="785"/>
      <c r="G55" s="331"/>
      <c r="H55" s="763"/>
      <c r="I55" s="1132"/>
      <c r="J55" s="1131"/>
      <c r="K55" s="547"/>
      <c r="L55" s="1131"/>
      <c r="M55" s="547"/>
      <c r="N55" s="547"/>
      <c r="O55" s="1131"/>
      <c r="P55" s="555"/>
      <c r="Q55" s="753"/>
    </row>
    <row r="56" spans="1:17" s="754" customFormat="1" ht="22.5" customHeight="1">
      <c r="A56" s="561">
        <v>48</v>
      </c>
      <c r="B56" s="746"/>
      <c r="C56" s="361"/>
      <c r="D56" s="436" t="s">
        <v>994</v>
      </c>
      <c r="E56" s="330">
        <f>F56+G56+2261+P57+Q56</f>
        <v>14834</v>
      </c>
      <c r="F56" s="785"/>
      <c r="G56" s="331"/>
      <c r="H56" s="763"/>
      <c r="I56" s="1132"/>
      <c r="J56" s="1131"/>
      <c r="K56" s="547"/>
      <c r="L56" s="1131"/>
      <c r="M56" s="1131">
        <v>12573</v>
      </c>
      <c r="N56" s="547"/>
      <c r="O56" s="1131"/>
      <c r="P56" s="1140">
        <f>SUM(I56:O56)</f>
        <v>12573</v>
      </c>
      <c r="Q56" s="753"/>
    </row>
    <row r="57" spans="1:17" s="754" customFormat="1" ht="18" customHeight="1" thickBot="1">
      <c r="A57" s="561">
        <v>49</v>
      </c>
      <c r="B57" s="746"/>
      <c r="C57" s="361"/>
      <c r="D57" s="987" t="s">
        <v>1035</v>
      </c>
      <c r="E57" s="330"/>
      <c r="F57" s="785"/>
      <c r="G57" s="331"/>
      <c r="H57" s="763"/>
      <c r="I57" s="1132"/>
      <c r="J57" s="1131"/>
      <c r="K57" s="547"/>
      <c r="L57" s="1131"/>
      <c r="M57" s="1269">
        <v>12573</v>
      </c>
      <c r="N57" s="547"/>
      <c r="O57" s="1131"/>
      <c r="P57" s="1175">
        <f>SUM(I57:O57)</f>
        <v>12573</v>
      </c>
      <c r="Q57" s="753"/>
    </row>
    <row r="58" spans="1:17" s="754" customFormat="1" ht="21.75" customHeight="1" thickTop="1">
      <c r="A58" s="561">
        <v>50</v>
      </c>
      <c r="B58" s="746"/>
      <c r="C58" s="1294"/>
      <c r="D58" s="1975" t="s">
        <v>758</v>
      </c>
      <c r="E58" s="1133">
        <f>E25+E21+E17+E12+E32+E35+E38+E41+E44+E47+E50+E53+E56+E29</f>
        <v>533772</v>
      </c>
      <c r="F58" s="1133">
        <f>F25+F21+F17+F12+F11</f>
        <v>0</v>
      </c>
      <c r="G58" s="1133">
        <f>G25+G21+G17+G12</f>
        <v>74920</v>
      </c>
      <c r="H58" s="1134"/>
      <c r="I58" s="1973"/>
      <c r="J58" s="1973"/>
      <c r="K58" s="1973"/>
      <c r="L58" s="1973"/>
      <c r="M58" s="1973"/>
      <c r="N58" s="1973"/>
      <c r="O58" s="1973"/>
      <c r="P58" s="1973"/>
      <c r="Q58" s="1974"/>
    </row>
    <row r="59" spans="1:17" s="754" customFormat="1" ht="19.5" customHeight="1">
      <c r="A59" s="561">
        <v>51</v>
      </c>
      <c r="B59" s="746"/>
      <c r="C59" s="810"/>
      <c r="D59" s="1376" t="s">
        <v>303</v>
      </c>
      <c r="E59" s="326"/>
      <c r="F59" s="326"/>
      <c r="G59" s="1290"/>
      <c r="H59" s="1291"/>
      <c r="I59" s="1292">
        <f aca="true" t="shared" si="0" ref="I59:P59">I25+I21+I17+I12</f>
        <v>1000</v>
      </c>
      <c r="J59" s="1292">
        <f t="shared" si="0"/>
        <v>500</v>
      </c>
      <c r="K59" s="1292">
        <f t="shared" si="0"/>
        <v>318696</v>
      </c>
      <c r="L59" s="1292">
        <f t="shared" si="0"/>
        <v>0</v>
      </c>
      <c r="M59" s="1292">
        <f t="shared" si="0"/>
        <v>38500</v>
      </c>
      <c r="N59" s="1292">
        <f t="shared" si="0"/>
        <v>68500</v>
      </c>
      <c r="O59" s="1292">
        <f t="shared" si="0"/>
        <v>0</v>
      </c>
      <c r="P59" s="1972">
        <f t="shared" si="0"/>
        <v>427196</v>
      </c>
      <c r="Q59" s="1293"/>
    </row>
    <row r="60" spans="1:17" s="754" customFormat="1" ht="19.5" customHeight="1">
      <c r="A60" s="561">
        <v>52</v>
      </c>
      <c r="B60" s="746"/>
      <c r="C60" s="1129"/>
      <c r="D60" s="436" t="s">
        <v>994</v>
      </c>
      <c r="E60" s="326"/>
      <c r="F60" s="326"/>
      <c r="G60" s="1290"/>
      <c r="H60" s="1291"/>
      <c r="I60" s="1292">
        <f aca="true" t="shared" si="1" ref="I60:P60">I26+I22+I18+I13+I56+I53+I50+I47+I44+I41+I38+I35+I32+I29</f>
        <v>0</v>
      </c>
      <c r="J60" s="1292">
        <f t="shared" si="1"/>
        <v>0</v>
      </c>
      <c r="K60" s="1292">
        <f t="shared" si="1"/>
        <v>264302</v>
      </c>
      <c r="L60" s="1292">
        <f t="shared" si="1"/>
        <v>350</v>
      </c>
      <c r="M60" s="1292">
        <f t="shared" si="1"/>
        <v>161394</v>
      </c>
      <c r="N60" s="1292">
        <f t="shared" si="1"/>
        <v>0</v>
      </c>
      <c r="O60" s="1292">
        <f t="shared" si="1"/>
        <v>1150</v>
      </c>
      <c r="P60" s="555">
        <f t="shared" si="1"/>
        <v>427196</v>
      </c>
      <c r="Q60" s="1293"/>
    </row>
    <row r="61" spans="1:17" s="754" customFormat="1" ht="19.5" customHeight="1" thickBot="1">
      <c r="A61" s="561">
        <v>53</v>
      </c>
      <c r="B61" s="746"/>
      <c r="C61" s="1135"/>
      <c r="D61" s="1548" t="s">
        <v>1036</v>
      </c>
      <c r="E61" s="1120"/>
      <c r="F61" s="1120"/>
      <c r="G61" s="1136"/>
      <c r="H61" s="1137"/>
      <c r="I61" s="1553">
        <f aca="true" t="shared" si="2" ref="I61:O61">I27+I23+I19+I14+I33+I36+I39+I57+I54+I51+I48+I45+I42+I30</f>
        <v>0</v>
      </c>
      <c r="J61" s="1553">
        <f t="shared" si="2"/>
        <v>0</v>
      </c>
      <c r="K61" s="1553">
        <f t="shared" si="2"/>
        <v>262922</v>
      </c>
      <c r="L61" s="1553">
        <f t="shared" si="2"/>
        <v>350</v>
      </c>
      <c r="M61" s="1553">
        <f t="shared" si="2"/>
        <v>161396</v>
      </c>
      <c r="N61" s="1553">
        <f t="shared" si="2"/>
        <v>0</v>
      </c>
      <c r="O61" s="1553">
        <f t="shared" si="2"/>
        <v>1150</v>
      </c>
      <c r="P61" s="1991">
        <f>SUM(I61:O61)</f>
        <v>425818</v>
      </c>
      <c r="Q61" s="1138"/>
    </row>
    <row r="62" spans="1:17" s="754" customFormat="1" ht="24.75" customHeight="1">
      <c r="A62" s="561">
        <v>54</v>
      </c>
      <c r="B62" s="746"/>
      <c r="C62" s="810">
        <v>2</v>
      </c>
      <c r="D62" s="818" t="s">
        <v>670</v>
      </c>
      <c r="E62" s="811"/>
      <c r="F62" s="812"/>
      <c r="G62" s="813"/>
      <c r="H62" s="761" t="s">
        <v>24</v>
      </c>
      <c r="I62" s="814"/>
      <c r="J62" s="815"/>
      <c r="K62" s="816"/>
      <c r="L62" s="815"/>
      <c r="M62" s="815"/>
      <c r="N62" s="815"/>
      <c r="O62" s="815"/>
      <c r="P62" s="817"/>
      <c r="Q62" s="820"/>
    </row>
    <row r="63" spans="1:256" s="546" customFormat="1" ht="22.5" customHeight="1">
      <c r="A63" s="561">
        <v>55</v>
      </c>
      <c r="B63" s="554"/>
      <c r="C63" s="361"/>
      <c r="D63" s="1455" t="s">
        <v>671</v>
      </c>
      <c r="E63" s="330">
        <f>F63+G63+P65+Q64</f>
        <v>6205</v>
      </c>
      <c r="F63" s="550"/>
      <c r="G63" s="331"/>
      <c r="H63" s="762"/>
      <c r="I63" s="758"/>
      <c r="J63" s="547"/>
      <c r="K63" s="547"/>
      <c r="L63" s="547"/>
      <c r="M63" s="547"/>
      <c r="N63" s="547"/>
      <c r="O63" s="547"/>
      <c r="P63" s="555"/>
      <c r="Q63" s="55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321"/>
      <c r="AY63" s="321"/>
      <c r="AZ63" s="321"/>
      <c r="BA63" s="321"/>
      <c r="BB63" s="321"/>
      <c r="BC63" s="321"/>
      <c r="BD63" s="321"/>
      <c r="BE63" s="321"/>
      <c r="BF63" s="321"/>
      <c r="BG63" s="321"/>
      <c r="BH63" s="321"/>
      <c r="BI63" s="321"/>
      <c r="BJ63" s="321"/>
      <c r="BK63" s="321"/>
      <c r="BL63" s="321"/>
      <c r="BM63" s="321"/>
      <c r="BN63" s="321"/>
      <c r="BO63" s="321"/>
      <c r="BP63" s="321"/>
      <c r="BQ63" s="321"/>
      <c r="BR63" s="321"/>
      <c r="BS63" s="321"/>
      <c r="BT63" s="321"/>
      <c r="BU63" s="321"/>
      <c r="BV63" s="321"/>
      <c r="BW63" s="321"/>
      <c r="BX63" s="321"/>
      <c r="BY63" s="321"/>
      <c r="BZ63" s="321"/>
      <c r="CA63" s="321"/>
      <c r="CB63" s="321"/>
      <c r="CC63" s="321"/>
      <c r="CD63" s="321"/>
      <c r="CE63" s="321"/>
      <c r="CF63" s="321"/>
      <c r="CG63" s="321"/>
      <c r="CH63" s="321"/>
      <c r="CI63" s="321"/>
      <c r="CJ63" s="321"/>
      <c r="CK63" s="321"/>
      <c r="CL63" s="321"/>
      <c r="CM63" s="321"/>
      <c r="CN63" s="321"/>
      <c r="CO63" s="321"/>
      <c r="CP63" s="321"/>
      <c r="CQ63" s="321"/>
      <c r="CR63" s="321"/>
      <c r="CS63" s="321"/>
      <c r="CT63" s="321"/>
      <c r="CU63" s="321"/>
      <c r="CV63" s="321"/>
      <c r="CW63" s="321"/>
      <c r="CX63" s="321"/>
      <c r="CY63" s="321"/>
      <c r="CZ63" s="321"/>
      <c r="DA63" s="321"/>
      <c r="DB63" s="321"/>
      <c r="DC63" s="321"/>
      <c r="DD63" s="321"/>
      <c r="DE63" s="321"/>
      <c r="DF63" s="321"/>
      <c r="DG63" s="321"/>
      <c r="DH63" s="321"/>
      <c r="DI63" s="321"/>
      <c r="DJ63" s="321"/>
      <c r="DK63" s="321"/>
      <c r="DL63" s="321"/>
      <c r="DM63" s="321"/>
      <c r="DN63" s="321"/>
      <c r="DO63" s="321"/>
      <c r="DP63" s="321"/>
      <c r="DQ63" s="321"/>
      <c r="DR63" s="321"/>
      <c r="DS63" s="321"/>
      <c r="DT63" s="321"/>
      <c r="DU63" s="321"/>
      <c r="DV63" s="321"/>
      <c r="DW63" s="321"/>
      <c r="DX63" s="321"/>
      <c r="DY63" s="321"/>
      <c r="DZ63" s="321"/>
      <c r="EA63" s="321"/>
      <c r="EB63" s="321"/>
      <c r="EC63" s="321"/>
      <c r="ED63" s="321"/>
      <c r="EE63" s="321"/>
      <c r="EF63" s="321"/>
      <c r="EG63" s="321"/>
      <c r="EH63" s="321"/>
      <c r="EI63" s="321"/>
      <c r="EJ63" s="321"/>
      <c r="EK63" s="321"/>
      <c r="EL63" s="321"/>
      <c r="EM63" s="321"/>
      <c r="EN63" s="321"/>
      <c r="EO63" s="321"/>
      <c r="EP63" s="321"/>
      <c r="EQ63" s="321"/>
      <c r="ER63" s="321"/>
      <c r="ES63" s="321"/>
      <c r="ET63" s="321"/>
      <c r="EU63" s="321"/>
      <c r="EV63" s="321"/>
      <c r="EW63" s="321"/>
      <c r="EX63" s="321"/>
      <c r="EY63" s="321"/>
      <c r="EZ63" s="321"/>
      <c r="FA63" s="321"/>
      <c r="FB63" s="321"/>
      <c r="FC63" s="321"/>
      <c r="FD63" s="321"/>
      <c r="FE63" s="321"/>
      <c r="FF63" s="321"/>
      <c r="FG63" s="321"/>
      <c r="FH63" s="321"/>
      <c r="FI63" s="321"/>
      <c r="FJ63" s="321"/>
      <c r="FK63" s="321"/>
      <c r="FL63" s="321"/>
      <c r="FM63" s="321"/>
      <c r="FN63" s="321"/>
      <c r="FO63" s="321"/>
      <c r="FP63" s="321"/>
      <c r="FQ63" s="321"/>
      <c r="FR63" s="321"/>
      <c r="FS63" s="321"/>
      <c r="FT63" s="321"/>
      <c r="FU63" s="321"/>
      <c r="FV63" s="321"/>
      <c r="FW63" s="321"/>
      <c r="FX63" s="321"/>
      <c r="FY63" s="321"/>
      <c r="FZ63" s="321"/>
      <c r="GA63" s="321"/>
      <c r="GB63" s="321"/>
      <c r="GC63" s="321"/>
      <c r="GD63" s="321"/>
      <c r="GE63" s="321"/>
      <c r="GF63" s="321"/>
      <c r="GG63" s="321"/>
      <c r="GH63" s="321"/>
      <c r="GI63" s="321"/>
      <c r="GJ63" s="321"/>
      <c r="GK63" s="321"/>
      <c r="GL63" s="321"/>
      <c r="GM63" s="321"/>
      <c r="GN63" s="321"/>
      <c r="GO63" s="321"/>
      <c r="GP63" s="321"/>
      <c r="GQ63" s="321"/>
      <c r="GR63" s="321"/>
      <c r="GS63" s="321"/>
      <c r="GT63" s="321"/>
      <c r="GU63" s="321"/>
      <c r="GV63" s="321"/>
      <c r="GW63" s="321"/>
      <c r="GX63" s="321"/>
      <c r="GY63" s="321"/>
      <c r="GZ63" s="321"/>
      <c r="HA63" s="321"/>
      <c r="HB63" s="321"/>
      <c r="HC63" s="321"/>
      <c r="HD63" s="321"/>
      <c r="HE63" s="321"/>
      <c r="HF63" s="321"/>
      <c r="HG63" s="321"/>
      <c r="HH63" s="321"/>
      <c r="HI63" s="321"/>
      <c r="HJ63" s="321"/>
      <c r="HK63" s="321"/>
      <c r="HL63" s="321"/>
      <c r="HM63" s="321"/>
      <c r="HN63" s="321"/>
      <c r="HO63" s="321"/>
      <c r="HP63" s="321"/>
      <c r="HQ63" s="321"/>
      <c r="HR63" s="321"/>
      <c r="HS63" s="321"/>
      <c r="HT63" s="321"/>
      <c r="HU63" s="321"/>
      <c r="HV63" s="321"/>
      <c r="HW63" s="321"/>
      <c r="HX63" s="321"/>
      <c r="HY63" s="321"/>
      <c r="HZ63" s="321"/>
      <c r="IA63" s="321"/>
      <c r="IB63" s="321"/>
      <c r="IC63" s="321"/>
      <c r="ID63" s="321"/>
      <c r="IE63" s="321"/>
      <c r="IF63" s="321"/>
      <c r="IG63" s="321"/>
      <c r="IH63" s="321"/>
      <c r="II63" s="321"/>
      <c r="IJ63" s="321"/>
      <c r="IK63" s="321"/>
      <c r="IL63" s="321"/>
      <c r="IM63" s="321"/>
      <c r="IN63" s="321"/>
      <c r="IO63" s="321"/>
      <c r="IP63" s="321"/>
      <c r="IQ63" s="321"/>
      <c r="IR63" s="321"/>
      <c r="IS63" s="321"/>
      <c r="IT63" s="321"/>
      <c r="IU63" s="321"/>
      <c r="IV63" s="321"/>
    </row>
    <row r="64" spans="1:17" s="754" customFormat="1" ht="18" customHeight="1">
      <c r="A64" s="561">
        <v>56</v>
      </c>
      <c r="B64" s="746"/>
      <c r="C64" s="361"/>
      <c r="D64" s="748" t="s">
        <v>303</v>
      </c>
      <c r="E64" s="749"/>
      <c r="F64" s="750"/>
      <c r="G64" s="751"/>
      <c r="H64" s="763"/>
      <c r="I64" s="759"/>
      <c r="J64" s="752"/>
      <c r="K64" s="752">
        <f>197850-25400</f>
        <v>172450</v>
      </c>
      <c r="L64" s="752">
        <v>165075</v>
      </c>
      <c r="M64" s="752"/>
      <c r="N64" s="752"/>
      <c r="O64" s="752"/>
      <c r="P64" s="745">
        <f>SUM(I64:O64)</f>
        <v>337525</v>
      </c>
      <c r="Q64" s="753"/>
    </row>
    <row r="65" spans="1:17" s="754" customFormat="1" ht="18" customHeight="1">
      <c r="A65" s="561">
        <v>57</v>
      </c>
      <c r="B65" s="746"/>
      <c r="C65" s="361"/>
      <c r="D65" s="436" t="s">
        <v>994</v>
      </c>
      <c r="E65" s="749"/>
      <c r="F65" s="750"/>
      <c r="G65" s="751"/>
      <c r="H65" s="763"/>
      <c r="I65" s="1132">
        <v>3600</v>
      </c>
      <c r="J65" s="1131">
        <v>535</v>
      </c>
      <c r="K65" s="1131">
        <v>2070</v>
      </c>
      <c r="L65" s="1131"/>
      <c r="M65" s="1131"/>
      <c r="N65" s="1131"/>
      <c r="O65" s="1131"/>
      <c r="P65" s="555">
        <f>SUM(I65:O65)</f>
        <v>6205</v>
      </c>
      <c r="Q65" s="753"/>
    </row>
    <row r="66" spans="1:17" s="754" customFormat="1" ht="18" customHeight="1">
      <c r="A66" s="561">
        <v>58</v>
      </c>
      <c r="B66" s="746"/>
      <c r="C66" s="361"/>
      <c r="D66" s="987" t="s">
        <v>1035</v>
      </c>
      <c r="E66" s="749"/>
      <c r="F66" s="750"/>
      <c r="G66" s="751"/>
      <c r="H66" s="763"/>
      <c r="I66" s="1267">
        <v>3300</v>
      </c>
      <c r="J66" s="1267">
        <v>493</v>
      </c>
      <c r="K66" s="1267">
        <v>76</v>
      </c>
      <c r="L66" s="1267">
        <v>0</v>
      </c>
      <c r="M66" s="1369"/>
      <c r="N66" s="1369"/>
      <c r="O66" s="1369"/>
      <c r="P66" s="1175">
        <f>SUM(I66:O66)</f>
        <v>3869</v>
      </c>
      <c r="Q66" s="753"/>
    </row>
    <row r="67" spans="1:17" s="754" customFormat="1" ht="22.5" customHeight="1">
      <c r="A67" s="561">
        <v>59</v>
      </c>
      <c r="B67" s="746"/>
      <c r="C67" s="361"/>
      <c r="D67" s="549" t="s">
        <v>861</v>
      </c>
      <c r="E67" s="330">
        <f>F67+G67+P68+Q68</f>
        <v>1500</v>
      </c>
      <c r="F67" s="750"/>
      <c r="G67" s="751"/>
      <c r="H67" s="763"/>
      <c r="I67" s="1132"/>
      <c r="J67" s="1131"/>
      <c r="K67" s="1131"/>
      <c r="L67" s="1131"/>
      <c r="M67" s="1131"/>
      <c r="N67" s="1131"/>
      <c r="O67" s="1131"/>
      <c r="P67" s="1378"/>
      <c r="Q67" s="753"/>
    </row>
    <row r="68" spans="1:17" s="754" customFormat="1" ht="18" customHeight="1">
      <c r="A68" s="561">
        <v>60</v>
      </c>
      <c r="B68" s="746"/>
      <c r="C68" s="361"/>
      <c r="D68" s="436" t="s">
        <v>994</v>
      </c>
      <c r="E68" s="749"/>
      <c r="F68" s="750"/>
      <c r="G68" s="751"/>
      <c r="H68" s="763"/>
      <c r="I68" s="1132"/>
      <c r="J68" s="1131"/>
      <c r="K68" s="1131"/>
      <c r="L68" s="1131"/>
      <c r="M68" s="1131">
        <v>1500</v>
      </c>
      <c r="N68" s="1131"/>
      <c r="O68" s="1131"/>
      <c r="P68" s="555">
        <f>SUM(I68:O68)</f>
        <v>1500</v>
      </c>
      <c r="Q68" s="753"/>
    </row>
    <row r="69" spans="1:17" s="754" customFormat="1" ht="18" customHeight="1">
      <c r="A69" s="561">
        <v>61</v>
      </c>
      <c r="B69" s="746"/>
      <c r="C69" s="361"/>
      <c r="D69" s="987" t="s">
        <v>1035</v>
      </c>
      <c r="E69" s="749"/>
      <c r="F69" s="750"/>
      <c r="G69" s="751"/>
      <c r="H69" s="763"/>
      <c r="I69" s="1132"/>
      <c r="J69" s="1131"/>
      <c r="K69" s="1131"/>
      <c r="L69" s="1131"/>
      <c r="M69" s="1267">
        <v>0</v>
      </c>
      <c r="N69" s="1266"/>
      <c r="O69" s="1131"/>
      <c r="P69" s="1175">
        <f>SUM(I69:O69)</f>
        <v>0</v>
      </c>
      <c r="Q69" s="753"/>
    </row>
    <row r="70" spans="1:17" s="754" customFormat="1" ht="22.5" customHeight="1">
      <c r="A70" s="561">
        <v>62</v>
      </c>
      <c r="B70" s="746"/>
      <c r="C70" s="361"/>
      <c r="D70" s="549" t="s">
        <v>862</v>
      </c>
      <c r="E70" s="330">
        <f>F70+G70+P71+Q71</f>
        <v>54932</v>
      </c>
      <c r="F70" s="750"/>
      <c r="G70" s="751"/>
      <c r="H70" s="763"/>
      <c r="I70" s="1132"/>
      <c r="J70" s="1131"/>
      <c r="K70" s="1131"/>
      <c r="L70" s="1131"/>
      <c r="M70" s="1131"/>
      <c r="N70" s="1131"/>
      <c r="O70" s="1131"/>
      <c r="P70" s="1378"/>
      <c r="Q70" s="753"/>
    </row>
    <row r="71" spans="1:17" s="754" customFormat="1" ht="18" customHeight="1">
      <c r="A71" s="561">
        <v>63</v>
      </c>
      <c r="B71" s="746"/>
      <c r="C71" s="361"/>
      <c r="D71" s="436" t="s">
        <v>994</v>
      </c>
      <c r="E71" s="749"/>
      <c r="F71" s="750"/>
      <c r="G71" s="751"/>
      <c r="H71" s="763"/>
      <c r="I71" s="1132"/>
      <c r="J71" s="1131"/>
      <c r="K71" s="1131"/>
      <c r="L71" s="1131"/>
      <c r="M71" s="1131">
        <v>54932</v>
      </c>
      <c r="N71" s="1131"/>
      <c r="O71" s="1131"/>
      <c r="P71" s="555">
        <f>SUM(I71:O71)</f>
        <v>54932</v>
      </c>
      <c r="Q71" s="753"/>
    </row>
    <row r="72" spans="1:17" s="754" customFormat="1" ht="18" customHeight="1">
      <c r="A72" s="561">
        <v>64</v>
      </c>
      <c r="B72" s="746"/>
      <c r="C72" s="361"/>
      <c r="D72" s="987" t="s">
        <v>1035</v>
      </c>
      <c r="E72" s="749"/>
      <c r="F72" s="750"/>
      <c r="G72" s="751"/>
      <c r="H72" s="763"/>
      <c r="I72" s="1132"/>
      <c r="J72" s="1131"/>
      <c r="K72" s="1131"/>
      <c r="L72" s="1131"/>
      <c r="M72" s="1267">
        <v>15138</v>
      </c>
      <c r="N72" s="1266"/>
      <c r="O72" s="1131"/>
      <c r="P72" s="1175">
        <f>SUM(I72:O72)</f>
        <v>15138</v>
      </c>
      <c r="Q72" s="753"/>
    </row>
    <row r="73" spans="1:17" s="754" customFormat="1" ht="22.5" customHeight="1">
      <c r="A73" s="561">
        <v>65</v>
      </c>
      <c r="B73" s="746"/>
      <c r="C73" s="361"/>
      <c r="D73" s="549" t="s">
        <v>981</v>
      </c>
      <c r="E73" s="330">
        <f>F73+G73+P74+Q74</f>
        <v>108404</v>
      </c>
      <c r="F73" s="750"/>
      <c r="G73" s="751"/>
      <c r="H73" s="763"/>
      <c r="I73" s="1132"/>
      <c r="J73" s="1131"/>
      <c r="K73" s="1131"/>
      <c r="L73" s="1131"/>
      <c r="M73" s="1131"/>
      <c r="N73" s="1131"/>
      <c r="O73" s="1131"/>
      <c r="P73" s="1378"/>
      <c r="Q73" s="753"/>
    </row>
    <row r="74" spans="1:17" s="754" customFormat="1" ht="18" customHeight="1">
      <c r="A74" s="561">
        <v>66</v>
      </c>
      <c r="B74" s="746"/>
      <c r="C74" s="361"/>
      <c r="D74" s="436" t="s">
        <v>994</v>
      </c>
      <c r="E74" s="749"/>
      <c r="F74" s="750"/>
      <c r="G74" s="751"/>
      <c r="H74" s="763"/>
      <c r="I74" s="1132"/>
      <c r="J74" s="1131"/>
      <c r="K74" s="1131"/>
      <c r="L74" s="1131"/>
      <c r="M74" s="1131">
        <v>108404</v>
      </c>
      <c r="N74" s="1131"/>
      <c r="O74" s="1131"/>
      <c r="P74" s="555">
        <f>SUM(I74:O74)</f>
        <v>108404</v>
      </c>
      <c r="Q74" s="753"/>
    </row>
    <row r="75" spans="1:17" s="754" customFormat="1" ht="18" customHeight="1">
      <c r="A75" s="561">
        <v>67</v>
      </c>
      <c r="B75" s="746"/>
      <c r="C75" s="361"/>
      <c r="D75" s="987" t="s">
        <v>1035</v>
      </c>
      <c r="E75" s="749"/>
      <c r="F75" s="750"/>
      <c r="G75" s="751"/>
      <c r="H75" s="763"/>
      <c r="I75" s="1132"/>
      <c r="J75" s="1131"/>
      <c r="K75" s="1131"/>
      <c r="L75" s="1131"/>
      <c r="M75" s="1267">
        <v>25527</v>
      </c>
      <c r="N75" s="1266"/>
      <c r="O75" s="1131"/>
      <c r="P75" s="1175">
        <f>SUM(I75:O75)</f>
        <v>25527</v>
      </c>
      <c r="Q75" s="753"/>
    </row>
    <row r="76" spans="1:17" s="754" customFormat="1" ht="22.5" customHeight="1">
      <c r="A76" s="561">
        <v>68</v>
      </c>
      <c r="B76" s="746"/>
      <c r="C76" s="361"/>
      <c r="D76" s="549" t="s">
        <v>863</v>
      </c>
      <c r="E76" s="330">
        <f>F76+G76+P77+Q77</f>
        <v>37500</v>
      </c>
      <c r="F76" s="750"/>
      <c r="G76" s="751"/>
      <c r="H76" s="763"/>
      <c r="I76" s="1132"/>
      <c r="J76" s="1131"/>
      <c r="K76" s="1131"/>
      <c r="L76" s="1131"/>
      <c r="M76" s="1131"/>
      <c r="N76" s="1131"/>
      <c r="O76" s="1131"/>
      <c r="P76" s="1378"/>
      <c r="Q76" s="753"/>
    </row>
    <row r="77" spans="1:17" s="754" customFormat="1" ht="18" customHeight="1">
      <c r="A77" s="561">
        <v>69</v>
      </c>
      <c r="B77" s="746"/>
      <c r="C77" s="361"/>
      <c r="D77" s="436" t="s">
        <v>994</v>
      </c>
      <c r="E77" s="749"/>
      <c r="F77" s="750"/>
      <c r="G77" s="751"/>
      <c r="H77" s="763"/>
      <c r="I77" s="1132"/>
      <c r="J77" s="1131"/>
      <c r="K77" s="1131"/>
      <c r="L77" s="1131"/>
      <c r="M77" s="1131">
        <v>37500</v>
      </c>
      <c r="N77" s="1131"/>
      <c r="O77" s="1131"/>
      <c r="P77" s="555">
        <f>SUM(I77:O77)</f>
        <v>37500</v>
      </c>
      <c r="Q77" s="753"/>
    </row>
    <row r="78" spans="1:17" s="754" customFormat="1" ht="18" customHeight="1">
      <c r="A78" s="561">
        <v>70</v>
      </c>
      <c r="B78" s="746"/>
      <c r="C78" s="361"/>
      <c r="D78" s="987" t="s">
        <v>1035</v>
      </c>
      <c r="E78" s="749"/>
      <c r="F78" s="750"/>
      <c r="G78" s="751"/>
      <c r="H78" s="763"/>
      <c r="I78" s="1132"/>
      <c r="J78" s="1131"/>
      <c r="K78" s="1131"/>
      <c r="L78" s="1131"/>
      <c r="M78" s="1267">
        <v>7620</v>
      </c>
      <c r="N78" s="1266"/>
      <c r="O78" s="1131"/>
      <c r="P78" s="1175">
        <f>SUM(I78:O78)</f>
        <v>7620</v>
      </c>
      <c r="Q78" s="753"/>
    </row>
    <row r="79" spans="1:17" s="754" customFormat="1" ht="22.5" customHeight="1">
      <c r="A79" s="561">
        <v>71</v>
      </c>
      <c r="B79" s="746"/>
      <c r="C79" s="361"/>
      <c r="D79" s="549" t="s">
        <v>864</v>
      </c>
      <c r="E79" s="330">
        <f>F79+G79+P80+Q80</f>
        <v>8000</v>
      </c>
      <c r="F79" s="750"/>
      <c r="G79" s="751"/>
      <c r="H79" s="763"/>
      <c r="I79" s="1132"/>
      <c r="J79" s="1131"/>
      <c r="K79" s="1131"/>
      <c r="L79" s="1131"/>
      <c r="M79" s="1131"/>
      <c r="N79" s="1131"/>
      <c r="O79" s="1131"/>
      <c r="P79" s="1378"/>
      <c r="Q79" s="753"/>
    </row>
    <row r="80" spans="1:17" s="754" customFormat="1" ht="18" customHeight="1">
      <c r="A80" s="561">
        <v>72</v>
      </c>
      <c r="B80" s="746"/>
      <c r="C80" s="361"/>
      <c r="D80" s="436" t="s">
        <v>994</v>
      </c>
      <c r="E80" s="749"/>
      <c r="F80" s="750"/>
      <c r="G80" s="751"/>
      <c r="H80" s="763"/>
      <c r="I80" s="1132"/>
      <c r="J80" s="1131"/>
      <c r="K80" s="1131"/>
      <c r="L80" s="1131"/>
      <c r="M80" s="1131">
        <v>8000</v>
      </c>
      <c r="N80" s="1131"/>
      <c r="O80" s="1131"/>
      <c r="P80" s="555">
        <f>SUM(I80:O80)</f>
        <v>8000</v>
      </c>
      <c r="Q80" s="753"/>
    </row>
    <row r="81" spans="1:17" s="754" customFormat="1" ht="18" customHeight="1">
      <c r="A81" s="561">
        <v>73</v>
      </c>
      <c r="B81" s="746"/>
      <c r="C81" s="361"/>
      <c r="D81" s="987" t="s">
        <v>1035</v>
      </c>
      <c r="E81" s="749"/>
      <c r="F81" s="750"/>
      <c r="G81" s="751"/>
      <c r="H81" s="763"/>
      <c r="I81" s="1132"/>
      <c r="J81" s="1131"/>
      <c r="K81" s="1131"/>
      <c r="L81" s="1131"/>
      <c r="M81" s="1266">
        <v>0</v>
      </c>
      <c r="N81" s="1266"/>
      <c r="O81" s="1131"/>
      <c r="P81" s="1175">
        <f>SUM(I81:O81)</f>
        <v>0</v>
      </c>
      <c r="Q81" s="753"/>
    </row>
    <row r="82" spans="1:17" s="754" customFormat="1" ht="22.5" customHeight="1">
      <c r="A82" s="561">
        <v>74</v>
      </c>
      <c r="B82" s="746"/>
      <c r="C82" s="361"/>
      <c r="D82" s="549" t="s">
        <v>703</v>
      </c>
      <c r="E82" s="330"/>
      <c r="F82" s="750"/>
      <c r="G82" s="751"/>
      <c r="H82" s="763"/>
      <c r="I82" s="759"/>
      <c r="J82" s="752"/>
      <c r="K82" s="773"/>
      <c r="L82" s="773"/>
      <c r="M82" s="752"/>
      <c r="N82" s="752"/>
      <c r="O82" s="752"/>
      <c r="P82" s="745"/>
      <c r="Q82" s="753"/>
    </row>
    <row r="83" spans="1:17" s="754" customFormat="1" ht="18" customHeight="1">
      <c r="A83" s="561">
        <v>75</v>
      </c>
      <c r="B83" s="746"/>
      <c r="C83" s="361"/>
      <c r="D83" s="748" t="s">
        <v>303</v>
      </c>
      <c r="E83" s="749"/>
      <c r="F83" s="750"/>
      <c r="G83" s="751"/>
      <c r="H83" s="763"/>
      <c r="I83" s="759"/>
      <c r="J83" s="752"/>
      <c r="K83" s="752">
        <v>25400</v>
      </c>
      <c r="L83" s="773"/>
      <c r="M83" s="752"/>
      <c r="N83" s="752"/>
      <c r="O83" s="752"/>
      <c r="P83" s="745">
        <f>SUM(I83:O83)</f>
        <v>25400</v>
      </c>
      <c r="Q83" s="753"/>
    </row>
    <row r="84" spans="1:17" s="754" customFormat="1" ht="18" customHeight="1">
      <c r="A84" s="561">
        <v>76</v>
      </c>
      <c r="B84" s="746"/>
      <c r="C84" s="361"/>
      <c r="D84" s="436" t="s">
        <v>994</v>
      </c>
      <c r="E84" s="749"/>
      <c r="F84" s="750"/>
      <c r="G84" s="751"/>
      <c r="H84" s="763"/>
      <c r="I84" s="759"/>
      <c r="J84" s="752"/>
      <c r="K84" s="1131">
        <v>0</v>
      </c>
      <c r="L84" s="773"/>
      <c r="M84" s="752"/>
      <c r="N84" s="752"/>
      <c r="O84" s="752"/>
      <c r="P84" s="555">
        <f>SUM(I84:O84)</f>
        <v>0</v>
      </c>
      <c r="Q84" s="753"/>
    </row>
    <row r="85" spans="1:17" s="754" customFormat="1" ht="18" customHeight="1">
      <c r="A85" s="561">
        <v>77</v>
      </c>
      <c r="B85" s="746"/>
      <c r="C85" s="361"/>
      <c r="D85" s="987" t="s">
        <v>1036</v>
      </c>
      <c r="E85" s="749"/>
      <c r="F85" s="750"/>
      <c r="G85" s="751"/>
      <c r="H85" s="763"/>
      <c r="I85" s="1132"/>
      <c r="J85" s="1131"/>
      <c r="K85" s="1266">
        <v>0</v>
      </c>
      <c r="L85" s="1266"/>
      <c r="M85" s="1369"/>
      <c r="N85" s="1369"/>
      <c r="O85" s="1369"/>
      <c r="P85" s="1175">
        <f>SUM(I85:O85)</f>
        <v>0</v>
      </c>
      <c r="Q85" s="753"/>
    </row>
    <row r="86" spans="1:256" s="546" customFormat="1" ht="22.5" customHeight="1">
      <c r="A86" s="561">
        <v>78</v>
      </c>
      <c r="B86" s="554"/>
      <c r="C86" s="322"/>
      <c r="D86" s="783" t="s">
        <v>788</v>
      </c>
      <c r="E86" s="330"/>
      <c r="F86" s="550"/>
      <c r="G86" s="331"/>
      <c r="H86" s="762"/>
      <c r="I86" s="758"/>
      <c r="J86" s="547"/>
      <c r="K86" s="547"/>
      <c r="L86" s="547"/>
      <c r="M86" s="547"/>
      <c r="N86" s="547"/>
      <c r="O86" s="547"/>
      <c r="P86" s="555"/>
      <c r="Q86" s="551"/>
      <c r="R86" s="321"/>
      <c r="S86" s="321"/>
      <c r="T86" s="321"/>
      <c r="U86" s="321"/>
      <c r="V86" s="321"/>
      <c r="W86" s="321"/>
      <c r="X86" s="321"/>
      <c r="Y86" s="321"/>
      <c r="Z86" s="321"/>
      <c r="AA86" s="321"/>
      <c r="AB86" s="321"/>
      <c r="AC86" s="321"/>
      <c r="AD86" s="321"/>
      <c r="AE86" s="321"/>
      <c r="AF86" s="321"/>
      <c r="AG86" s="321"/>
      <c r="AH86" s="321"/>
      <c r="AI86" s="321"/>
      <c r="AJ86" s="321"/>
      <c r="AK86" s="321"/>
      <c r="AL86" s="321"/>
      <c r="AM86" s="321"/>
      <c r="AN86" s="321"/>
      <c r="AO86" s="321"/>
      <c r="AP86" s="321"/>
      <c r="AQ86" s="321"/>
      <c r="AR86" s="321"/>
      <c r="AS86" s="321"/>
      <c r="AT86" s="321"/>
      <c r="AU86" s="321"/>
      <c r="AV86" s="321"/>
      <c r="AW86" s="321"/>
      <c r="AX86" s="321"/>
      <c r="AY86" s="321"/>
      <c r="AZ86" s="321"/>
      <c r="BA86" s="321"/>
      <c r="BB86" s="321"/>
      <c r="BC86" s="321"/>
      <c r="BD86" s="321"/>
      <c r="BE86" s="321"/>
      <c r="BF86" s="321"/>
      <c r="BG86" s="321"/>
      <c r="BH86" s="321"/>
      <c r="BI86" s="321"/>
      <c r="BJ86" s="321"/>
      <c r="BK86" s="321"/>
      <c r="BL86" s="321"/>
      <c r="BM86" s="321"/>
      <c r="BN86" s="321"/>
      <c r="BO86" s="321"/>
      <c r="BP86" s="321"/>
      <c r="BQ86" s="321"/>
      <c r="BR86" s="321"/>
      <c r="BS86" s="321"/>
      <c r="BT86" s="321"/>
      <c r="BU86" s="321"/>
      <c r="BV86" s="321"/>
      <c r="BW86" s="321"/>
      <c r="BX86" s="321"/>
      <c r="BY86" s="321"/>
      <c r="BZ86" s="321"/>
      <c r="CA86" s="321"/>
      <c r="CB86" s="321"/>
      <c r="CC86" s="321"/>
      <c r="CD86" s="321"/>
      <c r="CE86" s="321"/>
      <c r="CF86" s="321"/>
      <c r="CG86" s="321"/>
      <c r="CH86" s="321"/>
      <c r="CI86" s="321"/>
      <c r="CJ86" s="321"/>
      <c r="CK86" s="321"/>
      <c r="CL86" s="321"/>
      <c r="CM86" s="321"/>
      <c r="CN86" s="321"/>
      <c r="CO86" s="321"/>
      <c r="CP86" s="321"/>
      <c r="CQ86" s="321"/>
      <c r="CR86" s="321"/>
      <c r="CS86" s="321"/>
      <c r="CT86" s="321"/>
      <c r="CU86" s="321"/>
      <c r="CV86" s="321"/>
      <c r="CW86" s="321"/>
      <c r="CX86" s="321"/>
      <c r="CY86" s="321"/>
      <c r="CZ86" s="321"/>
      <c r="DA86" s="321"/>
      <c r="DB86" s="321"/>
      <c r="DC86" s="321"/>
      <c r="DD86" s="321"/>
      <c r="DE86" s="321"/>
      <c r="DF86" s="321"/>
      <c r="DG86" s="321"/>
      <c r="DH86" s="321"/>
      <c r="DI86" s="321"/>
      <c r="DJ86" s="321"/>
      <c r="DK86" s="321"/>
      <c r="DL86" s="321"/>
      <c r="DM86" s="321"/>
      <c r="DN86" s="321"/>
      <c r="DO86" s="321"/>
      <c r="DP86" s="321"/>
      <c r="DQ86" s="321"/>
      <c r="DR86" s="321"/>
      <c r="DS86" s="321"/>
      <c r="DT86" s="321"/>
      <c r="DU86" s="321"/>
      <c r="DV86" s="321"/>
      <c r="DW86" s="321"/>
      <c r="DX86" s="321"/>
      <c r="DY86" s="321"/>
      <c r="DZ86" s="321"/>
      <c r="EA86" s="321"/>
      <c r="EB86" s="321"/>
      <c r="EC86" s="321"/>
      <c r="ED86" s="321"/>
      <c r="EE86" s="321"/>
      <c r="EF86" s="321"/>
      <c r="EG86" s="321"/>
      <c r="EH86" s="321"/>
      <c r="EI86" s="321"/>
      <c r="EJ86" s="321"/>
      <c r="EK86" s="321"/>
      <c r="EL86" s="321"/>
      <c r="EM86" s="321"/>
      <c r="EN86" s="321"/>
      <c r="EO86" s="321"/>
      <c r="EP86" s="321"/>
      <c r="EQ86" s="321"/>
      <c r="ER86" s="321"/>
      <c r="ES86" s="321"/>
      <c r="ET86" s="321"/>
      <c r="EU86" s="321"/>
      <c r="EV86" s="321"/>
      <c r="EW86" s="321"/>
      <c r="EX86" s="321"/>
      <c r="EY86" s="321"/>
      <c r="EZ86" s="321"/>
      <c r="FA86" s="321"/>
      <c r="FB86" s="321"/>
      <c r="FC86" s="321"/>
      <c r="FD86" s="321"/>
      <c r="FE86" s="321"/>
      <c r="FF86" s="321"/>
      <c r="FG86" s="321"/>
      <c r="FH86" s="321"/>
      <c r="FI86" s="321"/>
      <c r="FJ86" s="321"/>
      <c r="FK86" s="321"/>
      <c r="FL86" s="321"/>
      <c r="FM86" s="321"/>
      <c r="FN86" s="321"/>
      <c r="FO86" s="321"/>
      <c r="FP86" s="321"/>
      <c r="FQ86" s="321"/>
      <c r="FR86" s="321"/>
      <c r="FS86" s="321"/>
      <c r="FT86" s="321"/>
      <c r="FU86" s="321"/>
      <c r="FV86" s="321"/>
      <c r="FW86" s="321"/>
      <c r="FX86" s="321"/>
      <c r="FY86" s="321"/>
      <c r="FZ86" s="321"/>
      <c r="GA86" s="321"/>
      <c r="GB86" s="321"/>
      <c r="GC86" s="321"/>
      <c r="GD86" s="321"/>
      <c r="GE86" s="321"/>
      <c r="GF86" s="321"/>
      <c r="GG86" s="321"/>
      <c r="GH86" s="321"/>
      <c r="GI86" s="321"/>
      <c r="GJ86" s="321"/>
      <c r="GK86" s="321"/>
      <c r="GL86" s="321"/>
      <c r="GM86" s="321"/>
      <c r="GN86" s="321"/>
      <c r="GO86" s="321"/>
      <c r="GP86" s="321"/>
      <c r="GQ86" s="321"/>
      <c r="GR86" s="321"/>
      <c r="GS86" s="321"/>
      <c r="GT86" s="321"/>
      <c r="GU86" s="321"/>
      <c r="GV86" s="321"/>
      <c r="GW86" s="321"/>
      <c r="GX86" s="321"/>
      <c r="GY86" s="321"/>
      <c r="GZ86" s="321"/>
      <c r="HA86" s="321"/>
      <c r="HB86" s="321"/>
      <c r="HC86" s="321"/>
      <c r="HD86" s="321"/>
      <c r="HE86" s="321"/>
      <c r="HF86" s="321"/>
      <c r="HG86" s="321"/>
      <c r="HH86" s="321"/>
      <c r="HI86" s="321"/>
      <c r="HJ86" s="321"/>
      <c r="HK86" s="321"/>
      <c r="HL86" s="321"/>
      <c r="HM86" s="321"/>
      <c r="HN86" s="321"/>
      <c r="HO86" s="321"/>
      <c r="HP86" s="321"/>
      <c r="HQ86" s="321"/>
      <c r="HR86" s="321"/>
      <c r="HS86" s="321"/>
      <c r="HT86" s="321"/>
      <c r="HU86" s="321"/>
      <c r="HV86" s="321"/>
      <c r="HW86" s="321"/>
      <c r="HX86" s="321"/>
      <c r="HY86" s="321"/>
      <c r="HZ86" s="321"/>
      <c r="IA86" s="321"/>
      <c r="IB86" s="321"/>
      <c r="IC86" s="321"/>
      <c r="ID86" s="321"/>
      <c r="IE86" s="321"/>
      <c r="IF86" s="321"/>
      <c r="IG86" s="321"/>
      <c r="IH86" s="321"/>
      <c r="II86" s="321"/>
      <c r="IJ86" s="321"/>
      <c r="IK86" s="321"/>
      <c r="IL86" s="321"/>
      <c r="IM86" s="321"/>
      <c r="IN86" s="321"/>
      <c r="IO86" s="321"/>
      <c r="IP86" s="321"/>
      <c r="IQ86" s="321"/>
      <c r="IR86" s="321"/>
      <c r="IS86" s="321"/>
      <c r="IT86" s="321"/>
      <c r="IU86" s="321"/>
      <c r="IV86" s="321"/>
    </row>
    <row r="87" spans="1:256" s="546" customFormat="1" ht="22.5" customHeight="1">
      <c r="A87" s="561">
        <v>79</v>
      </c>
      <c r="B87" s="554"/>
      <c r="C87" s="361"/>
      <c r="D87" s="549" t="s">
        <v>703</v>
      </c>
      <c r="E87" s="330"/>
      <c r="F87" s="550"/>
      <c r="G87" s="331"/>
      <c r="H87" s="762"/>
      <c r="I87" s="758"/>
      <c r="J87" s="547"/>
      <c r="K87" s="547"/>
      <c r="L87" s="547"/>
      <c r="M87" s="547"/>
      <c r="N87" s="547"/>
      <c r="O87" s="547"/>
      <c r="P87" s="555"/>
      <c r="Q87" s="551"/>
      <c r="R87" s="321"/>
      <c r="S87" s="321"/>
      <c r="T87" s="321"/>
      <c r="U87" s="321"/>
      <c r="V87" s="321"/>
      <c r="W87" s="321"/>
      <c r="X87" s="321"/>
      <c r="Y87" s="321"/>
      <c r="Z87" s="321"/>
      <c r="AA87" s="321"/>
      <c r="AB87" s="321"/>
      <c r="AC87" s="321"/>
      <c r="AD87" s="321"/>
      <c r="AE87" s="321"/>
      <c r="AF87" s="321"/>
      <c r="AG87" s="321"/>
      <c r="AH87" s="321"/>
      <c r="AI87" s="321"/>
      <c r="AJ87" s="321"/>
      <c r="AK87" s="321"/>
      <c r="AL87" s="321"/>
      <c r="AM87" s="321"/>
      <c r="AN87" s="321"/>
      <c r="AO87" s="321"/>
      <c r="AP87" s="321"/>
      <c r="AQ87" s="321"/>
      <c r="AR87" s="321"/>
      <c r="AS87" s="321"/>
      <c r="AT87" s="321"/>
      <c r="AU87" s="321"/>
      <c r="AV87" s="321"/>
      <c r="AW87" s="321"/>
      <c r="AX87" s="321"/>
      <c r="AY87" s="321"/>
      <c r="AZ87" s="321"/>
      <c r="BA87" s="321"/>
      <c r="BB87" s="321"/>
      <c r="BC87" s="321"/>
      <c r="BD87" s="321"/>
      <c r="BE87" s="321"/>
      <c r="BF87" s="321"/>
      <c r="BG87" s="321"/>
      <c r="BH87" s="321"/>
      <c r="BI87" s="321"/>
      <c r="BJ87" s="321"/>
      <c r="BK87" s="321"/>
      <c r="BL87" s="321"/>
      <c r="BM87" s="321"/>
      <c r="BN87" s="321"/>
      <c r="BO87" s="321"/>
      <c r="BP87" s="321"/>
      <c r="BQ87" s="321"/>
      <c r="BR87" s="321"/>
      <c r="BS87" s="321"/>
      <c r="BT87" s="321"/>
      <c r="BU87" s="321"/>
      <c r="BV87" s="321"/>
      <c r="BW87" s="321"/>
      <c r="BX87" s="321"/>
      <c r="BY87" s="321"/>
      <c r="BZ87" s="321"/>
      <c r="CA87" s="321"/>
      <c r="CB87" s="321"/>
      <c r="CC87" s="321"/>
      <c r="CD87" s="321"/>
      <c r="CE87" s="321"/>
      <c r="CF87" s="321"/>
      <c r="CG87" s="321"/>
      <c r="CH87" s="321"/>
      <c r="CI87" s="321"/>
      <c r="CJ87" s="321"/>
      <c r="CK87" s="321"/>
      <c r="CL87" s="321"/>
      <c r="CM87" s="321"/>
      <c r="CN87" s="321"/>
      <c r="CO87" s="321"/>
      <c r="CP87" s="321"/>
      <c r="CQ87" s="321"/>
      <c r="CR87" s="321"/>
      <c r="CS87" s="321"/>
      <c r="CT87" s="321"/>
      <c r="CU87" s="321"/>
      <c r="CV87" s="321"/>
      <c r="CW87" s="321"/>
      <c r="CX87" s="321"/>
      <c r="CY87" s="321"/>
      <c r="CZ87" s="321"/>
      <c r="DA87" s="321"/>
      <c r="DB87" s="321"/>
      <c r="DC87" s="321"/>
      <c r="DD87" s="321"/>
      <c r="DE87" s="321"/>
      <c r="DF87" s="321"/>
      <c r="DG87" s="321"/>
      <c r="DH87" s="321"/>
      <c r="DI87" s="321"/>
      <c r="DJ87" s="321"/>
      <c r="DK87" s="321"/>
      <c r="DL87" s="321"/>
      <c r="DM87" s="321"/>
      <c r="DN87" s="321"/>
      <c r="DO87" s="321"/>
      <c r="DP87" s="321"/>
      <c r="DQ87" s="321"/>
      <c r="DR87" s="321"/>
      <c r="DS87" s="321"/>
      <c r="DT87" s="321"/>
      <c r="DU87" s="321"/>
      <c r="DV87" s="321"/>
      <c r="DW87" s="321"/>
      <c r="DX87" s="321"/>
      <c r="DY87" s="321"/>
      <c r="DZ87" s="321"/>
      <c r="EA87" s="321"/>
      <c r="EB87" s="321"/>
      <c r="EC87" s="321"/>
      <c r="ED87" s="321"/>
      <c r="EE87" s="321"/>
      <c r="EF87" s="321"/>
      <c r="EG87" s="321"/>
      <c r="EH87" s="321"/>
      <c r="EI87" s="321"/>
      <c r="EJ87" s="321"/>
      <c r="EK87" s="321"/>
      <c r="EL87" s="321"/>
      <c r="EM87" s="321"/>
      <c r="EN87" s="321"/>
      <c r="EO87" s="321"/>
      <c r="EP87" s="321"/>
      <c r="EQ87" s="321"/>
      <c r="ER87" s="321"/>
      <c r="ES87" s="321"/>
      <c r="ET87" s="321"/>
      <c r="EU87" s="321"/>
      <c r="EV87" s="321"/>
      <c r="EW87" s="321"/>
      <c r="EX87" s="321"/>
      <c r="EY87" s="321"/>
      <c r="EZ87" s="321"/>
      <c r="FA87" s="321"/>
      <c r="FB87" s="321"/>
      <c r="FC87" s="321"/>
      <c r="FD87" s="321"/>
      <c r="FE87" s="321"/>
      <c r="FF87" s="321"/>
      <c r="FG87" s="321"/>
      <c r="FH87" s="321"/>
      <c r="FI87" s="321"/>
      <c r="FJ87" s="321"/>
      <c r="FK87" s="321"/>
      <c r="FL87" s="321"/>
      <c r="FM87" s="321"/>
      <c r="FN87" s="321"/>
      <c r="FO87" s="321"/>
      <c r="FP87" s="321"/>
      <c r="FQ87" s="321"/>
      <c r="FR87" s="321"/>
      <c r="FS87" s="321"/>
      <c r="FT87" s="321"/>
      <c r="FU87" s="321"/>
      <c r="FV87" s="321"/>
      <c r="FW87" s="321"/>
      <c r="FX87" s="321"/>
      <c r="FY87" s="321"/>
      <c r="FZ87" s="321"/>
      <c r="GA87" s="321"/>
      <c r="GB87" s="321"/>
      <c r="GC87" s="321"/>
      <c r="GD87" s="321"/>
      <c r="GE87" s="321"/>
      <c r="GF87" s="321"/>
      <c r="GG87" s="321"/>
      <c r="GH87" s="321"/>
      <c r="GI87" s="321"/>
      <c r="GJ87" s="321"/>
      <c r="GK87" s="321"/>
      <c r="GL87" s="321"/>
      <c r="GM87" s="321"/>
      <c r="GN87" s="321"/>
      <c r="GO87" s="321"/>
      <c r="GP87" s="321"/>
      <c r="GQ87" s="321"/>
      <c r="GR87" s="321"/>
      <c r="GS87" s="321"/>
      <c r="GT87" s="321"/>
      <c r="GU87" s="321"/>
      <c r="GV87" s="321"/>
      <c r="GW87" s="321"/>
      <c r="GX87" s="321"/>
      <c r="GY87" s="321"/>
      <c r="GZ87" s="321"/>
      <c r="HA87" s="321"/>
      <c r="HB87" s="321"/>
      <c r="HC87" s="321"/>
      <c r="HD87" s="321"/>
      <c r="HE87" s="321"/>
      <c r="HF87" s="321"/>
      <c r="HG87" s="321"/>
      <c r="HH87" s="321"/>
      <c r="HI87" s="321"/>
      <c r="HJ87" s="321"/>
      <c r="HK87" s="321"/>
      <c r="HL87" s="321"/>
      <c r="HM87" s="321"/>
      <c r="HN87" s="321"/>
      <c r="HO87" s="321"/>
      <c r="HP87" s="321"/>
      <c r="HQ87" s="321"/>
      <c r="HR87" s="321"/>
      <c r="HS87" s="321"/>
      <c r="HT87" s="321"/>
      <c r="HU87" s="321"/>
      <c r="HV87" s="321"/>
      <c r="HW87" s="321"/>
      <c r="HX87" s="321"/>
      <c r="HY87" s="321"/>
      <c r="HZ87" s="321"/>
      <c r="IA87" s="321"/>
      <c r="IB87" s="321"/>
      <c r="IC87" s="321"/>
      <c r="ID87" s="321"/>
      <c r="IE87" s="321"/>
      <c r="IF87" s="321"/>
      <c r="IG87" s="321"/>
      <c r="IH87" s="321"/>
      <c r="II87" s="321"/>
      <c r="IJ87" s="321"/>
      <c r="IK87" s="321"/>
      <c r="IL87" s="321"/>
      <c r="IM87" s="321"/>
      <c r="IN87" s="321"/>
      <c r="IO87" s="321"/>
      <c r="IP87" s="321"/>
      <c r="IQ87" s="321"/>
      <c r="IR87" s="321"/>
      <c r="IS87" s="321"/>
      <c r="IT87" s="321"/>
      <c r="IU87" s="321"/>
      <c r="IV87" s="321"/>
    </row>
    <row r="88" spans="1:256" s="546" customFormat="1" ht="19.5" customHeight="1">
      <c r="A88" s="561">
        <v>80</v>
      </c>
      <c r="B88" s="554"/>
      <c r="C88" s="322"/>
      <c r="D88" s="748" t="s">
        <v>303</v>
      </c>
      <c r="E88" s="330"/>
      <c r="F88" s="550"/>
      <c r="G88" s="331"/>
      <c r="H88" s="762"/>
      <c r="I88" s="758"/>
      <c r="J88" s="547"/>
      <c r="K88" s="547"/>
      <c r="L88" s="547"/>
      <c r="M88" s="752">
        <v>408940</v>
      </c>
      <c r="N88" s="547"/>
      <c r="O88" s="547"/>
      <c r="P88" s="745">
        <f>SUM(I88:O88)</f>
        <v>408940</v>
      </c>
      <c r="Q88" s="551"/>
      <c r="R88" s="321"/>
      <c r="S88" s="321"/>
      <c r="T88" s="321"/>
      <c r="U88" s="321"/>
      <c r="V88" s="321"/>
      <c r="W88" s="321"/>
      <c r="X88" s="321"/>
      <c r="Y88" s="321"/>
      <c r="Z88" s="321"/>
      <c r="AA88" s="321"/>
      <c r="AB88" s="321"/>
      <c r="AC88" s="321"/>
      <c r="AD88" s="321"/>
      <c r="AE88" s="321"/>
      <c r="AF88" s="321"/>
      <c r="AG88" s="321"/>
      <c r="AH88" s="321"/>
      <c r="AI88" s="321"/>
      <c r="AJ88" s="321"/>
      <c r="AK88" s="321"/>
      <c r="AL88" s="321"/>
      <c r="AM88" s="321"/>
      <c r="AN88" s="321"/>
      <c r="AO88" s="321"/>
      <c r="AP88" s="321"/>
      <c r="AQ88" s="321"/>
      <c r="AR88" s="321"/>
      <c r="AS88" s="321"/>
      <c r="AT88" s="321"/>
      <c r="AU88" s="321"/>
      <c r="AV88" s="321"/>
      <c r="AW88" s="321"/>
      <c r="AX88" s="321"/>
      <c r="AY88" s="321"/>
      <c r="AZ88" s="321"/>
      <c r="BA88" s="321"/>
      <c r="BB88" s="321"/>
      <c r="BC88" s="321"/>
      <c r="BD88" s="321"/>
      <c r="BE88" s="321"/>
      <c r="BF88" s="321"/>
      <c r="BG88" s="321"/>
      <c r="BH88" s="321"/>
      <c r="BI88" s="321"/>
      <c r="BJ88" s="321"/>
      <c r="BK88" s="321"/>
      <c r="BL88" s="321"/>
      <c r="BM88" s="321"/>
      <c r="BN88" s="321"/>
      <c r="BO88" s="321"/>
      <c r="BP88" s="321"/>
      <c r="BQ88" s="321"/>
      <c r="BR88" s="321"/>
      <c r="BS88" s="321"/>
      <c r="BT88" s="321"/>
      <c r="BU88" s="321"/>
      <c r="BV88" s="321"/>
      <c r="BW88" s="321"/>
      <c r="BX88" s="321"/>
      <c r="BY88" s="321"/>
      <c r="BZ88" s="321"/>
      <c r="CA88" s="321"/>
      <c r="CB88" s="321"/>
      <c r="CC88" s="321"/>
      <c r="CD88" s="321"/>
      <c r="CE88" s="321"/>
      <c r="CF88" s="321"/>
      <c r="CG88" s="321"/>
      <c r="CH88" s="321"/>
      <c r="CI88" s="321"/>
      <c r="CJ88" s="321"/>
      <c r="CK88" s="321"/>
      <c r="CL88" s="321"/>
      <c r="CM88" s="321"/>
      <c r="CN88" s="321"/>
      <c r="CO88" s="321"/>
      <c r="CP88" s="321"/>
      <c r="CQ88" s="321"/>
      <c r="CR88" s="321"/>
      <c r="CS88" s="321"/>
      <c r="CT88" s="321"/>
      <c r="CU88" s="321"/>
      <c r="CV88" s="321"/>
      <c r="CW88" s="321"/>
      <c r="CX88" s="321"/>
      <c r="CY88" s="321"/>
      <c r="CZ88" s="321"/>
      <c r="DA88" s="321"/>
      <c r="DB88" s="321"/>
      <c r="DC88" s="321"/>
      <c r="DD88" s="321"/>
      <c r="DE88" s="321"/>
      <c r="DF88" s="321"/>
      <c r="DG88" s="321"/>
      <c r="DH88" s="321"/>
      <c r="DI88" s="321"/>
      <c r="DJ88" s="321"/>
      <c r="DK88" s="321"/>
      <c r="DL88" s="321"/>
      <c r="DM88" s="321"/>
      <c r="DN88" s="321"/>
      <c r="DO88" s="321"/>
      <c r="DP88" s="321"/>
      <c r="DQ88" s="321"/>
      <c r="DR88" s="321"/>
      <c r="DS88" s="321"/>
      <c r="DT88" s="321"/>
      <c r="DU88" s="321"/>
      <c r="DV88" s="321"/>
      <c r="DW88" s="321"/>
      <c r="DX88" s="321"/>
      <c r="DY88" s="321"/>
      <c r="DZ88" s="321"/>
      <c r="EA88" s="321"/>
      <c r="EB88" s="321"/>
      <c r="EC88" s="321"/>
      <c r="ED88" s="321"/>
      <c r="EE88" s="321"/>
      <c r="EF88" s="321"/>
      <c r="EG88" s="321"/>
      <c r="EH88" s="321"/>
      <c r="EI88" s="321"/>
      <c r="EJ88" s="321"/>
      <c r="EK88" s="321"/>
      <c r="EL88" s="321"/>
      <c r="EM88" s="321"/>
      <c r="EN88" s="321"/>
      <c r="EO88" s="321"/>
      <c r="EP88" s="321"/>
      <c r="EQ88" s="321"/>
      <c r="ER88" s="321"/>
      <c r="ES88" s="321"/>
      <c r="ET88" s="321"/>
      <c r="EU88" s="321"/>
      <c r="EV88" s="321"/>
      <c r="EW88" s="321"/>
      <c r="EX88" s="321"/>
      <c r="EY88" s="321"/>
      <c r="EZ88" s="321"/>
      <c r="FA88" s="321"/>
      <c r="FB88" s="321"/>
      <c r="FC88" s="321"/>
      <c r="FD88" s="321"/>
      <c r="FE88" s="321"/>
      <c r="FF88" s="321"/>
      <c r="FG88" s="321"/>
      <c r="FH88" s="321"/>
      <c r="FI88" s="321"/>
      <c r="FJ88" s="321"/>
      <c r="FK88" s="321"/>
      <c r="FL88" s="321"/>
      <c r="FM88" s="321"/>
      <c r="FN88" s="321"/>
      <c r="FO88" s="321"/>
      <c r="FP88" s="321"/>
      <c r="FQ88" s="321"/>
      <c r="FR88" s="321"/>
      <c r="FS88" s="321"/>
      <c r="FT88" s="321"/>
      <c r="FU88" s="321"/>
      <c r="FV88" s="321"/>
      <c r="FW88" s="321"/>
      <c r="FX88" s="321"/>
      <c r="FY88" s="321"/>
      <c r="FZ88" s="321"/>
      <c r="GA88" s="321"/>
      <c r="GB88" s="321"/>
      <c r="GC88" s="321"/>
      <c r="GD88" s="321"/>
      <c r="GE88" s="321"/>
      <c r="GF88" s="321"/>
      <c r="GG88" s="321"/>
      <c r="GH88" s="321"/>
      <c r="GI88" s="321"/>
      <c r="GJ88" s="321"/>
      <c r="GK88" s="321"/>
      <c r="GL88" s="321"/>
      <c r="GM88" s="321"/>
      <c r="GN88" s="321"/>
      <c r="GO88" s="321"/>
      <c r="GP88" s="321"/>
      <c r="GQ88" s="321"/>
      <c r="GR88" s="321"/>
      <c r="GS88" s="321"/>
      <c r="GT88" s="321"/>
      <c r="GU88" s="321"/>
      <c r="GV88" s="321"/>
      <c r="GW88" s="321"/>
      <c r="GX88" s="321"/>
      <c r="GY88" s="321"/>
      <c r="GZ88" s="321"/>
      <c r="HA88" s="321"/>
      <c r="HB88" s="321"/>
      <c r="HC88" s="321"/>
      <c r="HD88" s="321"/>
      <c r="HE88" s="321"/>
      <c r="HF88" s="321"/>
      <c r="HG88" s="321"/>
      <c r="HH88" s="321"/>
      <c r="HI88" s="321"/>
      <c r="HJ88" s="321"/>
      <c r="HK88" s="321"/>
      <c r="HL88" s="321"/>
      <c r="HM88" s="321"/>
      <c r="HN88" s="321"/>
      <c r="HO88" s="321"/>
      <c r="HP88" s="321"/>
      <c r="HQ88" s="321"/>
      <c r="HR88" s="321"/>
      <c r="HS88" s="321"/>
      <c r="HT88" s="321"/>
      <c r="HU88" s="321"/>
      <c r="HV88" s="321"/>
      <c r="HW88" s="321"/>
      <c r="HX88" s="321"/>
      <c r="HY88" s="321"/>
      <c r="HZ88" s="321"/>
      <c r="IA88" s="321"/>
      <c r="IB88" s="321"/>
      <c r="IC88" s="321"/>
      <c r="ID88" s="321"/>
      <c r="IE88" s="321"/>
      <c r="IF88" s="321"/>
      <c r="IG88" s="321"/>
      <c r="IH88" s="321"/>
      <c r="II88" s="321"/>
      <c r="IJ88" s="321"/>
      <c r="IK88" s="321"/>
      <c r="IL88" s="321"/>
      <c r="IM88" s="321"/>
      <c r="IN88" s="321"/>
      <c r="IO88" s="321"/>
      <c r="IP88" s="321"/>
      <c r="IQ88" s="321"/>
      <c r="IR88" s="321"/>
      <c r="IS88" s="321"/>
      <c r="IT88" s="321"/>
      <c r="IU88" s="321"/>
      <c r="IV88" s="321"/>
    </row>
    <row r="89" spans="1:256" s="546" customFormat="1" ht="19.5" customHeight="1">
      <c r="A89" s="561">
        <v>81</v>
      </c>
      <c r="B89" s="554"/>
      <c r="C89" s="322"/>
      <c r="D89" s="436" t="s">
        <v>994</v>
      </c>
      <c r="E89" s="330"/>
      <c r="F89" s="550"/>
      <c r="G89" s="331"/>
      <c r="H89" s="762"/>
      <c r="I89" s="758"/>
      <c r="J89" s="547"/>
      <c r="K89" s="547"/>
      <c r="L89" s="547"/>
      <c r="M89" s="1131">
        <v>0</v>
      </c>
      <c r="N89" s="547"/>
      <c r="O89" s="547"/>
      <c r="P89" s="555">
        <f>SUM(I89:O89)</f>
        <v>0</v>
      </c>
      <c r="Q89" s="551"/>
      <c r="R89" s="321"/>
      <c r="S89" s="321"/>
      <c r="T89" s="321"/>
      <c r="U89" s="321"/>
      <c r="V89" s="321"/>
      <c r="W89" s="321"/>
      <c r="X89" s="321"/>
      <c r="Y89" s="321"/>
      <c r="Z89" s="321"/>
      <c r="AA89" s="321"/>
      <c r="AB89" s="321"/>
      <c r="AC89" s="321"/>
      <c r="AD89" s="321"/>
      <c r="AE89" s="321"/>
      <c r="AF89" s="321"/>
      <c r="AG89" s="321"/>
      <c r="AH89" s="321"/>
      <c r="AI89" s="321"/>
      <c r="AJ89" s="321"/>
      <c r="AK89" s="321"/>
      <c r="AL89" s="321"/>
      <c r="AM89" s="321"/>
      <c r="AN89" s="321"/>
      <c r="AO89" s="321"/>
      <c r="AP89" s="321"/>
      <c r="AQ89" s="321"/>
      <c r="AR89" s="321"/>
      <c r="AS89" s="321"/>
      <c r="AT89" s="321"/>
      <c r="AU89" s="321"/>
      <c r="AV89" s="321"/>
      <c r="AW89" s="321"/>
      <c r="AX89" s="321"/>
      <c r="AY89" s="321"/>
      <c r="AZ89" s="321"/>
      <c r="BA89" s="321"/>
      <c r="BB89" s="321"/>
      <c r="BC89" s="321"/>
      <c r="BD89" s="321"/>
      <c r="BE89" s="321"/>
      <c r="BF89" s="321"/>
      <c r="BG89" s="321"/>
      <c r="BH89" s="321"/>
      <c r="BI89" s="321"/>
      <c r="BJ89" s="321"/>
      <c r="BK89" s="321"/>
      <c r="BL89" s="321"/>
      <c r="BM89" s="321"/>
      <c r="BN89" s="321"/>
      <c r="BO89" s="321"/>
      <c r="BP89" s="321"/>
      <c r="BQ89" s="321"/>
      <c r="BR89" s="321"/>
      <c r="BS89" s="321"/>
      <c r="BT89" s="321"/>
      <c r="BU89" s="321"/>
      <c r="BV89" s="321"/>
      <c r="BW89" s="321"/>
      <c r="BX89" s="321"/>
      <c r="BY89" s="321"/>
      <c r="BZ89" s="321"/>
      <c r="CA89" s="321"/>
      <c r="CB89" s="321"/>
      <c r="CC89" s="321"/>
      <c r="CD89" s="321"/>
      <c r="CE89" s="321"/>
      <c r="CF89" s="321"/>
      <c r="CG89" s="321"/>
      <c r="CH89" s="321"/>
      <c r="CI89" s="321"/>
      <c r="CJ89" s="321"/>
      <c r="CK89" s="321"/>
      <c r="CL89" s="321"/>
      <c r="CM89" s="321"/>
      <c r="CN89" s="321"/>
      <c r="CO89" s="321"/>
      <c r="CP89" s="321"/>
      <c r="CQ89" s="321"/>
      <c r="CR89" s="321"/>
      <c r="CS89" s="321"/>
      <c r="CT89" s="321"/>
      <c r="CU89" s="321"/>
      <c r="CV89" s="321"/>
      <c r="CW89" s="321"/>
      <c r="CX89" s="321"/>
      <c r="CY89" s="321"/>
      <c r="CZ89" s="321"/>
      <c r="DA89" s="321"/>
      <c r="DB89" s="321"/>
      <c r="DC89" s="321"/>
      <c r="DD89" s="321"/>
      <c r="DE89" s="321"/>
      <c r="DF89" s="321"/>
      <c r="DG89" s="321"/>
      <c r="DH89" s="321"/>
      <c r="DI89" s="321"/>
      <c r="DJ89" s="321"/>
      <c r="DK89" s="321"/>
      <c r="DL89" s="321"/>
      <c r="DM89" s="321"/>
      <c r="DN89" s="321"/>
      <c r="DO89" s="321"/>
      <c r="DP89" s="321"/>
      <c r="DQ89" s="321"/>
      <c r="DR89" s="321"/>
      <c r="DS89" s="321"/>
      <c r="DT89" s="321"/>
      <c r="DU89" s="321"/>
      <c r="DV89" s="321"/>
      <c r="DW89" s="321"/>
      <c r="DX89" s="321"/>
      <c r="DY89" s="321"/>
      <c r="DZ89" s="321"/>
      <c r="EA89" s="321"/>
      <c r="EB89" s="321"/>
      <c r="EC89" s="321"/>
      <c r="ED89" s="321"/>
      <c r="EE89" s="321"/>
      <c r="EF89" s="321"/>
      <c r="EG89" s="321"/>
      <c r="EH89" s="321"/>
      <c r="EI89" s="321"/>
      <c r="EJ89" s="321"/>
      <c r="EK89" s="321"/>
      <c r="EL89" s="321"/>
      <c r="EM89" s="321"/>
      <c r="EN89" s="321"/>
      <c r="EO89" s="321"/>
      <c r="EP89" s="321"/>
      <c r="EQ89" s="321"/>
      <c r="ER89" s="321"/>
      <c r="ES89" s="321"/>
      <c r="ET89" s="321"/>
      <c r="EU89" s="321"/>
      <c r="EV89" s="321"/>
      <c r="EW89" s="321"/>
      <c r="EX89" s="321"/>
      <c r="EY89" s="321"/>
      <c r="EZ89" s="321"/>
      <c r="FA89" s="321"/>
      <c r="FB89" s="321"/>
      <c r="FC89" s="321"/>
      <c r="FD89" s="321"/>
      <c r="FE89" s="321"/>
      <c r="FF89" s="321"/>
      <c r="FG89" s="321"/>
      <c r="FH89" s="321"/>
      <c r="FI89" s="321"/>
      <c r="FJ89" s="321"/>
      <c r="FK89" s="321"/>
      <c r="FL89" s="321"/>
      <c r="FM89" s="321"/>
      <c r="FN89" s="321"/>
      <c r="FO89" s="321"/>
      <c r="FP89" s="321"/>
      <c r="FQ89" s="321"/>
      <c r="FR89" s="321"/>
      <c r="FS89" s="321"/>
      <c r="FT89" s="321"/>
      <c r="FU89" s="321"/>
      <c r="FV89" s="321"/>
      <c r="FW89" s="321"/>
      <c r="FX89" s="321"/>
      <c r="FY89" s="321"/>
      <c r="FZ89" s="321"/>
      <c r="GA89" s="321"/>
      <c r="GB89" s="321"/>
      <c r="GC89" s="321"/>
      <c r="GD89" s="321"/>
      <c r="GE89" s="321"/>
      <c r="GF89" s="321"/>
      <c r="GG89" s="321"/>
      <c r="GH89" s="321"/>
      <c r="GI89" s="321"/>
      <c r="GJ89" s="321"/>
      <c r="GK89" s="321"/>
      <c r="GL89" s="321"/>
      <c r="GM89" s="321"/>
      <c r="GN89" s="321"/>
      <c r="GO89" s="321"/>
      <c r="GP89" s="321"/>
      <c r="GQ89" s="321"/>
      <c r="GR89" s="321"/>
      <c r="GS89" s="321"/>
      <c r="GT89" s="321"/>
      <c r="GU89" s="321"/>
      <c r="GV89" s="321"/>
      <c r="GW89" s="321"/>
      <c r="GX89" s="321"/>
      <c r="GY89" s="321"/>
      <c r="GZ89" s="321"/>
      <c r="HA89" s="321"/>
      <c r="HB89" s="321"/>
      <c r="HC89" s="321"/>
      <c r="HD89" s="321"/>
      <c r="HE89" s="321"/>
      <c r="HF89" s="321"/>
      <c r="HG89" s="321"/>
      <c r="HH89" s="321"/>
      <c r="HI89" s="321"/>
      <c r="HJ89" s="321"/>
      <c r="HK89" s="321"/>
      <c r="HL89" s="321"/>
      <c r="HM89" s="321"/>
      <c r="HN89" s="321"/>
      <c r="HO89" s="321"/>
      <c r="HP89" s="321"/>
      <c r="HQ89" s="321"/>
      <c r="HR89" s="321"/>
      <c r="HS89" s="321"/>
      <c r="HT89" s="321"/>
      <c r="HU89" s="321"/>
      <c r="HV89" s="321"/>
      <c r="HW89" s="321"/>
      <c r="HX89" s="321"/>
      <c r="HY89" s="321"/>
      <c r="HZ89" s="321"/>
      <c r="IA89" s="321"/>
      <c r="IB89" s="321"/>
      <c r="IC89" s="321"/>
      <c r="ID89" s="321"/>
      <c r="IE89" s="321"/>
      <c r="IF89" s="321"/>
      <c r="IG89" s="321"/>
      <c r="IH89" s="321"/>
      <c r="II89" s="321"/>
      <c r="IJ89" s="321"/>
      <c r="IK89" s="321"/>
      <c r="IL89" s="321"/>
      <c r="IM89" s="321"/>
      <c r="IN89" s="321"/>
      <c r="IO89" s="321"/>
      <c r="IP89" s="321"/>
      <c r="IQ89" s="321"/>
      <c r="IR89" s="321"/>
      <c r="IS89" s="321"/>
      <c r="IT89" s="321"/>
      <c r="IU89" s="321"/>
      <c r="IV89" s="321"/>
    </row>
    <row r="90" spans="1:256" s="546" customFormat="1" ht="19.5" customHeight="1">
      <c r="A90" s="561">
        <v>82</v>
      </c>
      <c r="B90" s="554"/>
      <c r="C90" s="322"/>
      <c r="D90" s="987" t="s">
        <v>1036</v>
      </c>
      <c r="E90" s="330"/>
      <c r="F90" s="550"/>
      <c r="G90" s="331"/>
      <c r="H90" s="762"/>
      <c r="I90" s="758"/>
      <c r="J90" s="547"/>
      <c r="K90" s="547"/>
      <c r="L90" s="547"/>
      <c r="M90" s="1266">
        <v>0</v>
      </c>
      <c r="N90" s="1266"/>
      <c r="O90" s="1266"/>
      <c r="P90" s="1175">
        <f>SUM(I90:O90)</f>
        <v>0</v>
      </c>
      <c r="Q90" s="551"/>
      <c r="R90" s="321"/>
      <c r="S90" s="321"/>
      <c r="T90" s="321"/>
      <c r="U90" s="321"/>
      <c r="V90" s="321"/>
      <c r="W90" s="321"/>
      <c r="X90" s="321"/>
      <c r="Y90" s="321"/>
      <c r="Z90" s="321"/>
      <c r="AA90" s="321"/>
      <c r="AB90" s="321"/>
      <c r="AC90" s="321"/>
      <c r="AD90" s="321"/>
      <c r="AE90" s="321"/>
      <c r="AF90" s="321"/>
      <c r="AG90" s="321"/>
      <c r="AH90" s="321"/>
      <c r="AI90" s="321"/>
      <c r="AJ90" s="321"/>
      <c r="AK90" s="321"/>
      <c r="AL90" s="321"/>
      <c r="AM90" s="321"/>
      <c r="AN90" s="321"/>
      <c r="AO90" s="321"/>
      <c r="AP90" s="321"/>
      <c r="AQ90" s="321"/>
      <c r="AR90" s="321"/>
      <c r="AS90" s="321"/>
      <c r="AT90" s="321"/>
      <c r="AU90" s="321"/>
      <c r="AV90" s="321"/>
      <c r="AW90" s="321"/>
      <c r="AX90" s="321"/>
      <c r="AY90" s="321"/>
      <c r="AZ90" s="321"/>
      <c r="BA90" s="321"/>
      <c r="BB90" s="321"/>
      <c r="BC90" s="321"/>
      <c r="BD90" s="321"/>
      <c r="BE90" s="321"/>
      <c r="BF90" s="321"/>
      <c r="BG90" s="321"/>
      <c r="BH90" s="321"/>
      <c r="BI90" s="321"/>
      <c r="BJ90" s="321"/>
      <c r="BK90" s="321"/>
      <c r="BL90" s="321"/>
      <c r="BM90" s="321"/>
      <c r="BN90" s="321"/>
      <c r="BO90" s="321"/>
      <c r="BP90" s="321"/>
      <c r="BQ90" s="321"/>
      <c r="BR90" s="321"/>
      <c r="BS90" s="321"/>
      <c r="BT90" s="321"/>
      <c r="BU90" s="321"/>
      <c r="BV90" s="321"/>
      <c r="BW90" s="321"/>
      <c r="BX90" s="321"/>
      <c r="BY90" s="321"/>
      <c r="BZ90" s="321"/>
      <c r="CA90" s="321"/>
      <c r="CB90" s="321"/>
      <c r="CC90" s="321"/>
      <c r="CD90" s="321"/>
      <c r="CE90" s="321"/>
      <c r="CF90" s="321"/>
      <c r="CG90" s="321"/>
      <c r="CH90" s="321"/>
      <c r="CI90" s="321"/>
      <c r="CJ90" s="321"/>
      <c r="CK90" s="321"/>
      <c r="CL90" s="321"/>
      <c r="CM90" s="321"/>
      <c r="CN90" s="321"/>
      <c r="CO90" s="321"/>
      <c r="CP90" s="321"/>
      <c r="CQ90" s="321"/>
      <c r="CR90" s="321"/>
      <c r="CS90" s="321"/>
      <c r="CT90" s="321"/>
      <c r="CU90" s="321"/>
      <c r="CV90" s="321"/>
      <c r="CW90" s="321"/>
      <c r="CX90" s="321"/>
      <c r="CY90" s="321"/>
      <c r="CZ90" s="321"/>
      <c r="DA90" s="321"/>
      <c r="DB90" s="321"/>
      <c r="DC90" s="321"/>
      <c r="DD90" s="321"/>
      <c r="DE90" s="321"/>
      <c r="DF90" s="321"/>
      <c r="DG90" s="321"/>
      <c r="DH90" s="321"/>
      <c r="DI90" s="321"/>
      <c r="DJ90" s="321"/>
      <c r="DK90" s="321"/>
      <c r="DL90" s="321"/>
      <c r="DM90" s="321"/>
      <c r="DN90" s="321"/>
      <c r="DO90" s="321"/>
      <c r="DP90" s="321"/>
      <c r="DQ90" s="321"/>
      <c r="DR90" s="321"/>
      <c r="DS90" s="321"/>
      <c r="DT90" s="321"/>
      <c r="DU90" s="321"/>
      <c r="DV90" s="321"/>
      <c r="DW90" s="321"/>
      <c r="DX90" s="321"/>
      <c r="DY90" s="321"/>
      <c r="DZ90" s="321"/>
      <c r="EA90" s="321"/>
      <c r="EB90" s="321"/>
      <c r="EC90" s="321"/>
      <c r="ED90" s="321"/>
      <c r="EE90" s="321"/>
      <c r="EF90" s="321"/>
      <c r="EG90" s="321"/>
      <c r="EH90" s="321"/>
      <c r="EI90" s="321"/>
      <c r="EJ90" s="321"/>
      <c r="EK90" s="321"/>
      <c r="EL90" s="321"/>
      <c r="EM90" s="321"/>
      <c r="EN90" s="321"/>
      <c r="EO90" s="321"/>
      <c r="EP90" s="321"/>
      <c r="EQ90" s="321"/>
      <c r="ER90" s="321"/>
      <c r="ES90" s="321"/>
      <c r="ET90" s="321"/>
      <c r="EU90" s="321"/>
      <c r="EV90" s="321"/>
      <c r="EW90" s="321"/>
      <c r="EX90" s="321"/>
      <c r="EY90" s="321"/>
      <c r="EZ90" s="321"/>
      <c r="FA90" s="321"/>
      <c r="FB90" s="321"/>
      <c r="FC90" s="321"/>
      <c r="FD90" s="321"/>
      <c r="FE90" s="321"/>
      <c r="FF90" s="321"/>
      <c r="FG90" s="321"/>
      <c r="FH90" s="321"/>
      <c r="FI90" s="321"/>
      <c r="FJ90" s="321"/>
      <c r="FK90" s="321"/>
      <c r="FL90" s="321"/>
      <c r="FM90" s="321"/>
      <c r="FN90" s="321"/>
      <c r="FO90" s="321"/>
      <c r="FP90" s="321"/>
      <c r="FQ90" s="321"/>
      <c r="FR90" s="321"/>
      <c r="FS90" s="321"/>
      <c r="FT90" s="321"/>
      <c r="FU90" s="321"/>
      <c r="FV90" s="321"/>
      <c r="FW90" s="321"/>
      <c r="FX90" s="321"/>
      <c r="FY90" s="321"/>
      <c r="FZ90" s="321"/>
      <c r="GA90" s="321"/>
      <c r="GB90" s="321"/>
      <c r="GC90" s="321"/>
      <c r="GD90" s="321"/>
      <c r="GE90" s="321"/>
      <c r="GF90" s="321"/>
      <c r="GG90" s="321"/>
      <c r="GH90" s="321"/>
      <c r="GI90" s="321"/>
      <c r="GJ90" s="321"/>
      <c r="GK90" s="321"/>
      <c r="GL90" s="321"/>
      <c r="GM90" s="321"/>
      <c r="GN90" s="321"/>
      <c r="GO90" s="321"/>
      <c r="GP90" s="321"/>
      <c r="GQ90" s="321"/>
      <c r="GR90" s="321"/>
      <c r="GS90" s="321"/>
      <c r="GT90" s="321"/>
      <c r="GU90" s="321"/>
      <c r="GV90" s="321"/>
      <c r="GW90" s="321"/>
      <c r="GX90" s="321"/>
      <c r="GY90" s="321"/>
      <c r="GZ90" s="321"/>
      <c r="HA90" s="321"/>
      <c r="HB90" s="321"/>
      <c r="HC90" s="321"/>
      <c r="HD90" s="321"/>
      <c r="HE90" s="321"/>
      <c r="HF90" s="321"/>
      <c r="HG90" s="321"/>
      <c r="HH90" s="321"/>
      <c r="HI90" s="321"/>
      <c r="HJ90" s="321"/>
      <c r="HK90" s="321"/>
      <c r="HL90" s="321"/>
      <c r="HM90" s="321"/>
      <c r="HN90" s="321"/>
      <c r="HO90" s="321"/>
      <c r="HP90" s="321"/>
      <c r="HQ90" s="321"/>
      <c r="HR90" s="321"/>
      <c r="HS90" s="321"/>
      <c r="HT90" s="321"/>
      <c r="HU90" s="321"/>
      <c r="HV90" s="321"/>
      <c r="HW90" s="321"/>
      <c r="HX90" s="321"/>
      <c r="HY90" s="321"/>
      <c r="HZ90" s="321"/>
      <c r="IA90" s="321"/>
      <c r="IB90" s="321"/>
      <c r="IC90" s="321"/>
      <c r="ID90" s="321"/>
      <c r="IE90" s="321"/>
      <c r="IF90" s="321"/>
      <c r="IG90" s="321"/>
      <c r="IH90" s="321"/>
      <c r="II90" s="321"/>
      <c r="IJ90" s="321"/>
      <c r="IK90" s="321"/>
      <c r="IL90" s="321"/>
      <c r="IM90" s="321"/>
      <c r="IN90" s="321"/>
      <c r="IO90" s="321"/>
      <c r="IP90" s="321"/>
      <c r="IQ90" s="321"/>
      <c r="IR90" s="321"/>
      <c r="IS90" s="321"/>
      <c r="IT90" s="321"/>
      <c r="IU90" s="321"/>
      <c r="IV90" s="321"/>
    </row>
    <row r="91" spans="1:17" s="754" customFormat="1" ht="22.5" customHeight="1">
      <c r="A91" s="561">
        <v>83</v>
      </c>
      <c r="B91" s="746"/>
      <c r="C91" s="361"/>
      <c r="D91" s="549" t="s">
        <v>636</v>
      </c>
      <c r="E91" s="749"/>
      <c r="F91" s="750"/>
      <c r="G91" s="751"/>
      <c r="H91" s="763"/>
      <c r="I91" s="759"/>
      <c r="J91" s="752"/>
      <c r="K91" s="752"/>
      <c r="L91" s="752"/>
      <c r="M91" s="773"/>
      <c r="N91" s="752"/>
      <c r="O91" s="752"/>
      <c r="P91" s="745"/>
      <c r="Q91" s="753"/>
    </row>
    <row r="92" spans="1:256" s="546" customFormat="1" ht="18" customHeight="1">
      <c r="A92" s="561">
        <v>84</v>
      </c>
      <c r="B92" s="554"/>
      <c r="C92" s="361"/>
      <c r="D92" s="755" t="s">
        <v>303</v>
      </c>
      <c r="E92" s="330"/>
      <c r="F92" s="330"/>
      <c r="G92" s="331"/>
      <c r="H92" s="762"/>
      <c r="I92" s="760"/>
      <c r="J92" s="330"/>
      <c r="K92" s="330"/>
      <c r="L92" s="330"/>
      <c r="M92" s="752">
        <v>37000</v>
      </c>
      <c r="N92" s="330"/>
      <c r="O92" s="330"/>
      <c r="P92" s="745">
        <f>SUM(I92:O92)</f>
        <v>37000</v>
      </c>
      <c r="Q92" s="551"/>
      <c r="R92" s="321"/>
      <c r="S92" s="321"/>
      <c r="T92" s="321"/>
      <c r="U92" s="321"/>
      <c r="V92" s="321"/>
      <c r="W92" s="321"/>
      <c r="X92" s="321"/>
      <c r="Y92" s="321"/>
      <c r="Z92" s="321"/>
      <c r="AA92" s="321"/>
      <c r="AB92" s="321"/>
      <c r="AC92" s="321"/>
      <c r="AD92" s="321"/>
      <c r="AE92" s="321"/>
      <c r="AF92" s="321"/>
      <c r="AG92" s="321"/>
      <c r="AH92" s="321"/>
      <c r="AI92" s="321"/>
      <c r="AJ92" s="321"/>
      <c r="AK92" s="321"/>
      <c r="AL92" s="321"/>
      <c r="AM92" s="321"/>
      <c r="AN92" s="321"/>
      <c r="AO92" s="321"/>
      <c r="AP92" s="321"/>
      <c r="AQ92" s="321"/>
      <c r="AR92" s="321"/>
      <c r="AS92" s="321"/>
      <c r="AT92" s="321"/>
      <c r="AU92" s="321"/>
      <c r="AV92" s="321"/>
      <c r="AW92" s="321"/>
      <c r="AX92" s="321"/>
      <c r="AY92" s="321"/>
      <c r="AZ92" s="321"/>
      <c r="BA92" s="321"/>
      <c r="BB92" s="321"/>
      <c r="BC92" s="321"/>
      <c r="BD92" s="321"/>
      <c r="BE92" s="321"/>
      <c r="BF92" s="321"/>
      <c r="BG92" s="321"/>
      <c r="BH92" s="321"/>
      <c r="BI92" s="321"/>
      <c r="BJ92" s="321"/>
      <c r="BK92" s="321"/>
      <c r="BL92" s="321"/>
      <c r="BM92" s="321"/>
      <c r="BN92" s="321"/>
      <c r="BO92" s="321"/>
      <c r="BP92" s="321"/>
      <c r="BQ92" s="321"/>
      <c r="BR92" s="321"/>
      <c r="BS92" s="321"/>
      <c r="BT92" s="321"/>
      <c r="BU92" s="321"/>
      <c r="BV92" s="321"/>
      <c r="BW92" s="321"/>
      <c r="BX92" s="321"/>
      <c r="BY92" s="321"/>
      <c r="BZ92" s="321"/>
      <c r="CA92" s="321"/>
      <c r="CB92" s="321"/>
      <c r="CC92" s="321"/>
      <c r="CD92" s="321"/>
      <c r="CE92" s="321"/>
      <c r="CF92" s="321"/>
      <c r="CG92" s="321"/>
      <c r="CH92" s="321"/>
      <c r="CI92" s="321"/>
      <c r="CJ92" s="321"/>
      <c r="CK92" s="321"/>
      <c r="CL92" s="321"/>
      <c r="CM92" s="321"/>
      <c r="CN92" s="321"/>
      <c r="CO92" s="321"/>
      <c r="CP92" s="321"/>
      <c r="CQ92" s="321"/>
      <c r="CR92" s="321"/>
      <c r="CS92" s="321"/>
      <c r="CT92" s="321"/>
      <c r="CU92" s="321"/>
      <c r="CV92" s="321"/>
      <c r="CW92" s="321"/>
      <c r="CX92" s="321"/>
      <c r="CY92" s="321"/>
      <c r="CZ92" s="321"/>
      <c r="DA92" s="321"/>
      <c r="DB92" s="321"/>
      <c r="DC92" s="321"/>
      <c r="DD92" s="321"/>
      <c r="DE92" s="321"/>
      <c r="DF92" s="321"/>
      <c r="DG92" s="321"/>
      <c r="DH92" s="321"/>
      <c r="DI92" s="321"/>
      <c r="DJ92" s="321"/>
      <c r="DK92" s="321"/>
      <c r="DL92" s="321"/>
      <c r="DM92" s="321"/>
      <c r="DN92" s="321"/>
      <c r="DO92" s="321"/>
      <c r="DP92" s="321"/>
      <c r="DQ92" s="321"/>
      <c r="DR92" s="321"/>
      <c r="DS92" s="321"/>
      <c r="DT92" s="321"/>
      <c r="DU92" s="321"/>
      <c r="DV92" s="321"/>
      <c r="DW92" s="321"/>
      <c r="DX92" s="321"/>
      <c r="DY92" s="321"/>
      <c r="DZ92" s="321"/>
      <c r="EA92" s="321"/>
      <c r="EB92" s="321"/>
      <c r="EC92" s="321"/>
      <c r="ED92" s="321"/>
      <c r="EE92" s="321"/>
      <c r="EF92" s="321"/>
      <c r="EG92" s="321"/>
      <c r="EH92" s="321"/>
      <c r="EI92" s="321"/>
      <c r="EJ92" s="321"/>
      <c r="EK92" s="321"/>
      <c r="EL92" s="321"/>
      <c r="EM92" s="321"/>
      <c r="EN92" s="321"/>
      <c r="EO92" s="321"/>
      <c r="EP92" s="321"/>
      <c r="EQ92" s="321"/>
      <c r="ER92" s="321"/>
      <c r="ES92" s="321"/>
      <c r="ET92" s="321"/>
      <c r="EU92" s="321"/>
      <c r="EV92" s="321"/>
      <c r="EW92" s="321"/>
      <c r="EX92" s="321"/>
      <c r="EY92" s="321"/>
      <c r="EZ92" s="321"/>
      <c r="FA92" s="321"/>
      <c r="FB92" s="321"/>
      <c r="FC92" s="321"/>
      <c r="FD92" s="321"/>
      <c r="FE92" s="321"/>
      <c r="FF92" s="321"/>
      <c r="FG92" s="321"/>
      <c r="FH92" s="321"/>
      <c r="FI92" s="321"/>
      <c r="FJ92" s="321"/>
      <c r="FK92" s="321"/>
      <c r="FL92" s="321"/>
      <c r="FM92" s="321"/>
      <c r="FN92" s="321"/>
      <c r="FO92" s="321"/>
      <c r="FP92" s="321"/>
      <c r="FQ92" s="321"/>
      <c r="FR92" s="321"/>
      <c r="FS92" s="321"/>
      <c r="FT92" s="321"/>
      <c r="FU92" s="321"/>
      <c r="FV92" s="321"/>
      <c r="FW92" s="321"/>
      <c r="FX92" s="321"/>
      <c r="FY92" s="321"/>
      <c r="FZ92" s="321"/>
      <c r="GA92" s="321"/>
      <c r="GB92" s="321"/>
      <c r="GC92" s="321"/>
      <c r="GD92" s="321"/>
      <c r="GE92" s="321"/>
      <c r="GF92" s="321"/>
      <c r="GG92" s="321"/>
      <c r="GH92" s="321"/>
      <c r="GI92" s="321"/>
      <c r="GJ92" s="321"/>
      <c r="GK92" s="321"/>
      <c r="GL92" s="321"/>
      <c r="GM92" s="321"/>
      <c r="GN92" s="321"/>
      <c r="GO92" s="321"/>
      <c r="GP92" s="321"/>
      <c r="GQ92" s="321"/>
      <c r="GR92" s="321"/>
      <c r="GS92" s="321"/>
      <c r="GT92" s="321"/>
      <c r="GU92" s="321"/>
      <c r="GV92" s="321"/>
      <c r="GW92" s="321"/>
      <c r="GX92" s="321"/>
      <c r="GY92" s="321"/>
      <c r="GZ92" s="321"/>
      <c r="HA92" s="321"/>
      <c r="HB92" s="321"/>
      <c r="HC92" s="321"/>
      <c r="HD92" s="321"/>
      <c r="HE92" s="321"/>
      <c r="HF92" s="321"/>
      <c r="HG92" s="321"/>
      <c r="HH92" s="321"/>
      <c r="HI92" s="321"/>
      <c r="HJ92" s="321"/>
      <c r="HK92" s="321"/>
      <c r="HL92" s="321"/>
      <c r="HM92" s="321"/>
      <c r="HN92" s="321"/>
      <c r="HO92" s="321"/>
      <c r="HP92" s="321"/>
      <c r="HQ92" s="321"/>
      <c r="HR92" s="321"/>
      <c r="HS92" s="321"/>
      <c r="HT92" s="321"/>
      <c r="HU92" s="321"/>
      <c r="HV92" s="321"/>
      <c r="HW92" s="321"/>
      <c r="HX92" s="321"/>
      <c r="HY92" s="321"/>
      <c r="HZ92" s="321"/>
      <c r="IA92" s="321"/>
      <c r="IB92" s="321"/>
      <c r="IC92" s="321"/>
      <c r="ID92" s="321"/>
      <c r="IE92" s="321"/>
      <c r="IF92" s="321"/>
      <c r="IG92" s="321"/>
      <c r="IH92" s="321"/>
      <c r="II92" s="321"/>
      <c r="IJ92" s="321"/>
      <c r="IK92" s="321"/>
      <c r="IL92" s="321"/>
      <c r="IM92" s="321"/>
      <c r="IN92" s="321"/>
      <c r="IO92" s="321"/>
      <c r="IP92" s="321"/>
      <c r="IQ92" s="321"/>
      <c r="IR92" s="321"/>
      <c r="IS92" s="321"/>
      <c r="IT92" s="321"/>
      <c r="IU92" s="321"/>
      <c r="IV92" s="321"/>
    </row>
    <row r="93" spans="1:256" s="546" customFormat="1" ht="18" customHeight="1">
      <c r="A93" s="561">
        <v>85</v>
      </c>
      <c r="B93" s="554"/>
      <c r="C93" s="361"/>
      <c r="D93" s="436" t="s">
        <v>994</v>
      </c>
      <c r="E93" s="330"/>
      <c r="F93" s="330"/>
      <c r="G93" s="331"/>
      <c r="H93" s="762"/>
      <c r="I93" s="760"/>
      <c r="J93" s="330"/>
      <c r="K93" s="330"/>
      <c r="L93" s="330"/>
      <c r="M93" s="1131">
        <v>0</v>
      </c>
      <c r="N93" s="1302"/>
      <c r="O93" s="1302"/>
      <c r="P93" s="555">
        <f>SUM(I93:O93)</f>
        <v>0</v>
      </c>
      <c r="Q93" s="551"/>
      <c r="R93" s="321"/>
      <c r="S93" s="321"/>
      <c r="T93" s="321"/>
      <c r="U93" s="321"/>
      <c r="V93" s="321"/>
      <c r="W93" s="321"/>
      <c r="X93" s="321"/>
      <c r="Y93" s="321"/>
      <c r="Z93" s="321"/>
      <c r="AA93" s="321"/>
      <c r="AB93" s="321"/>
      <c r="AC93" s="321"/>
      <c r="AD93" s="321"/>
      <c r="AE93" s="321"/>
      <c r="AF93" s="321"/>
      <c r="AG93" s="321"/>
      <c r="AH93" s="321"/>
      <c r="AI93" s="321"/>
      <c r="AJ93" s="321"/>
      <c r="AK93" s="321"/>
      <c r="AL93" s="321"/>
      <c r="AM93" s="321"/>
      <c r="AN93" s="321"/>
      <c r="AO93" s="321"/>
      <c r="AP93" s="321"/>
      <c r="AQ93" s="321"/>
      <c r="AR93" s="321"/>
      <c r="AS93" s="321"/>
      <c r="AT93" s="321"/>
      <c r="AU93" s="321"/>
      <c r="AV93" s="321"/>
      <c r="AW93" s="321"/>
      <c r="AX93" s="321"/>
      <c r="AY93" s="321"/>
      <c r="AZ93" s="321"/>
      <c r="BA93" s="321"/>
      <c r="BB93" s="321"/>
      <c r="BC93" s="321"/>
      <c r="BD93" s="321"/>
      <c r="BE93" s="321"/>
      <c r="BF93" s="321"/>
      <c r="BG93" s="321"/>
      <c r="BH93" s="321"/>
      <c r="BI93" s="321"/>
      <c r="BJ93" s="321"/>
      <c r="BK93" s="321"/>
      <c r="BL93" s="321"/>
      <c r="BM93" s="321"/>
      <c r="BN93" s="321"/>
      <c r="BO93" s="321"/>
      <c r="BP93" s="321"/>
      <c r="BQ93" s="321"/>
      <c r="BR93" s="321"/>
      <c r="BS93" s="321"/>
      <c r="BT93" s="321"/>
      <c r="BU93" s="321"/>
      <c r="BV93" s="321"/>
      <c r="BW93" s="321"/>
      <c r="BX93" s="321"/>
      <c r="BY93" s="321"/>
      <c r="BZ93" s="321"/>
      <c r="CA93" s="321"/>
      <c r="CB93" s="321"/>
      <c r="CC93" s="321"/>
      <c r="CD93" s="321"/>
      <c r="CE93" s="321"/>
      <c r="CF93" s="321"/>
      <c r="CG93" s="321"/>
      <c r="CH93" s="321"/>
      <c r="CI93" s="321"/>
      <c r="CJ93" s="321"/>
      <c r="CK93" s="321"/>
      <c r="CL93" s="321"/>
      <c r="CM93" s="321"/>
      <c r="CN93" s="321"/>
      <c r="CO93" s="321"/>
      <c r="CP93" s="321"/>
      <c r="CQ93" s="321"/>
      <c r="CR93" s="321"/>
      <c r="CS93" s="321"/>
      <c r="CT93" s="321"/>
      <c r="CU93" s="321"/>
      <c r="CV93" s="321"/>
      <c r="CW93" s="321"/>
      <c r="CX93" s="321"/>
      <c r="CY93" s="321"/>
      <c r="CZ93" s="321"/>
      <c r="DA93" s="321"/>
      <c r="DB93" s="321"/>
      <c r="DC93" s="321"/>
      <c r="DD93" s="321"/>
      <c r="DE93" s="321"/>
      <c r="DF93" s="321"/>
      <c r="DG93" s="321"/>
      <c r="DH93" s="321"/>
      <c r="DI93" s="321"/>
      <c r="DJ93" s="321"/>
      <c r="DK93" s="321"/>
      <c r="DL93" s="321"/>
      <c r="DM93" s="321"/>
      <c r="DN93" s="321"/>
      <c r="DO93" s="321"/>
      <c r="DP93" s="321"/>
      <c r="DQ93" s="321"/>
      <c r="DR93" s="321"/>
      <c r="DS93" s="321"/>
      <c r="DT93" s="321"/>
      <c r="DU93" s="321"/>
      <c r="DV93" s="321"/>
      <c r="DW93" s="321"/>
      <c r="DX93" s="321"/>
      <c r="DY93" s="321"/>
      <c r="DZ93" s="321"/>
      <c r="EA93" s="321"/>
      <c r="EB93" s="321"/>
      <c r="EC93" s="321"/>
      <c r="ED93" s="321"/>
      <c r="EE93" s="321"/>
      <c r="EF93" s="321"/>
      <c r="EG93" s="321"/>
      <c r="EH93" s="321"/>
      <c r="EI93" s="321"/>
      <c r="EJ93" s="321"/>
      <c r="EK93" s="321"/>
      <c r="EL93" s="321"/>
      <c r="EM93" s="321"/>
      <c r="EN93" s="321"/>
      <c r="EO93" s="321"/>
      <c r="EP93" s="321"/>
      <c r="EQ93" s="321"/>
      <c r="ER93" s="321"/>
      <c r="ES93" s="321"/>
      <c r="ET93" s="321"/>
      <c r="EU93" s="321"/>
      <c r="EV93" s="321"/>
      <c r="EW93" s="321"/>
      <c r="EX93" s="321"/>
      <c r="EY93" s="321"/>
      <c r="EZ93" s="321"/>
      <c r="FA93" s="321"/>
      <c r="FB93" s="321"/>
      <c r="FC93" s="321"/>
      <c r="FD93" s="321"/>
      <c r="FE93" s="321"/>
      <c r="FF93" s="321"/>
      <c r="FG93" s="321"/>
      <c r="FH93" s="321"/>
      <c r="FI93" s="321"/>
      <c r="FJ93" s="321"/>
      <c r="FK93" s="321"/>
      <c r="FL93" s="321"/>
      <c r="FM93" s="321"/>
      <c r="FN93" s="321"/>
      <c r="FO93" s="321"/>
      <c r="FP93" s="321"/>
      <c r="FQ93" s="321"/>
      <c r="FR93" s="321"/>
      <c r="FS93" s="321"/>
      <c r="FT93" s="321"/>
      <c r="FU93" s="321"/>
      <c r="FV93" s="321"/>
      <c r="FW93" s="321"/>
      <c r="FX93" s="321"/>
      <c r="FY93" s="321"/>
      <c r="FZ93" s="321"/>
      <c r="GA93" s="321"/>
      <c r="GB93" s="321"/>
      <c r="GC93" s="321"/>
      <c r="GD93" s="321"/>
      <c r="GE93" s="321"/>
      <c r="GF93" s="321"/>
      <c r="GG93" s="321"/>
      <c r="GH93" s="321"/>
      <c r="GI93" s="321"/>
      <c r="GJ93" s="321"/>
      <c r="GK93" s="321"/>
      <c r="GL93" s="321"/>
      <c r="GM93" s="321"/>
      <c r="GN93" s="321"/>
      <c r="GO93" s="321"/>
      <c r="GP93" s="321"/>
      <c r="GQ93" s="321"/>
      <c r="GR93" s="321"/>
      <c r="GS93" s="321"/>
      <c r="GT93" s="321"/>
      <c r="GU93" s="321"/>
      <c r="GV93" s="321"/>
      <c r="GW93" s="321"/>
      <c r="GX93" s="321"/>
      <c r="GY93" s="321"/>
      <c r="GZ93" s="321"/>
      <c r="HA93" s="321"/>
      <c r="HB93" s="321"/>
      <c r="HC93" s="321"/>
      <c r="HD93" s="321"/>
      <c r="HE93" s="321"/>
      <c r="HF93" s="321"/>
      <c r="HG93" s="321"/>
      <c r="HH93" s="321"/>
      <c r="HI93" s="321"/>
      <c r="HJ93" s="321"/>
      <c r="HK93" s="321"/>
      <c r="HL93" s="321"/>
      <c r="HM93" s="321"/>
      <c r="HN93" s="321"/>
      <c r="HO93" s="321"/>
      <c r="HP93" s="321"/>
      <c r="HQ93" s="321"/>
      <c r="HR93" s="321"/>
      <c r="HS93" s="321"/>
      <c r="HT93" s="321"/>
      <c r="HU93" s="321"/>
      <c r="HV93" s="321"/>
      <c r="HW93" s="321"/>
      <c r="HX93" s="321"/>
      <c r="HY93" s="321"/>
      <c r="HZ93" s="321"/>
      <c r="IA93" s="321"/>
      <c r="IB93" s="321"/>
      <c r="IC93" s="321"/>
      <c r="ID93" s="321"/>
      <c r="IE93" s="321"/>
      <c r="IF93" s="321"/>
      <c r="IG93" s="321"/>
      <c r="IH93" s="321"/>
      <c r="II93" s="321"/>
      <c r="IJ93" s="321"/>
      <c r="IK93" s="321"/>
      <c r="IL93" s="321"/>
      <c r="IM93" s="321"/>
      <c r="IN93" s="321"/>
      <c r="IO93" s="321"/>
      <c r="IP93" s="321"/>
      <c r="IQ93" s="321"/>
      <c r="IR93" s="321"/>
      <c r="IS93" s="321"/>
      <c r="IT93" s="321"/>
      <c r="IU93" s="321"/>
      <c r="IV93" s="321"/>
    </row>
    <row r="94" spans="1:256" s="546" customFormat="1" ht="18" customHeight="1">
      <c r="A94" s="561">
        <v>86</v>
      </c>
      <c r="B94" s="554"/>
      <c r="C94" s="361"/>
      <c r="D94" s="987" t="s">
        <v>1036</v>
      </c>
      <c r="E94" s="330"/>
      <c r="F94" s="330"/>
      <c r="G94" s="331"/>
      <c r="H94" s="762"/>
      <c r="I94" s="760"/>
      <c r="J94" s="330"/>
      <c r="K94" s="330"/>
      <c r="L94" s="330"/>
      <c r="M94" s="1266">
        <v>0</v>
      </c>
      <c r="N94" s="1151"/>
      <c r="O94" s="1151"/>
      <c r="P94" s="1175">
        <f>SUM(I94:O94)</f>
        <v>0</v>
      </c>
      <c r="Q94" s="551"/>
      <c r="R94" s="321"/>
      <c r="S94" s="321"/>
      <c r="T94" s="321"/>
      <c r="U94" s="321"/>
      <c r="V94" s="321"/>
      <c r="W94" s="321"/>
      <c r="X94" s="321"/>
      <c r="Y94" s="321"/>
      <c r="Z94" s="321"/>
      <c r="AA94" s="321"/>
      <c r="AB94" s="321"/>
      <c r="AC94" s="321"/>
      <c r="AD94" s="321"/>
      <c r="AE94" s="321"/>
      <c r="AF94" s="321"/>
      <c r="AG94" s="321"/>
      <c r="AH94" s="321"/>
      <c r="AI94" s="321"/>
      <c r="AJ94" s="321"/>
      <c r="AK94" s="321"/>
      <c r="AL94" s="321"/>
      <c r="AM94" s="321"/>
      <c r="AN94" s="321"/>
      <c r="AO94" s="321"/>
      <c r="AP94" s="321"/>
      <c r="AQ94" s="321"/>
      <c r="AR94" s="321"/>
      <c r="AS94" s="321"/>
      <c r="AT94" s="321"/>
      <c r="AU94" s="321"/>
      <c r="AV94" s="321"/>
      <c r="AW94" s="321"/>
      <c r="AX94" s="321"/>
      <c r="AY94" s="321"/>
      <c r="AZ94" s="321"/>
      <c r="BA94" s="321"/>
      <c r="BB94" s="321"/>
      <c r="BC94" s="321"/>
      <c r="BD94" s="321"/>
      <c r="BE94" s="321"/>
      <c r="BF94" s="321"/>
      <c r="BG94" s="321"/>
      <c r="BH94" s="321"/>
      <c r="BI94" s="321"/>
      <c r="BJ94" s="321"/>
      <c r="BK94" s="321"/>
      <c r="BL94" s="321"/>
      <c r="BM94" s="321"/>
      <c r="BN94" s="321"/>
      <c r="BO94" s="321"/>
      <c r="BP94" s="321"/>
      <c r="BQ94" s="321"/>
      <c r="BR94" s="321"/>
      <c r="BS94" s="321"/>
      <c r="BT94" s="321"/>
      <c r="BU94" s="321"/>
      <c r="BV94" s="321"/>
      <c r="BW94" s="321"/>
      <c r="BX94" s="321"/>
      <c r="BY94" s="321"/>
      <c r="BZ94" s="321"/>
      <c r="CA94" s="321"/>
      <c r="CB94" s="321"/>
      <c r="CC94" s="321"/>
      <c r="CD94" s="321"/>
      <c r="CE94" s="321"/>
      <c r="CF94" s="321"/>
      <c r="CG94" s="321"/>
      <c r="CH94" s="321"/>
      <c r="CI94" s="321"/>
      <c r="CJ94" s="321"/>
      <c r="CK94" s="321"/>
      <c r="CL94" s="321"/>
      <c r="CM94" s="321"/>
      <c r="CN94" s="321"/>
      <c r="CO94" s="321"/>
      <c r="CP94" s="321"/>
      <c r="CQ94" s="321"/>
      <c r="CR94" s="321"/>
      <c r="CS94" s="321"/>
      <c r="CT94" s="321"/>
      <c r="CU94" s="321"/>
      <c r="CV94" s="321"/>
      <c r="CW94" s="321"/>
      <c r="CX94" s="321"/>
      <c r="CY94" s="321"/>
      <c r="CZ94" s="321"/>
      <c r="DA94" s="321"/>
      <c r="DB94" s="321"/>
      <c r="DC94" s="321"/>
      <c r="DD94" s="321"/>
      <c r="DE94" s="321"/>
      <c r="DF94" s="321"/>
      <c r="DG94" s="321"/>
      <c r="DH94" s="321"/>
      <c r="DI94" s="321"/>
      <c r="DJ94" s="321"/>
      <c r="DK94" s="321"/>
      <c r="DL94" s="321"/>
      <c r="DM94" s="321"/>
      <c r="DN94" s="321"/>
      <c r="DO94" s="321"/>
      <c r="DP94" s="321"/>
      <c r="DQ94" s="321"/>
      <c r="DR94" s="321"/>
      <c r="DS94" s="321"/>
      <c r="DT94" s="321"/>
      <c r="DU94" s="321"/>
      <c r="DV94" s="321"/>
      <c r="DW94" s="321"/>
      <c r="DX94" s="321"/>
      <c r="DY94" s="321"/>
      <c r="DZ94" s="321"/>
      <c r="EA94" s="321"/>
      <c r="EB94" s="321"/>
      <c r="EC94" s="321"/>
      <c r="ED94" s="321"/>
      <c r="EE94" s="321"/>
      <c r="EF94" s="321"/>
      <c r="EG94" s="321"/>
      <c r="EH94" s="321"/>
      <c r="EI94" s="321"/>
      <c r="EJ94" s="321"/>
      <c r="EK94" s="321"/>
      <c r="EL94" s="321"/>
      <c r="EM94" s="321"/>
      <c r="EN94" s="321"/>
      <c r="EO94" s="321"/>
      <c r="EP94" s="321"/>
      <c r="EQ94" s="321"/>
      <c r="ER94" s="321"/>
      <c r="ES94" s="321"/>
      <c r="ET94" s="321"/>
      <c r="EU94" s="321"/>
      <c r="EV94" s="321"/>
      <c r="EW94" s="321"/>
      <c r="EX94" s="321"/>
      <c r="EY94" s="321"/>
      <c r="EZ94" s="321"/>
      <c r="FA94" s="321"/>
      <c r="FB94" s="321"/>
      <c r="FC94" s="321"/>
      <c r="FD94" s="321"/>
      <c r="FE94" s="321"/>
      <c r="FF94" s="321"/>
      <c r="FG94" s="321"/>
      <c r="FH94" s="321"/>
      <c r="FI94" s="321"/>
      <c r="FJ94" s="321"/>
      <c r="FK94" s="321"/>
      <c r="FL94" s="321"/>
      <c r="FM94" s="321"/>
      <c r="FN94" s="321"/>
      <c r="FO94" s="321"/>
      <c r="FP94" s="321"/>
      <c r="FQ94" s="321"/>
      <c r="FR94" s="321"/>
      <c r="FS94" s="321"/>
      <c r="FT94" s="321"/>
      <c r="FU94" s="321"/>
      <c r="FV94" s="321"/>
      <c r="FW94" s="321"/>
      <c r="FX94" s="321"/>
      <c r="FY94" s="321"/>
      <c r="FZ94" s="321"/>
      <c r="GA94" s="321"/>
      <c r="GB94" s="321"/>
      <c r="GC94" s="321"/>
      <c r="GD94" s="321"/>
      <c r="GE94" s="321"/>
      <c r="GF94" s="321"/>
      <c r="GG94" s="321"/>
      <c r="GH94" s="321"/>
      <c r="GI94" s="321"/>
      <c r="GJ94" s="321"/>
      <c r="GK94" s="321"/>
      <c r="GL94" s="321"/>
      <c r="GM94" s="321"/>
      <c r="GN94" s="321"/>
      <c r="GO94" s="321"/>
      <c r="GP94" s="321"/>
      <c r="GQ94" s="321"/>
      <c r="GR94" s="321"/>
      <c r="GS94" s="321"/>
      <c r="GT94" s="321"/>
      <c r="GU94" s="321"/>
      <c r="GV94" s="321"/>
      <c r="GW94" s="321"/>
      <c r="GX94" s="321"/>
      <c r="GY94" s="321"/>
      <c r="GZ94" s="321"/>
      <c r="HA94" s="321"/>
      <c r="HB94" s="321"/>
      <c r="HC94" s="321"/>
      <c r="HD94" s="321"/>
      <c r="HE94" s="321"/>
      <c r="HF94" s="321"/>
      <c r="HG94" s="321"/>
      <c r="HH94" s="321"/>
      <c r="HI94" s="321"/>
      <c r="HJ94" s="321"/>
      <c r="HK94" s="321"/>
      <c r="HL94" s="321"/>
      <c r="HM94" s="321"/>
      <c r="HN94" s="321"/>
      <c r="HO94" s="321"/>
      <c r="HP94" s="321"/>
      <c r="HQ94" s="321"/>
      <c r="HR94" s="321"/>
      <c r="HS94" s="321"/>
      <c r="HT94" s="321"/>
      <c r="HU94" s="321"/>
      <c r="HV94" s="321"/>
      <c r="HW94" s="321"/>
      <c r="HX94" s="321"/>
      <c r="HY94" s="321"/>
      <c r="HZ94" s="321"/>
      <c r="IA94" s="321"/>
      <c r="IB94" s="321"/>
      <c r="IC94" s="321"/>
      <c r="ID94" s="321"/>
      <c r="IE94" s="321"/>
      <c r="IF94" s="321"/>
      <c r="IG94" s="321"/>
      <c r="IH94" s="321"/>
      <c r="II94" s="321"/>
      <c r="IJ94" s="321"/>
      <c r="IK94" s="321"/>
      <c r="IL94" s="321"/>
      <c r="IM94" s="321"/>
      <c r="IN94" s="321"/>
      <c r="IO94" s="321"/>
      <c r="IP94" s="321"/>
      <c r="IQ94" s="321"/>
      <c r="IR94" s="321"/>
      <c r="IS94" s="321"/>
      <c r="IT94" s="321"/>
      <c r="IU94" s="321"/>
      <c r="IV94" s="321"/>
    </row>
    <row r="95" spans="1:17" ht="22.5" customHeight="1">
      <c r="A95" s="561">
        <v>87</v>
      </c>
      <c r="B95" s="455"/>
      <c r="C95" s="361"/>
      <c r="D95" s="549" t="s">
        <v>629</v>
      </c>
      <c r="E95" s="330"/>
      <c r="F95" s="330"/>
      <c r="G95" s="331"/>
      <c r="H95" s="762"/>
      <c r="I95" s="760"/>
      <c r="J95" s="330"/>
      <c r="K95" s="330"/>
      <c r="L95" s="330"/>
      <c r="M95" s="330"/>
      <c r="N95" s="330"/>
      <c r="O95" s="330"/>
      <c r="P95" s="1440"/>
      <c r="Q95" s="551"/>
    </row>
    <row r="96" spans="1:256" s="546" customFormat="1" ht="18" customHeight="1">
      <c r="A96" s="561">
        <v>88</v>
      </c>
      <c r="B96" s="554"/>
      <c r="C96" s="361"/>
      <c r="D96" s="755" t="s">
        <v>303</v>
      </c>
      <c r="E96" s="330"/>
      <c r="F96" s="550"/>
      <c r="G96" s="331"/>
      <c r="H96" s="762"/>
      <c r="I96" s="758"/>
      <c r="J96" s="547"/>
      <c r="K96" s="547"/>
      <c r="L96" s="547"/>
      <c r="M96" s="752">
        <v>10000</v>
      </c>
      <c r="N96" s="547"/>
      <c r="O96" s="547"/>
      <c r="P96" s="745">
        <f>SUM(I96:O96)</f>
        <v>10000</v>
      </c>
      <c r="Q96" s="551"/>
      <c r="R96" s="321"/>
      <c r="S96" s="321"/>
      <c r="T96" s="321"/>
      <c r="U96" s="321"/>
      <c r="V96" s="321"/>
      <c r="W96" s="321"/>
      <c r="X96" s="321"/>
      <c r="Y96" s="321"/>
      <c r="Z96" s="321"/>
      <c r="AA96" s="321"/>
      <c r="AB96" s="321"/>
      <c r="AC96" s="321"/>
      <c r="AD96" s="321"/>
      <c r="AE96" s="321"/>
      <c r="AF96" s="321"/>
      <c r="AG96" s="321"/>
      <c r="AH96" s="321"/>
      <c r="AI96" s="321"/>
      <c r="AJ96" s="321"/>
      <c r="AK96" s="321"/>
      <c r="AL96" s="321"/>
      <c r="AM96" s="321"/>
      <c r="AN96" s="321"/>
      <c r="AO96" s="321"/>
      <c r="AP96" s="321"/>
      <c r="AQ96" s="321"/>
      <c r="AR96" s="321"/>
      <c r="AS96" s="321"/>
      <c r="AT96" s="321"/>
      <c r="AU96" s="321"/>
      <c r="AV96" s="321"/>
      <c r="AW96" s="321"/>
      <c r="AX96" s="321"/>
      <c r="AY96" s="321"/>
      <c r="AZ96" s="321"/>
      <c r="BA96" s="321"/>
      <c r="BB96" s="321"/>
      <c r="BC96" s="321"/>
      <c r="BD96" s="321"/>
      <c r="BE96" s="321"/>
      <c r="BF96" s="321"/>
      <c r="BG96" s="321"/>
      <c r="BH96" s="321"/>
      <c r="BI96" s="321"/>
      <c r="BJ96" s="321"/>
      <c r="BK96" s="321"/>
      <c r="BL96" s="321"/>
      <c r="BM96" s="321"/>
      <c r="BN96" s="321"/>
      <c r="BO96" s="321"/>
      <c r="BP96" s="321"/>
      <c r="BQ96" s="321"/>
      <c r="BR96" s="321"/>
      <c r="BS96" s="321"/>
      <c r="BT96" s="321"/>
      <c r="BU96" s="321"/>
      <c r="BV96" s="321"/>
      <c r="BW96" s="321"/>
      <c r="BX96" s="321"/>
      <c r="BY96" s="321"/>
      <c r="BZ96" s="321"/>
      <c r="CA96" s="321"/>
      <c r="CB96" s="321"/>
      <c r="CC96" s="321"/>
      <c r="CD96" s="321"/>
      <c r="CE96" s="321"/>
      <c r="CF96" s="321"/>
      <c r="CG96" s="321"/>
      <c r="CH96" s="321"/>
      <c r="CI96" s="321"/>
      <c r="CJ96" s="321"/>
      <c r="CK96" s="321"/>
      <c r="CL96" s="321"/>
      <c r="CM96" s="321"/>
      <c r="CN96" s="321"/>
      <c r="CO96" s="321"/>
      <c r="CP96" s="321"/>
      <c r="CQ96" s="321"/>
      <c r="CR96" s="321"/>
      <c r="CS96" s="321"/>
      <c r="CT96" s="321"/>
      <c r="CU96" s="321"/>
      <c r="CV96" s="321"/>
      <c r="CW96" s="321"/>
      <c r="CX96" s="321"/>
      <c r="CY96" s="321"/>
      <c r="CZ96" s="321"/>
      <c r="DA96" s="321"/>
      <c r="DB96" s="321"/>
      <c r="DC96" s="321"/>
      <c r="DD96" s="321"/>
      <c r="DE96" s="321"/>
      <c r="DF96" s="321"/>
      <c r="DG96" s="321"/>
      <c r="DH96" s="321"/>
      <c r="DI96" s="321"/>
      <c r="DJ96" s="321"/>
      <c r="DK96" s="321"/>
      <c r="DL96" s="321"/>
      <c r="DM96" s="321"/>
      <c r="DN96" s="321"/>
      <c r="DO96" s="321"/>
      <c r="DP96" s="321"/>
      <c r="DQ96" s="321"/>
      <c r="DR96" s="321"/>
      <c r="DS96" s="321"/>
      <c r="DT96" s="321"/>
      <c r="DU96" s="321"/>
      <c r="DV96" s="321"/>
      <c r="DW96" s="321"/>
      <c r="DX96" s="321"/>
      <c r="DY96" s="321"/>
      <c r="DZ96" s="321"/>
      <c r="EA96" s="321"/>
      <c r="EB96" s="321"/>
      <c r="EC96" s="321"/>
      <c r="ED96" s="321"/>
      <c r="EE96" s="321"/>
      <c r="EF96" s="321"/>
      <c r="EG96" s="321"/>
      <c r="EH96" s="321"/>
      <c r="EI96" s="321"/>
      <c r="EJ96" s="321"/>
      <c r="EK96" s="321"/>
      <c r="EL96" s="321"/>
      <c r="EM96" s="321"/>
      <c r="EN96" s="321"/>
      <c r="EO96" s="321"/>
      <c r="EP96" s="321"/>
      <c r="EQ96" s="321"/>
      <c r="ER96" s="321"/>
      <c r="ES96" s="321"/>
      <c r="ET96" s="321"/>
      <c r="EU96" s="321"/>
      <c r="EV96" s="321"/>
      <c r="EW96" s="321"/>
      <c r="EX96" s="321"/>
      <c r="EY96" s="321"/>
      <c r="EZ96" s="321"/>
      <c r="FA96" s="321"/>
      <c r="FB96" s="321"/>
      <c r="FC96" s="321"/>
      <c r="FD96" s="321"/>
      <c r="FE96" s="321"/>
      <c r="FF96" s="321"/>
      <c r="FG96" s="321"/>
      <c r="FH96" s="321"/>
      <c r="FI96" s="321"/>
      <c r="FJ96" s="321"/>
      <c r="FK96" s="321"/>
      <c r="FL96" s="321"/>
      <c r="FM96" s="321"/>
      <c r="FN96" s="321"/>
      <c r="FO96" s="321"/>
      <c r="FP96" s="321"/>
      <c r="FQ96" s="321"/>
      <c r="FR96" s="321"/>
      <c r="FS96" s="321"/>
      <c r="FT96" s="321"/>
      <c r="FU96" s="321"/>
      <c r="FV96" s="321"/>
      <c r="FW96" s="321"/>
      <c r="FX96" s="321"/>
      <c r="FY96" s="321"/>
      <c r="FZ96" s="321"/>
      <c r="GA96" s="321"/>
      <c r="GB96" s="321"/>
      <c r="GC96" s="321"/>
      <c r="GD96" s="321"/>
      <c r="GE96" s="321"/>
      <c r="GF96" s="321"/>
      <c r="GG96" s="321"/>
      <c r="GH96" s="321"/>
      <c r="GI96" s="321"/>
      <c r="GJ96" s="321"/>
      <c r="GK96" s="321"/>
      <c r="GL96" s="321"/>
      <c r="GM96" s="321"/>
      <c r="GN96" s="321"/>
      <c r="GO96" s="321"/>
      <c r="GP96" s="321"/>
      <c r="GQ96" s="321"/>
      <c r="GR96" s="321"/>
      <c r="GS96" s="321"/>
      <c r="GT96" s="321"/>
      <c r="GU96" s="321"/>
      <c r="GV96" s="321"/>
      <c r="GW96" s="321"/>
      <c r="GX96" s="321"/>
      <c r="GY96" s="321"/>
      <c r="GZ96" s="321"/>
      <c r="HA96" s="321"/>
      <c r="HB96" s="321"/>
      <c r="HC96" s="321"/>
      <c r="HD96" s="321"/>
      <c r="HE96" s="321"/>
      <c r="HF96" s="321"/>
      <c r="HG96" s="321"/>
      <c r="HH96" s="321"/>
      <c r="HI96" s="321"/>
      <c r="HJ96" s="321"/>
      <c r="HK96" s="321"/>
      <c r="HL96" s="321"/>
      <c r="HM96" s="321"/>
      <c r="HN96" s="321"/>
      <c r="HO96" s="321"/>
      <c r="HP96" s="321"/>
      <c r="HQ96" s="321"/>
      <c r="HR96" s="321"/>
      <c r="HS96" s="321"/>
      <c r="HT96" s="321"/>
      <c r="HU96" s="321"/>
      <c r="HV96" s="321"/>
      <c r="HW96" s="321"/>
      <c r="HX96" s="321"/>
      <c r="HY96" s="321"/>
      <c r="HZ96" s="321"/>
      <c r="IA96" s="321"/>
      <c r="IB96" s="321"/>
      <c r="IC96" s="321"/>
      <c r="ID96" s="321"/>
      <c r="IE96" s="321"/>
      <c r="IF96" s="321"/>
      <c r="IG96" s="321"/>
      <c r="IH96" s="321"/>
      <c r="II96" s="321"/>
      <c r="IJ96" s="321"/>
      <c r="IK96" s="321"/>
      <c r="IL96" s="321"/>
      <c r="IM96" s="321"/>
      <c r="IN96" s="321"/>
      <c r="IO96" s="321"/>
      <c r="IP96" s="321"/>
      <c r="IQ96" s="321"/>
      <c r="IR96" s="321"/>
      <c r="IS96" s="321"/>
      <c r="IT96" s="321"/>
      <c r="IU96" s="321"/>
      <c r="IV96" s="321"/>
    </row>
    <row r="97" spans="1:256" s="546" customFormat="1" ht="18" customHeight="1">
      <c r="A97" s="561">
        <v>89</v>
      </c>
      <c r="B97" s="554"/>
      <c r="C97" s="361"/>
      <c r="D97" s="436" t="s">
        <v>994</v>
      </c>
      <c r="E97" s="330"/>
      <c r="F97" s="550"/>
      <c r="G97" s="331"/>
      <c r="H97" s="762"/>
      <c r="I97" s="758"/>
      <c r="J97" s="547"/>
      <c r="K97" s="547"/>
      <c r="L97" s="547"/>
      <c r="M97" s="1131">
        <v>0</v>
      </c>
      <c r="N97" s="547"/>
      <c r="O97" s="547"/>
      <c r="P97" s="555">
        <f>SUM(I97:O97)</f>
        <v>0</v>
      </c>
      <c r="Q97" s="551"/>
      <c r="R97" s="321"/>
      <c r="S97" s="321"/>
      <c r="T97" s="321"/>
      <c r="U97" s="321"/>
      <c r="V97" s="321"/>
      <c r="W97" s="321"/>
      <c r="X97" s="321"/>
      <c r="Y97" s="321"/>
      <c r="Z97" s="321"/>
      <c r="AA97" s="321"/>
      <c r="AB97" s="321"/>
      <c r="AC97" s="321"/>
      <c r="AD97" s="321"/>
      <c r="AE97" s="321"/>
      <c r="AF97" s="321"/>
      <c r="AG97" s="321"/>
      <c r="AH97" s="321"/>
      <c r="AI97" s="321"/>
      <c r="AJ97" s="321"/>
      <c r="AK97" s="321"/>
      <c r="AL97" s="321"/>
      <c r="AM97" s="321"/>
      <c r="AN97" s="321"/>
      <c r="AO97" s="321"/>
      <c r="AP97" s="321"/>
      <c r="AQ97" s="321"/>
      <c r="AR97" s="321"/>
      <c r="AS97" s="321"/>
      <c r="AT97" s="321"/>
      <c r="AU97" s="321"/>
      <c r="AV97" s="321"/>
      <c r="AW97" s="321"/>
      <c r="AX97" s="321"/>
      <c r="AY97" s="321"/>
      <c r="AZ97" s="321"/>
      <c r="BA97" s="321"/>
      <c r="BB97" s="321"/>
      <c r="BC97" s="321"/>
      <c r="BD97" s="321"/>
      <c r="BE97" s="321"/>
      <c r="BF97" s="321"/>
      <c r="BG97" s="321"/>
      <c r="BH97" s="321"/>
      <c r="BI97" s="321"/>
      <c r="BJ97" s="321"/>
      <c r="BK97" s="321"/>
      <c r="BL97" s="321"/>
      <c r="BM97" s="321"/>
      <c r="BN97" s="321"/>
      <c r="BO97" s="321"/>
      <c r="BP97" s="321"/>
      <c r="BQ97" s="321"/>
      <c r="BR97" s="321"/>
      <c r="BS97" s="321"/>
      <c r="BT97" s="321"/>
      <c r="BU97" s="321"/>
      <c r="BV97" s="321"/>
      <c r="BW97" s="321"/>
      <c r="BX97" s="321"/>
      <c r="BY97" s="321"/>
      <c r="BZ97" s="321"/>
      <c r="CA97" s="321"/>
      <c r="CB97" s="321"/>
      <c r="CC97" s="321"/>
      <c r="CD97" s="321"/>
      <c r="CE97" s="321"/>
      <c r="CF97" s="321"/>
      <c r="CG97" s="321"/>
      <c r="CH97" s="321"/>
      <c r="CI97" s="321"/>
      <c r="CJ97" s="321"/>
      <c r="CK97" s="321"/>
      <c r="CL97" s="321"/>
      <c r="CM97" s="321"/>
      <c r="CN97" s="321"/>
      <c r="CO97" s="321"/>
      <c r="CP97" s="321"/>
      <c r="CQ97" s="321"/>
      <c r="CR97" s="321"/>
      <c r="CS97" s="321"/>
      <c r="CT97" s="321"/>
      <c r="CU97" s="321"/>
      <c r="CV97" s="321"/>
      <c r="CW97" s="321"/>
      <c r="CX97" s="321"/>
      <c r="CY97" s="321"/>
      <c r="CZ97" s="321"/>
      <c r="DA97" s="321"/>
      <c r="DB97" s="321"/>
      <c r="DC97" s="321"/>
      <c r="DD97" s="321"/>
      <c r="DE97" s="321"/>
      <c r="DF97" s="321"/>
      <c r="DG97" s="321"/>
      <c r="DH97" s="321"/>
      <c r="DI97" s="321"/>
      <c r="DJ97" s="321"/>
      <c r="DK97" s="321"/>
      <c r="DL97" s="321"/>
      <c r="DM97" s="321"/>
      <c r="DN97" s="321"/>
      <c r="DO97" s="321"/>
      <c r="DP97" s="321"/>
      <c r="DQ97" s="321"/>
      <c r="DR97" s="321"/>
      <c r="DS97" s="321"/>
      <c r="DT97" s="321"/>
      <c r="DU97" s="321"/>
      <c r="DV97" s="321"/>
      <c r="DW97" s="321"/>
      <c r="DX97" s="321"/>
      <c r="DY97" s="321"/>
      <c r="DZ97" s="321"/>
      <c r="EA97" s="321"/>
      <c r="EB97" s="321"/>
      <c r="EC97" s="321"/>
      <c r="ED97" s="321"/>
      <c r="EE97" s="321"/>
      <c r="EF97" s="321"/>
      <c r="EG97" s="321"/>
      <c r="EH97" s="321"/>
      <c r="EI97" s="321"/>
      <c r="EJ97" s="321"/>
      <c r="EK97" s="321"/>
      <c r="EL97" s="321"/>
      <c r="EM97" s="321"/>
      <c r="EN97" s="321"/>
      <c r="EO97" s="321"/>
      <c r="EP97" s="321"/>
      <c r="EQ97" s="321"/>
      <c r="ER97" s="321"/>
      <c r="ES97" s="321"/>
      <c r="ET97" s="321"/>
      <c r="EU97" s="321"/>
      <c r="EV97" s="321"/>
      <c r="EW97" s="321"/>
      <c r="EX97" s="321"/>
      <c r="EY97" s="321"/>
      <c r="EZ97" s="321"/>
      <c r="FA97" s="321"/>
      <c r="FB97" s="321"/>
      <c r="FC97" s="321"/>
      <c r="FD97" s="321"/>
      <c r="FE97" s="321"/>
      <c r="FF97" s="321"/>
      <c r="FG97" s="321"/>
      <c r="FH97" s="321"/>
      <c r="FI97" s="321"/>
      <c r="FJ97" s="321"/>
      <c r="FK97" s="321"/>
      <c r="FL97" s="321"/>
      <c r="FM97" s="321"/>
      <c r="FN97" s="321"/>
      <c r="FO97" s="321"/>
      <c r="FP97" s="321"/>
      <c r="FQ97" s="321"/>
      <c r="FR97" s="321"/>
      <c r="FS97" s="321"/>
      <c r="FT97" s="321"/>
      <c r="FU97" s="321"/>
      <c r="FV97" s="321"/>
      <c r="FW97" s="321"/>
      <c r="FX97" s="321"/>
      <c r="FY97" s="321"/>
      <c r="FZ97" s="321"/>
      <c r="GA97" s="321"/>
      <c r="GB97" s="321"/>
      <c r="GC97" s="321"/>
      <c r="GD97" s="321"/>
      <c r="GE97" s="321"/>
      <c r="GF97" s="321"/>
      <c r="GG97" s="321"/>
      <c r="GH97" s="321"/>
      <c r="GI97" s="321"/>
      <c r="GJ97" s="321"/>
      <c r="GK97" s="321"/>
      <c r="GL97" s="321"/>
      <c r="GM97" s="321"/>
      <c r="GN97" s="321"/>
      <c r="GO97" s="321"/>
      <c r="GP97" s="321"/>
      <c r="GQ97" s="321"/>
      <c r="GR97" s="321"/>
      <c r="GS97" s="321"/>
      <c r="GT97" s="321"/>
      <c r="GU97" s="321"/>
      <c r="GV97" s="321"/>
      <c r="GW97" s="321"/>
      <c r="GX97" s="321"/>
      <c r="GY97" s="321"/>
      <c r="GZ97" s="321"/>
      <c r="HA97" s="321"/>
      <c r="HB97" s="321"/>
      <c r="HC97" s="321"/>
      <c r="HD97" s="321"/>
      <c r="HE97" s="321"/>
      <c r="HF97" s="321"/>
      <c r="HG97" s="321"/>
      <c r="HH97" s="321"/>
      <c r="HI97" s="321"/>
      <c r="HJ97" s="321"/>
      <c r="HK97" s="321"/>
      <c r="HL97" s="321"/>
      <c r="HM97" s="321"/>
      <c r="HN97" s="321"/>
      <c r="HO97" s="321"/>
      <c r="HP97" s="321"/>
      <c r="HQ97" s="321"/>
      <c r="HR97" s="321"/>
      <c r="HS97" s="321"/>
      <c r="HT97" s="321"/>
      <c r="HU97" s="321"/>
      <c r="HV97" s="321"/>
      <c r="HW97" s="321"/>
      <c r="HX97" s="321"/>
      <c r="HY97" s="321"/>
      <c r="HZ97" s="321"/>
      <c r="IA97" s="321"/>
      <c r="IB97" s="321"/>
      <c r="IC97" s="321"/>
      <c r="ID97" s="321"/>
      <c r="IE97" s="321"/>
      <c r="IF97" s="321"/>
      <c r="IG97" s="321"/>
      <c r="IH97" s="321"/>
      <c r="II97" s="321"/>
      <c r="IJ97" s="321"/>
      <c r="IK97" s="321"/>
      <c r="IL97" s="321"/>
      <c r="IM97" s="321"/>
      <c r="IN97" s="321"/>
      <c r="IO97" s="321"/>
      <c r="IP97" s="321"/>
      <c r="IQ97" s="321"/>
      <c r="IR97" s="321"/>
      <c r="IS97" s="321"/>
      <c r="IT97" s="321"/>
      <c r="IU97" s="321"/>
      <c r="IV97" s="321"/>
    </row>
    <row r="98" spans="1:256" s="546" customFormat="1" ht="18" customHeight="1">
      <c r="A98" s="561">
        <v>90</v>
      </c>
      <c r="B98" s="554"/>
      <c r="C98" s="361"/>
      <c r="D98" s="987" t="s">
        <v>1036</v>
      </c>
      <c r="E98" s="330"/>
      <c r="F98" s="550"/>
      <c r="G98" s="331"/>
      <c r="H98" s="762"/>
      <c r="I98" s="758"/>
      <c r="J98" s="547"/>
      <c r="K98" s="547"/>
      <c r="L98" s="547"/>
      <c r="M98" s="547"/>
      <c r="N98" s="547"/>
      <c r="O98" s="547"/>
      <c r="P98" s="1993">
        <f>SUM(I98:O98)</f>
        <v>0</v>
      </c>
      <c r="Q98" s="551"/>
      <c r="R98" s="321"/>
      <c r="S98" s="321"/>
      <c r="T98" s="321"/>
      <c r="U98" s="321"/>
      <c r="V98" s="321"/>
      <c r="W98" s="321"/>
      <c r="X98" s="321"/>
      <c r="Y98" s="321"/>
      <c r="Z98" s="321"/>
      <c r="AA98" s="321"/>
      <c r="AB98" s="321"/>
      <c r="AC98" s="321"/>
      <c r="AD98" s="321"/>
      <c r="AE98" s="321"/>
      <c r="AF98" s="321"/>
      <c r="AG98" s="321"/>
      <c r="AH98" s="321"/>
      <c r="AI98" s="321"/>
      <c r="AJ98" s="321"/>
      <c r="AK98" s="321"/>
      <c r="AL98" s="321"/>
      <c r="AM98" s="321"/>
      <c r="AN98" s="321"/>
      <c r="AO98" s="321"/>
      <c r="AP98" s="321"/>
      <c r="AQ98" s="321"/>
      <c r="AR98" s="321"/>
      <c r="AS98" s="321"/>
      <c r="AT98" s="321"/>
      <c r="AU98" s="321"/>
      <c r="AV98" s="321"/>
      <c r="AW98" s="321"/>
      <c r="AX98" s="321"/>
      <c r="AY98" s="321"/>
      <c r="AZ98" s="321"/>
      <c r="BA98" s="321"/>
      <c r="BB98" s="321"/>
      <c r="BC98" s="321"/>
      <c r="BD98" s="321"/>
      <c r="BE98" s="321"/>
      <c r="BF98" s="321"/>
      <c r="BG98" s="321"/>
      <c r="BH98" s="321"/>
      <c r="BI98" s="321"/>
      <c r="BJ98" s="321"/>
      <c r="BK98" s="321"/>
      <c r="BL98" s="321"/>
      <c r="BM98" s="321"/>
      <c r="BN98" s="321"/>
      <c r="BO98" s="321"/>
      <c r="BP98" s="321"/>
      <c r="BQ98" s="321"/>
      <c r="BR98" s="321"/>
      <c r="BS98" s="321"/>
      <c r="BT98" s="321"/>
      <c r="BU98" s="321"/>
      <c r="BV98" s="321"/>
      <c r="BW98" s="321"/>
      <c r="BX98" s="321"/>
      <c r="BY98" s="321"/>
      <c r="BZ98" s="321"/>
      <c r="CA98" s="321"/>
      <c r="CB98" s="321"/>
      <c r="CC98" s="321"/>
      <c r="CD98" s="321"/>
      <c r="CE98" s="321"/>
      <c r="CF98" s="321"/>
      <c r="CG98" s="321"/>
      <c r="CH98" s="321"/>
      <c r="CI98" s="321"/>
      <c r="CJ98" s="321"/>
      <c r="CK98" s="321"/>
      <c r="CL98" s="321"/>
      <c r="CM98" s="321"/>
      <c r="CN98" s="321"/>
      <c r="CO98" s="321"/>
      <c r="CP98" s="321"/>
      <c r="CQ98" s="321"/>
      <c r="CR98" s="321"/>
      <c r="CS98" s="321"/>
      <c r="CT98" s="321"/>
      <c r="CU98" s="321"/>
      <c r="CV98" s="321"/>
      <c r="CW98" s="321"/>
      <c r="CX98" s="321"/>
      <c r="CY98" s="321"/>
      <c r="CZ98" s="321"/>
      <c r="DA98" s="321"/>
      <c r="DB98" s="321"/>
      <c r="DC98" s="321"/>
      <c r="DD98" s="321"/>
      <c r="DE98" s="321"/>
      <c r="DF98" s="321"/>
      <c r="DG98" s="321"/>
      <c r="DH98" s="321"/>
      <c r="DI98" s="321"/>
      <c r="DJ98" s="321"/>
      <c r="DK98" s="321"/>
      <c r="DL98" s="321"/>
      <c r="DM98" s="321"/>
      <c r="DN98" s="321"/>
      <c r="DO98" s="321"/>
      <c r="DP98" s="321"/>
      <c r="DQ98" s="321"/>
      <c r="DR98" s="321"/>
      <c r="DS98" s="321"/>
      <c r="DT98" s="321"/>
      <c r="DU98" s="321"/>
      <c r="DV98" s="321"/>
      <c r="DW98" s="321"/>
      <c r="DX98" s="321"/>
      <c r="DY98" s="321"/>
      <c r="DZ98" s="321"/>
      <c r="EA98" s="321"/>
      <c r="EB98" s="321"/>
      <c r="EC98" s="321"/>
      <c r="ED98" s="321"/>
      <c r="EE98" s="321"/>
      <c r="EF98" s="321"/>
      <c r="EG98" s="321"/>
      <c r="EH98" s="321"/>
      <c r="EI98" s="321"/>
      <c r="EJ98" s="321"/>
      <c r="EK98" s="321"/>
      <c r="EL98" s="321"/>
      <c r="EM98" s="321"/>
      <c r="EN98" s="321"/>
      <c r="EO98" s="321"/>
      <c r="EP98" s="321"/>
      <c r="EQ98" s="321"/>
      <c r="ER98" s="321"/>
      <c r="ES98" s="321"/>
      <c r="ET98" s="321"/>
      <c r="EU98" s="321"/>
      <c r="EV98" s="321"/>
      <c r="EW98" s="321"/>
      <c r="EX98" s="321"/>
      <c r="EY98" s="321"/>
      <c r="EZ98" s="321"/>
      <c r="FA98" s="321"/>
      <c r="FB98" s="321"/>
      <c r="FC98" s="321"/>
      <c r="FD98" s="321"/>
      <c r="FE98" s="321"/>
      <c r="FF98" s="321"/>
      <c r="FG98" s="321"/>
      <c r="FH98" s="321"/>
      <c r="FI98" s="321"/>
      <c r="FJ98" s="321"/>
      <c r="FK98" s="321"/>
      <c r="FL98" s="321"/>
      <c r="FM98" s="321"/>
      <c r="FN98" s="321"/>
      <c r="FO98" s="321"/>
      <c r="FP98" s="321"/>
      <c r="FQ98" s="321"/>
      <c r="FR98" s="321"/>
      <c r="FS98" s="321"/>
      <c r="FT98" s="321"/>
      <c r="FU98" s="321"/>
      <c r="FV98" s="321"/>
      <c r="FW98" s="321"/>
      <c r="FX98" s="321"/>
      <c r="FY98" s="321"/>
      <c r="FZ98" s="321"/>
      <c r="GA98" s="321"/>
      <c r="GB98" s="321"/>
      <c r="GC98" s="321"/>
      <c r="GD98" s="321"/>
      <c r="GE98" s="321"/>
      <c r="GF98" s="321"/>
      <c r="GG98" s="321"/>
      <c r="GH98" s="321"/>
      <c r="GI98" s="321"/>
      <c r="GJ98" s="321"/>
      <c r="GK98" s="321"/>
      <c r="GL98" s="321"/>
      <c r="GM98" s="321"/>
      <c r="GN98" s="321"/>
      <c r="GO98" s="321"/>
      <c r="GP98" s="321"/>
      <c r="GQ98" s="321"/>
      <c r="GR98" s="321"/>
      <c r="GS98" s="321"/>
      <c r="GT98" s="321"/>
      <c r="GU98" s="321"/>
      <c r="GV98" s="321"/>
      <c r="GW98" s="321"/>
      <c r="GX98" s="321"/>
      <c r="GY98" s="321"/>
      <c r="GZ98" s="321"/>
      <c r="HA98" s="321"/>
      <c r="HB98" s="321"/>
      <c r="HC98" s="321"/>
      <c r="HD98" s="321"/>
      <c r="HE98" s="321"/>
      <c r="HF98" s="321"/>
      <c r="HG98" s="321"/>
      <c r="HH98" s="321"/>
      <c r="HI98" s="321"/>
      <c r="HJ98" s="321"/>
      <c r="HK98" s="321"/>
      <c r="HL98" s="321"/>
      <c r="HM98" s="321"/>
      <c r="HN98" s="321"/>
      <c r="HO98" s="321"/>
      <c r="HP98" s="321"/>
      <c r="HQ98" s="321"/>
      <c r="HR98" s="321"/>
      <c r="HS98" s="321"/>
      <c r="HT98" s="321"/>
      <c r="HU98" s="321"/>
      <c r="HV98" s="321"/>
      <c r="HW98" s="321"/>
      <c r="HX98" s="321"/>
      <c r="HY98" s="321"/>
      <c r="HZ98" s="321"/>
      <c r="IA98" s="321"/>
      <c r="IB98" s="321"/>
      <c r="IC98" s="321"/>
      <c r="ID98" s="321"/>
      <c r="IE98" s="321"/>
      <c r="IF98" s="321"/>
      <c r="IG98" s="321"/>
      <c r="IH98" s="321"/>
      <c r="II98" s="321"/>
      <c r="IJ98" s="321"/>
      <c r="IK98" s="321"/>
      <c r="IL98" s="321"/>
      <c r="IM98" s="321"/>
      <c r="IN98" s="321"/>
      <c r="IO98" s="321"/>
      <c r="IP98" s="321"/>
      <c r="IQ98" s="321"/>
      <c r="IR98" s="321"/>
      <c r="IS98" s="321"/>
      <c r="IT98" s="321"/>
      <c r="IU98" s="321"/>
      <c r="IV98" s="321"/>
    </row>
    <row r="99" spans="1:17" ht="22.5" customHeight="1">
      <c r="A99" s="561">
        <v>91</v>
      </c>
      <c r="B99" s="455"/>
      <c r="C99" s="361"/>
      <c r="D99" s="559" t="s">
        <v>789</v>
      </c>
      <c r="E99" s="330"/>
      <c r="F99" s="550"/>
      <c r="G99" s="331"/>
      <c r="H99" s="762"/>
      <c r="I99" s="758"/>
      <c r="J99" s="547"/>
      <c r="K99" s="547"/>
      <c r="L99" s="547"/>
      <c r="M99" s="773"/>
      <c r="N99" s="547"/>
      <c r="O99" s="547"/>
      <c r="P99" s="555"/>
      <c r="Q99" s="551"/>
    </row>
    <row r="100" spans="1:256" s="546" customFormat="1" ht="18" customHeight="1">
      <c r="A100" s="561">
        <v>92</v>
      </c>
      <c r="B100" s="554"/>
      <c r="C100" s="322"/>
      <c r="D100" s="755" t="s">
        <v>303</v>
      </c>
      <c r="E100" s="330"/>
      <c r="F100" s="550"/>
      <c r="G100" s="331"/>
      <c r="H100" s="762"/>
      <c r="I100" s="758"/>
      <c r="J100" s="547"/>
      <c r="K100" s="547"/>
      <c r="L100" s="547"/>
      <c r="M100" s="752">
        <v>8200</v>
      </c>
      <c r="N100" s="547"/>
      <c r="O100" s="547"/>
      <c r="P100" s="745">
        <f>SUM(I100:O100)</f>
        <v>8200</v>
      </c>
      <c r="Q100" s="551"/>
      <c r="R100" s="321"/>
      <c r="S100" s="321"/>
      <c r="T100" s="321"/>
      <c r="U100" s="321"/>
      <c r="V100" s="321"/>
      <c r="W100" s="321"/>
      <c r="X100" s="321"/>
      <c r="Y100" s="321"/>
      <c r="Z100" s="321"/>
      <c r="AA100" s="321"/>
      <c r="AB100" s="321"/>
      <c r="AC100" s="321"/>
      <c r="AD100" s="321"/>
      <c r="AE100" s="321"/>
      <c r="AF100" s="321"/>
      <c r="AG100" s="321"/>
      <c r="AH100" s="321"/>
      <c r="AI100" s="321"/>
      <c r="AJ100" s="321"/>
      <c r="AK100" s="321"/>
      <c r="AL100" s="321"/>
      <c r="AM100" s="321"/>
      <c r="AN100" s="321"/>
      <c r="AO100" s="321"/>
      <c r="AP100" s="321"/>
      <c r="AQ100" s="321"/>
      <c r="AR100" s="321"/>
      <c r="AS100" s="321"/>
      <c r="AT100" s="321"/>
      <c r="AU100" s="321"/>
      <c r="AV100" s="321"/>
      <c r="AW100" s="321"/>
      <c r="AX100" s="321"/>
      <c r="AY100" s="321"/>
      <c r="AZ100" s="321"/>
      <c r="BA100" s="321"/>
      <c r="BB100" s="321"/>
      <c r="BC100" s="321"/>
      <c r="BD100" s="321"/>
      <c r="BE100" s="321"/>
      <c r="BF100" s="321"/>
      <c r="BG100" s="321"/>
      <c r="BH100" s="321"/>
      <c r="BI100" s="321"/>
      <c r="BJ100" s="321"/>
      <c r="BK100" s="321"/>
      <c r="BL100" s="321"/>
      <c r="BM100" s="321"/>
      <c r="BN100" s="321"/>
      <c r="BO100" s="321"/>
      <c r="BP100" s="321"/>
      <c r="BQ100" s="321"/>
      <c r="BR100" s="321"/>
      <c r="BS100" s="321"/>
      <c r="BT100" s="321"/>
      <c r="BU100" s="321"/>
      <c r="BV100" s="321"/>
      <c r="BW100" s="321"/>
      <c r="BX100" s="321"/>
      <c r="BY100" s="321"/>
      <c r="BZ100" s="321"/>
      <c r="CA100" s="321"/>
      <c r="CB100" s="321"/>
      <c r="CC100" s="321"/>
      <c r="CD100" s="321"/>
      <c r="CE100" s="321"/>
      <c r="CF100" s="321"/>
      <c r="CG100" s="321"/>
      <c r="CH100" s="321"/>
      <c r="CI100" s="321"/>
      <c r="CJ100" s="321"/>
      <c r="CK100" s="321"/>
      <c r="CL100" s="321"/>
      <c r="CM100" s="321"/>
      <c r="CN100" s="321"/>
      <c r="CO100" s="321"/>
      <c r="CP100" s="321"/>
      <c r="CQ100" s="321"/>
      <c r="CR100" s="321"/>
      <c r="CS100" s="321"/>
      <c r="CT100" s="321"/>
      <c r="CU100" s="321"/>
      <c r="CV100" s="321"/>
      <c r="CW100" s="321"/>
      <c r="CX100" s="321"/>
      <c r="CY100" s="321"/>
      <c r="CZ100" s="321"/>
      <c r="DA100" s="321"/>
      <c r="DB100" s="321"/>
      <c r="DC100" s="321"/>
      <c r="DD100" s="321"/>
      <c r="DE100" s="321"/>
      <c r="DF100" s="321"/>
      <c r="DG100" s="321"/>
      <c r="DH100" s="321"/>
      <c r="DI100" s="321"/>
      <c r="DJ100" s="321"/>
      <c r="DK100" s="321"/>
      <c r="DL100" s="321"/>
      <c r="DM100" s="321"/>
      <c r="DN100" s="321"/>
      <c r="DO100" s="321"/>
      <c r="DP100" s="321"/>
      <c r="DQ100" s="321"/>
      <c r="DR100" s="321"/>
      <c r="DS100" s="321"/>
      <c r="DT100" s="321"/>
      <c r="DU100" s="321"/>
      <c r="DV100" s="321"/>
      <c r="DW100" s="321"/>
      <c r="DX100" s="321"/>
      <c r="DY100" s="321"/>
      <c r="DZ100" s="321"/>
      <c r="EA100" s="321"/>
      <c r="EB100" s="321"/>
      <c r="EC100" s="321"/>
      <c r="ED100" s="321"/>
      <c r="EE100" s="321"/>
      <c r="EF100" s="321"/>
      <c r="EG100" s="321"/>
      <c r="EH100" s="321"/>
      <c r="EI100" s="321"/>
      <c r="EJ100" s="321"/>
      <c r="EK100" s="321"/>
      <c r="EL100" s="321"/>
      <c r="EM100" s="321"/>
      <c r="EN100" s="321"/>
      <c r="EO100" s="321"/>
      <c r="EP100" s="321"/>
      <c r="EQ100" s="321"/>
      <c r="ER100" s="321"/>
      <c r="ES100" s="321"/>
      <c r="ET100" s="321"/>
      <c r="EU100" s="321"/>
      <c r="EV100" s="321"/>
      <c r="EW100" s="321"/>
      <c r="EX100" s="321"/>
      <c r="EY100" s="321"/>
      <c r="EZ100" s="321"/>
      <c r="FA100" s="321"/>
      <c r="FB100" s="321"/>
      <c r="FC100" s="321"/>
      <c r="FD100" s="321"/>
      <c r="FE100" s="321"/>
      <c r="FF100" s="321"/>
      <c r="FG100" s="321"/>
      <c r="FH100" s="321"/>
      <c r="FI100" s="321"/>
      <c r="FJ100" s="321"/>
      <c r="FK100" s="321"/>
      <c r="FL100" s="321"/>
      <c r="FM100" s="321"/>
      <c r="FN100" s="321"/>
      <c r="FO100" s="321"/>
      <c r="FP100" s="321"/>
      <c r="FQ100" s="321"/>
      <c r="FR100" s="321"/>
      <c r="FS100" s="321"/>
      <c r="FT100" s="321"/>
      <c r="FU100" s="321"/>
      <c r="FV100" s="321"/>
      <c r="FW100" s="321"/>
      <c r="FX100" s="321"/>
      <c r="FY100" s="321"/>
      <c r="FZ100" s="321"/>
      <c r="GA100" s="321"/>
      <c r="GB100" s="321"/>
      <c r="GC100" s="321"/>
      <c r="GD100" s="321"/>
      <c r="GE100" s="321"/>
      <c r="GF100" s="321"/>
      <c r="GG100" s="321"/>
      <c r="GH100" s="321"/>
      <c r="GI100" s="321"/>
      <c r="GJ100" s="321"/>
      <c r="GK100" s="321"/>
      <c r="GL100" s="321"/>
      <c r="GM100" s="321"/>
      <c r="GN100" s="321"/>
      <c r="GO100" s="321"/>
      <c r="GP100" s="321"/>
      <c r="GQ100" s="321"/>
      <c r="GR100" s="321"/>
      <c r="GS100" s="321"/>
      <c r="GT100" s="321"/>
      <c r="GU100" s="321"/>
      <c r="GV100" s="321"/>
      <c r="GW100" s="321"/>
      <c r="GX100" s="321"/>
      <c r="GY100" s="321"/>
      <c r="GZ100" s="321"/>
      <c r="HA100" s="321"/>
      <c r="HB100" s="321"/>
      <c r="HC100" s="321"/>
      <c r="HD100" s="321"/>
      <c r="HE100" s="321"/>
      <c r="HF100" s="321"/>
      <c r="HG100" s="321"/>
      <c r="HH100" s="321"/>
      <c r="HI100" s="321"/>
      <c r="HJ100" s="321"/>
      <c r="HK100" s="321"/>
      <c r="HL100" s="321"/>
      <c r="HM100" s="321"/>
      <c r="HN100" s="321"/>
      <c r="HO100" s="321"/>
      <c r="HP100" s="321"/>
      <c r="HQ100" s="321"/>
      <c r="HR100" s="321"/>
      <c r="HS100" s="321"/>
      <c r="HT100" s="321"/>
      <c r="HU100" s="321"/>
      <c r="HV100" s="321"/>
      <c r="HW100" s="321"/>
      <c r="HX100" s="321"/>
      <c r="HY100" s="321"/>
      <c r="HZ100" s="321"/>
      <c r="IA100" s="321"/>
      <c r="IB100" s="321"/>
      <c r="IC100" s="321"/>
      <c r="ID100" s="321"/>
      <c r="IE100" s="321"/>
      <c r="IF100" s="321"/>
      <c r="IG100" s="321"/>
      <c r="IH100" s="321"/>
      <c r="II100" s="321"/>
      <c r="IJ100" s="321"/>
      <c r="IK100" s="321"/>
      <c r="IL100" s="321"/>
      <c r="IM100" s="321"/>
      <c r="IN100" s="321"/>
      <c r="IO100" s="321"/>
      <c r="IP100" s="321"/>
      <c r="IQ100" s="321"/>
      <c r="IR100" s="321"/>
      <c r="IS100" s="321"/>
      <c r="IT100" s="321"/>
      <c r="IU100" s="321"/>
      <c r="IV100" s="321"/>
    </row>
    <row r="101" spans="1:256" s="546" customFormat="1" ht="18" customHeight="1">
      <c r="A101" s="561">
        <v>93</v>
      </c>
      <c r="B101" s="554"/>
      <c r="C101" s="322"/>
      <c r="D101" s="436" t="s">
        <v>994</v>
      </c>
      <c r="E101" s="330"/>
      <c r="F101" s="550"/>
      <c r="G101" s="331"/>
      <c r="H101" s="762"/>
      <c r="I101" s="758"/>
      <c r="J101" s="547"/>
      <c r="K101" s="547"/>
      <c r="L101" s="547"/>
      <c r="M101" s="1131">
        <v>0</v>
      </c>
      <c r="N101" s="1131"/>
      <c r="O101" s="1131"/>
      <c r="P101" s="555">
        <f>SUM(I101:O101)</f>
        <v>0</v>
      </c>
      <c r="Q101" s="551"/>
      <c r="R101" s="321"/>
      <c r="S101" s="321"/>
      <c r="T101" s="321"/>
      <c r="U101" s="321"/>
      <c r="V101" s="321"/>
      <c r="W101" s="321"/>
      <c r="X101" s="321"/>
      <c r="Y101" s="321"/>
      <c r="Z101" s="321"/>
      <c r="AA101" s="321"/>
      <c r="AB101" s="321"/>
      <c r="AC101" s="321"/>
      <c r="AD101" s="321"/>
      <c r="AE101" s="321"/>
      <c r="AF101" s="321"/>
      <c r="AG101" s="321"/>
      <c r="AH101" s="321"/>
      <c r="AI101" s="321"/>
      <c r="AJ101" s="321"/>
      <c r="AK101" s="321"/>
      <c r="AL101" s="321"/>
      <c r="AM101" s="321"/>
      <c r="AN101" s="321"/>
      <c r="AO101" s="321"/>
      <c r="AP101" s="321"/>
      <c r="AQ101" s="321"/>
      <c r="AR101" s="321"/>
      <c r="AS101" s="321"/>
      <c r="AT101" s="321"/>
      <c r="AU101" s="321"/>
      <c r="AV101" s="321"/>
      <c r="AW101" s="321"/>
      <c r="AX101" s="321"/>
      <c r="AY101" s="321"/>
      <c r="AZ101" s="321"/>
      <c r="BA101" s="321"/>
      <c r="BB101" s="321"/>
      <c r="BC101" s="321"/>
      <c r="BD101" s="321"/>
      <c r="BE101" s="321"/>
      <c r="BF101" s="321"/>
      <c r="BG101" s="321"/>
      <c r="BH101" s="321"/>
      <c r="BI101" s="321"/>
      <c r="BJ101" s="321"/>
      <c r="BK101" s="321"/>
      <c r="BL101" s="321"/>
      <c r="BM101" s="321"/>
      <c r="BN101" s="321"/>
      <c r="BO101" s="321"/>
      <c r="BP101" s="321"/>
      <c r="BQ101" s="321"/>
      <c r="BR101" s="321"/>
      <c r="BS101" s="321"/>
      <c r="BT101" s="321"/>
      <c r="BU101" s="321"/>
      <c r="BV101" s="321"/>
      <c r="BW101" s="321"/>
      <c r="BX101" s="321"/>
      <c r="BY101" s="321"/>
      <c r="BZ101" s="321"/>
      <c r="CA101" s="321"/>
      <c r="CB101" s="321"/>
      <c r="CC101" s="321"/>
      <c r="CD101" s="321"/>
      <c r="CE101" s="321"/>
      <c r="CF101" s="321"/>
      <c r="CG101" s="321"/>
      <c r="CH101" s="321"/>
      <c r="CI101" s="321"/>
      <c r="CJ101" s="321"/>
      <c r="CK101" s="321"/>
      <c r="CL101" s="321"/>
      <c r="CM101" s="321"/>
      <c r="CN101" s="321"/>
      <c r="CO101" s="321"/>
      <c r="CP101" s="321"/>
      <c r="CQ101" s="321"/>
      <c r="CR101" s="321"/>
      <c r="CS101" s="321"/>
      <c r="CT101" s="321"/>
      <c r="CU101" s="321"/>
      <c r="CV101" s="321"/>
      <c r="CW101" s="321"/>
      <c r="CX101" s="321"/>
      <c r="CY101" s="321"/>
      <c r="CZ101" s="321"/>
      <c r="DA101" s="321"/>
      <c r="DB101" s="321"/>
      <c r="DC101" s="321"/>
      <c r="DD101" s="321"/>
      <c r="DE101" s="321"/>
      <c r="DF101" s="321"/>
      <c r="DG101" s="321"/>
      <c r="DH101" s="321"/>
      <c r="DI101" s="321"/>
      <c r="DJ101" s="321"/>
      <c r="DK101" s="321"/>
      <c r="DL101" s="321"/>
      <c r="DM101" s="321"/>
      <c r="DN101" s="321"/>
      <c r="DO101" s="321"/>
      <c r="DP101" s="321"/>
      <c r="DQ101" s="321"/>
      <c r="DR101" s="321"/>
      <c r="DS101" s="321"/>
      <c r="DT101" s="321"/>
      <c r="DU101" s="321"/>
      <c r="DV101" s="321"/>
      <c r="DW101" s="321"/>
      <c r="DX101" s="321"/>
      <c r="DY101" s="321"/>
      <c r="DZ101" s="321"/>
      <c r="EA101" s="321"/>
      <c r="EB101" s="321"/>
      <c r="EC101" s="321"/>
      <c r="ED101" s="321"/>
      <c r="EE101" s="321"/>
      <c r="EF101" s="321"/>
      <c r="EG101" s="321"/>
      <c r="EH101" s="321"/>
      <c r="EI101" s="321"/>
      <c r="EJ101" s="321"/>
      <c r="EK101" s="321"/>
      <c r="EL101" s="321"/>
      <c r="EM101" s="321"/>
      <c r="EN101" s="321"/>
      <c r="EO101" s="321"/>
      <c r="EP101" s="321"/>
      <c r="EQ101" s="321"/>
      <c r="ER101" s="321"/>
      <c r="ES101" s="321"/>
      <c r="ET101" s="321"/>
      <c r="EU101" s="321"/>
      <c r="EV101" s="321"/>
      <c r="EW101" s="321"/>
      <c r="EX101" s="321"/>
      <c r="EY101" s="321"/>
      <c r="EZ101" s="321"/>
      <c r="FA101" s="321"/>
      <c r="FB101" s="321"/>
      <c r="FC101" s="321"/>
      <c r="FD101" s="321"/>
      <c r="FE101" s="321"/>
      <c r="FF101" s="321"/>
      <c r="FG101" s="321"/>
      <c r="FH101" s="321"/>
      <c r="FI101" s="321"/>
      <c r="FJ101" s="321"/>
      <c r="FK101" s="321"/>
      <c r="FL101" s="321"/>
      <c r="FM101" s="321"/>
      <c r="FN101" s="321"/>
      <c r="FO101" s="321"/>
      <c r="FP101" s="321"/>
      <c r="FQ101" s="321"/>
      <c r="FR101" s="321"/>
      <c r="FS101" s="321"/>
      <c r="FT101" s="321"/>
      <c r="FU101" s="321"/>
      <c r="FV101" s="321"/>
      <c r="FW101" s="321"/>
      <c r="FX101" s="321"/>
      <c r="FY101" s="321"/>
      <c r="FZ101" s="321"/>
      <c r="GA101" s="321"/>
      <c r="GB101" s="321"/>
      <c r="GC101" s="321"/>
      <c r="GD101" s="321"/>
      <c r="GE101" s="321"/>
      <c r="GF101" s="321"/>
      <c r="GG101" s="321"/>
      <c r="GH101" s="321"/>
      <c r="GI101" s="321"/>
      <c r="GJ101" s="321"/>
      <c r="GK101" s="321"/>
      <c r="GL101" s="321"/>
      <c r="GM101" s="321"/>
      <c r="GN101" s="321"/>
      <c r="GO101" s="321"/>
      <c r="GP101" s="321"/>
      <c r="GQ101" s="321"/>
      <c r="GR101" s="321"/>
      <c r="GS101" s="321"/>
      <c r="GT101" s="321"/>
      <c r="GU101" s="321"/>
      <c r="GV101" s="321"/>
      <c r="GW101" s="321"/>
      <c r="GX101" s="321"/>
      <c r="GY101" s="321"/>
      <c r="GZ101" s="321"/>
      <c r="HA101" s="321"/>
      <c r="HB101" s="321"/>
      <c r="HC101" s="321"/>
      <c r="HD101" s="321"/>
      <c r="HE101" s="321"/>
      <c r="HF101" s="321"/>
      <c r="HG101" s="321"/>
      <c r="HH101" s="321"/>
      <c r="HI101" s="321"/>
      <c r="HJ101" s="321"/>
      <c r="HK101" s="321"/>
      <c r="HL101" s="321"/>
      <c r="HM101" s="321"/>
      <c r="HN101" s="321"/>
      <c r="HO101" s="321"/>
      <c r="HP101" s="321"/>
      <c r="HQ101" s="321"/>
      <c r="HR101" s="321"/>
      <c r="HS101" s="321"/>
      <c r="HT101" s="321"/>
      <c r="HU101" s="321"/>
      <c r="HV101" s="321"/>
      <c r="HW101" s="321"/>
      <c r="HX101" s="321"/>
      <c r="HY101" s="321"/>
      <c r="HZ101" s="321"/>
      <c r="IA101" s="321"/>
      <c r="IB101" s="321"/>
      <c r="IC101" s="321"/>
      <c r="ID101" s="321"/>
      <c r="IE101" s="321"/>
      <c r="IF101" s="321"/>
      <c r="IG101" s="321"/>
      <c r="IH101" s="321"/>
      <c r="II101" s="321"/>
      <c r="IJ101" s="321"/>
      <c r="IK101" s="321"/>
      <c r="IL101" s="321"/>
      <c r="IM101" s="321"/>
      <c r="IN101" s="321"/>
      <c r="IO101" s="321"/>
      <c r="IP101" s="321"/>
      <c r="IQ101" s="321"/>
      <c r="IR101" s="321"/>
      <c r="IS101" s="321"/>
      <c r="IT101" s="321"/>
      <c r="IU101" s="321"/>
      <c r="IV101" s="321"/>
    </row>
    <row r="102" spans="1:256" s="546" customFormat="1" ht="18" customHeight="1">
      <c r="A102" s="561">
        <v>94</v>
      </c>
      <c r="B102" s="554"/>
      <c r="C102" s="322"/>
      <c r="D102" s="987" t="s">
        <v>1036</v>
      </c>
      <c r="E102" s="330"/>
      <c r="F102" s="550"/>
      <c r="G102" s="331"/>
      <c r="H102" s="762"/>
      <c r="I102" s="758"/>
      <c r="J102" s="547"/>
      <c r="K102" s="547"/>
      <c r="L102" s="547"/>
      <c r="M102" s="1266">
        <v>0</v>
      </c>
      <c r="N102" s="1266"/>
      <c r="O102" s="1266"/>
      <c r="P102" s="1175">
        <f>SUM(I102:O102)</f>
        <v>0</v>
      </c>
      <c r="Q102" s="551"/>
      <c r="R102" s="321"/>
      <c r="S102" s="321"/>
      <c r="T102" s="321"/>
      <c r="U102" s="321"/>
      <c r="V102" s="321"/>
      <c r="W102" s="321"/>
      <c r="X102" s="321"/>
      <c r="Y102" s="321"/>
      <c r="Z102" s="321"/>
      <c r="AA102" s="321"/>
      <c r="AB102" s="321"/>
      <c r="AC102" s="321"/>
      <c r="AD102" s="321"/>
      <c r="AE102" s="321"/>
      <c r="AF102" s="321"/>
      <c r="AG102" s="321"/>
      <c r="AH102" s="321"/>
      <c r="AI102" s="321"/>
      <c r="AJ102" s="321"/>
      <c r="AK102" s="321"/>
      <c r="AL102" s="321"/>
      <c r="AM102" s="321"/>
      <c r="AN102" s="321"/>
      <c r="AO102" s="321"/>
      <c r="AP102" s="321"/>
      <c r="AQ102" s="321"/>
      <c r="AR102" s="321"/>
      <c r="AS102" s="321"/>
      <c r="AT102" s="321"/>
      <c r="AU102" s="321"/>
      <c r="AV102" s="321"/>
      <c r="AW102" s="321"/>
      <c r="AX102" s="321"/>
      <c r="AY102" s="321"/>
      <c r="AZ102" s="321"/>
      <c r="BA102" s="321"/>
      <c r="BB102" s="321"/>
      <c r="BC102" s="321"/>
      <c r="BD102" s="321"/>
      <c r="BE102" s="321"/>
      <c r="BF102" s="321"/>
      <c r="BG102" s="321"/>
      <c r="BH102" s="321"/>
      <c r="BI102" s="321"/>
      <c r="BJ102" s="321"/>
      <c r="BK102" s="321"/>
      <c r="BL102" s="321"/>
      <c r="BM102" s="321"/>
      <c r="BN102" s="321"/>
      <c r="BO102" s="321"/>
      <c r="BP102" s="321"/>
      <c r="BQ102" s="321"/>
      <c r="BR102" s="321"/>
      <c r="BS102" s="321"/>
      <c r="BT102" s="321"/>
      <c r="BU102" s="321"/>
      <c r="BV102" s="321"/>
      <c r="BW102" s="321"/>
      <c r="BX102" s="321"/>
      <c r="BY102" s="321"/>
      <c r="BZ102" s="321"/>
      <c r="CA102" s="321"/>
      <c r="CB102" s="321"/>
      <c r="CC102" s="321"/>
      <c r="CD102" s="321"/>
      <c r="CE102" s="321"/>
      <c r="CF102" s="321"/>
      <c r="CG102" s="321"/>
      <c r="CH102" s="321"/>
      <c r="CI102" s="321"/>
      <c r="CJ102" s="321"/>
      <c r="CK102" s="321"/>
      <c r="CL102" s="321"/>
      <c r="CM102" s="321"/>
      <c r="CN102" s="321"/>
      <c r="CO102" s="321"/>
      <c r="CP102" s="321"/>
      <c r="CQ102" s="321"/>
      <c r="CR102" s="321"/>
      <c r="CS102" s="321"/>
      <c r="CT102" s="321"/>
      <c r="CU102" s="321"/>
      <c r="CV102" s="321"/>
      <c r="CW102" s="321"/>
      <c r="CX102" s="321"/>
      <c r="CY102" s="321"/>
      <c r="CZ102" s="321"/>
      <c r="DA102" s="321"/>
      <c r="DB102" s="321"/>
      <c r="DC102" s="321"/>
      <c r="DD102" s="321"/>
      <c r="DE102" s="321"/>
      <c r="DF102" s="321"/>
      <c r="DG102" s="321"/>
      <c r="DH102" s="321"/>
      <c r="DI102" s="321"/>
      <c r="DJ102" s="321"/>
      <c r="DK102" s="321"/>
      <c r="DL102" s="321"/>
      <c r="DM102" s="321"/>
      <c r="DN102" s="321"/>
      <c r="DO102" s="321"/>
      <c r="DP102" s="321"/>
      <c r="DQ102" s="321"/>
      <c r="DR102" s="321"/>
      <c r="DS102" s="321"/>
      <c r="DT102" s="321"/>
      <c r="DU102" s="321"/>
      <c r="DV102" s="321"/>
      <c r="DW102" s="321"/>
      <c r="DX102" s="321"/>
      <c r="DY102" s="321"/>
      <c r="DZ102" s="321"/>
      <c r="EA102" s="321"/>
      <c r="EB102" s="321"/>
      <c r="EC102" s="321"/>
      <c r="ED102" s="321"/>
      <c r="EE102" s="321"/>
      <c r="EF102" s="321"/>
      <c r="EG102" s="321"/>
      <c r="EH102" s="321"/>
      <c r="EI102" s="321"/>
      <c r="EJ102" s="321"/>
      <c r="EK102" s="321"/>
      <c r="EL102" s="321"/>
      <c r="EM102" s="321"/>
      <c r="EN102" s="321"/>
      <c r="EO102" s="321"/>
      <c r="EP102" s="321"/>
      <c r="EQ102" s="321"/>
      <c r="ER102" s="321"/>
      <c r="ES102" s="321"/>
      <c r="ET102" s="321"/>
      <c r="EU102" s="321"/>
      <c r="EV102" s="321"/>
      <c r="EW102" s="321"/>
      <c r="EX102" s="321"/>
      <c r="EY102" s="321"/>
      <c r="EZ102" s="321"/>
      <c r="FA102" s="321"/>
      <c r="FB102" s="321"/>
      <c r="FC102" s="321"/>
      <c r="FD102" s="321"/>
      <c r="FE102" s="321"/>
      <c r="FF102" s="321"/>
      <c r="FG102" s="321"/>
      <c r="FH102" s="321"/>
      <c r="FI102" s="321"/>
      <c r="FJ102" s="321"/>
      <c r="FK102" s="321"/>
      <c r="FL102" s="321"/>
      <c r="FM102" s="321"/>
      <c r="FN102" s="321"/>
      <c r="FO102" s="321"/>
      <c r="FP102" s="321"/>
      <c r="FQ102" s="321"/>
      <c r="FR102" s="321"/>
      <c r="FS102" s="321"/>
      <c r="FT102" s="321"/>
      <c r="FU102" s="321"/>
      <c r="FV102" s="321"/>
      <c r="FW102" s="321"/>
      <c r="FX102" s="321"/>
      <c r="FY102" s="321"/>
      <c r="FZ102" s="321"/>
      <c r="GA102" s="321"/>
      <c r="GB102" s="321"/>
      <c r="GC102" s="321"/>
      <c r="GD102" s="321"/>
      <c r="GE102" s="321"/>
      <c r="GF102" s="321"/>
      <c r="GG102" s="321"/>
      <c r="GH102" s="321"/>
      <c r="GI102" s="321"/>
      <c r="GJ102" s="321"/>
      <c r="GK102" s="321"/>
      <c r="GL102" s="321"/>
      <c r="GM102" s="321"/>
      <c r="GN102" s="321"/>
      <c r="GO102" s="321"/>
      <c r="GP102" s="321"/>
      <c r="GQ102" s="321"/>
      <c r="GR102" s="321"/>
      <c r="GS102" s="321"/>
      <c r="GT102" s="321"/>
      <c r="GU102" s="321"/>
      <c r="GV102" s="321"/>
      <c r="GW102" s="321"/>
      <c r="GX102" s="321"/>
      <c r="GY102" s="321"/>
      <c r="GZ102" s="321"/>
      <c r="HA102" s="321"/>
      <c r="HB102" s="321"/>
      <c r="HC102" s="321"/>
      <c r="HD102" s="321"/>
      <c r="HE102" s="321"/>
      <c r="HF102" s="321"/>
      <c r="HG102" s="321"/>
      <c r="HH102" s="321"/>
      <c r="HI102" s="321"/>
      <c r="HJ102" s="321"/>
      <c r="HK102" s="321"/>
      <c r="HL102" s="321"/>
      <c r="HM102" s="321"/>
      <c r="HN102" s="321"/>
      <c r="HO102" s="321"/>
      <c r="HP102" s="321"/>
      <c r="HQ102" s="321"/>
      <c r="HR102" s="321"/>
      <c r="HS102" s="321"/>
      <c r="HT102" s="321"/>
      <c r="HU102" s="321"/>
      <c r="HV102" s="321"/>
      <c r="HW102" s="321"/>
      <c r="HX102" s="321"/>
      <c r="HY102" s="321"/>
      <c r="HZ102" s="321"/>
      <c r="IA102" s="321"/>
      <c r="IB102" s="321"/>
      <c r="IC102" s="321"/>
      <c r="ID102" s="321"/>
      <c r="IE102" s="321"/>
      <c r="IF102" s="321"/>
      <c r="IG102" s="321"/>
      <c r="IH102" s="321"/>
      <c r="II102" s="321"/>
      <c r="IJ102" s="321"/>
      <c r="IK102" s="321"/>
      <c r="IL102" s="321"/>
      <c r="IM102" s="321"/>
      <c r="IN102" s="321"/>
      <c r="IO102" s="321"/>
      <c r="IP102" s="321"/>
      <c r="IQ102" s="321"/>
      <c r="IR102" s="321"/>
      <c r="IS102" s="321"/>
      <c r="IT102" s="321"/>
      <c r="IU102" s="321"/>
      <c r="IV102" s="321"/>
    </row>
    <row r="103" spans="1:17" ht="22.5" customHeight="1">
      <c r="A103" s="561">
        <v>95</v>
      </c>
      <c r="B103" s="455"/>
      <c r="C103" s="361"/>
      <c r="D103" s="558" t="s">
        <v>790</v>
      </c>
      <c r="E103" s="330"/>
      <c r="F103" s="550"/>
      <c r="G103" s="331"/>
      <c r="H103" s="762"/>
      <c r="I103" s="758"/>
      <c r="J103" s="547"/>
      <c r="K103" s="547"/>
      <c r="L103" s="547"/>
      <c r="M103" s="773"/>
      <c r="N103" s="547"/>
      <c r="O103" s="547"/>
      <c r="P103" s="555"/>
      <c r="Q103" s="551"/>
    </row>
    <row r="104" spans="1:17" ht="18" customHeight="1">
      <c r="A104" s="561">
        <v>96</v>
      </c>
      <c r="B104" s="455"/>
      <c r="C104" s="361"/>
      <c r="D104" s="755" t="s">
        <v>303</v>
      </c>
      <c r="E104" s="330"/>
      <c r="F104" s="550"/>
      <c r="G104" s="331"/>
      <c r="H104" s="762"/>
      <c r="I104" s="758"/>
      <c r="J104" s="547"/>
      <c r="K104" s="547"/>
      <c r="L104" s="547"/>
      <c r="M104" s="752">
        <v>10000</v>
      </c>
      <c r="N104" s="547"/>
      <c r="O104" s="547"/>
      <c r="P104" s="745">
        <f>SUM(I104:O104)</f>
        <v>10000</v>
      </c>
      <c r="Q104" s="551"/>
    </row>
    <row r="105" spans="1:17" ht="18" customHeight="1">
      <c r="A105" s="561">
        <v>97</v>
      </c>
      <c r="B105" s="455"/>
      <c r="C105" s="361"/>
      <c r="D105" s="436" t="s">
        <v>994</v>
      </c>
      <c r="E105" s="330"/>
      <c r="F105" s="550"/>
      <c r="G105" s="331"/>
      <c r="H105" s="762"/>
      <c r="I105" s="758"/>
      <c r="J105" s="547"/>
      <c r="K105" s="547"/>
      <c r="L105" s="547"/>
      <c r="M105" s="1131">
        <v>0</v>
      </c>
      <c r="N105" s="1131"/>
      <c r="O105" s="1131"/>
      <c r="P105" s="555">
        <f>SUM(I105:O105)</f>
        <v>0</v>
      </c>
      <c r="Q105" s="551"/>
    </row>
    <row r="106" spans="1:17" ht="18" customHeight="1">
      <c r="A106" s="561">
        <v>98</v>
      </c>
      <c r="B106" s="455"/>
      <c r="C106" s="361"/>
      <c r="D106" s="987" t="s">
        <v>1036</v>
      </c>
      <c r="E106" s="330"/>
      <c r="F106" s="550"/>
      <c r="G106" s="331"/>
      <c r="H106" s="762"/>
      <c r="I106" s="758"/>
      <c r="J106" s="547"/>
      <c r="K106" s="547"/>
      <c r="L106" s="547"/>
      <c r="M106" s="1266">
        <v>0</v>
      </c>
      <c r="N106" s="1266"/>
      <c r="O106" s="1266"/>
      <c r="P106" s="1175">
        <f>SUM(I106:O106)</f>
        <v>0</v>
      </c>
      <c r="Q106" s="551"/>
    </row>
    <row r="107" spans="1:256" s="546" customFormat="1" ht="22.5" customHeight="1">
      <c r="A107" s="561">
        <v>99</v>
      </c>
      <c r="B107" s="554"/>
      <c r="C107" s="361"/>
      <c r="D107" s="956" t="s">
        <v>630</v>
      </c>
      <c r="E107" s="330"/>
      <c r="F107" s="550"/>
      <c r="G107" s="331"/>
      <c r="H107" s="762"/>
      <c r="I107" s="758"/>
      <c r="J107" s="547"/>
      <c r="K107" s="547"/>
      <c r="L107" s="547"/>
      <c r="M107" s="773"/>
      <c r="N107" s="547"/>
      <c r="O107" s="547"/>
      <c r="P107" s="555"/>
      <c r="Q107" s="551"/>
      <c r="R107" s="321"/>
      <c r="S107" s="321"/>
      <c r="T107" s="321"/>
      <c r="U107" s="321"/>
      <c r="V107" s="321"/>
      <c r="W107" s="321"/>
      <c r="X107" s="321"/>
      <c r="Y107" s="321"/>
      <c r="Z107" s="321"/>
      <c r="AA107" s="321"/>
      <c r="AB107" s="321"/>
      <c r="AC107" s="321"/>
      <c r="AD107" s="321"/>
      <c r="AE107" s="321"/>
      <c r="AF107" s="321"/>
      <c r="AG107" s="321"/>
      <c r="AH107" s="321"/>
      <c r="AI107" s="321"/>
      <c r="AJ107" s="321"/>
      <c r="AK107" s="321"/>
      <c r="AL107" s="321"/>
      <c r="AM107" s="321"/>
      <c r="AN107" s="321"/>
      <c r="AO107" s="321"/>
      <c r="AP107" s="321"/>
      <c r="AQ107" s="321"/>
      <c r="AR107" s="321"/>
      <c r="AS107" s="321"/>
      <c r="AT107" s="321"/>
      <c r="AU107" s="321"/>
      <c r="AV107" s="321"/>
      <c r="AW107" s="321"/>
      <c r="AX107" s="321"/>
      <c r="AY107" s="321"/>
      <c r="AZ107" s="321"/>
      <c r="BA107" s="321"/>
      <c r="BB107" s="321"/>
      <c r="BC107" s="321"/>
      <c r="BD107" s="321"/>
      <c r="BE107" s="321"/>
      <c r="BF107" s="321"/>
      <c r="BG107" s="321"/>
      <c r="BH107" s="321"/>
      <c r="BI107" s="321"/>
      <c r="BJ107" s="321"/>
      <c r="BK107" s="321"/>
      <c r="BL107" s="321"/>
      <c r="BM107" s="321"/>
      <c r="BN107" s="321"/>
      <c r="BO107" s="321"/>
      <c r="BP107" s="321"/>
      <c r="BQ107" s="321"/>
      <c r="BR107" s="321"/>
      <c r="BS107" s="321"/>
      <c r="BT107" s="321"/>
      <c r="BU107" s="321"/>
      <c r="BV107" s="321"/>
      <c r="BW107" s="321"/>
      <c r="BX107" s="321"/>
      <c r="BY107" s="321"/>
      <c r="BZ107" s="321"/>
      <c r="CA107" s="321"/>
      <c r="CB107" s="321"/>
      <c r="CC107" s="321"/>
      <c r="CD107" s="321"/>
      <c r="CE107" s="321"/>
      <c r="CF107" s="321"/>
      <c r="CG107" s="321"/>
      <c r="CH107" s="321"/>
      <c r="CI107" s="321"/>
      <c r="CJ107" s="321"/>
      <c r="CK107" s="321"/>
      <c r="CL107" s="321"/>
      <c r="CM107" s="321"/>
      <c r="CN107" s="321"/>
      <c r="CO107" s="321"/>
      <c r="CP107" s="321"/>
      <c r="CQ107" s="321"/>
      <c r="CR107" s="321"/>
      <c r="CS107" s="321"/>
      <c r="CT107" s="321"/>
      <c r="CU107" s="321"/>
      <c r="CV107" s="321"/>
      <c r="CW107" s="321"/>
      <c r="CX107" s="321"/>
      <c r="CY107" s="321"/>
      <c r="CZ107" s="321"/>
      <c r="DA107" s="321"/>
      <c r="DB107" s="321"/>
      <c r="DC107" s="321"/>
      <c r="DD107" s="321"/>
      <c r="DE107" s="321"/>
      <c r="DF107" s="321"/>
      <c r="DG107" s="321"/>
      <c r="DH107" s="321"/>
      <c r="DI107" s="321"/>
      <c r="DJ107" s="321"/>
      <c r="DK107" s="321"/>
      <c r="DL107" s="321"/>
      <c r="DM107" s="321"/>
      <c r="DN107" s="321"/>
      <c r="DO107" s="321"/>
      <c r="DP107" s="321"/>
      <c r="DQ107" s="321"/>
      <c r="DR107" s="321"/>
      <c r="DS107" s="321"/>
      <c r="DT107" s="321"/>
      <c r="DU107" s="321"/>
      <c r="DV107" s="321"/>
      <c r="DW107" s="321"/>
      <c r="DX107" s="321"/>
      <c r="DY107" s="321"/>
      <c r="DZ107" s="321"/>
      <c r="EA107" s="321"/>
      <c r="EB107" s="321"/>
      <c r="EC107" s="321"/>
      <c r="ED107" s="321"/>
      <c r="EE107" s="321"/>
      <c r="EF107" s="321"/>
      <c r="EG107" s="321"/>
      <c r="EH107" s="321"/>
      <c r="EI107" s="321"/>
      <c r="EJ107" s="321"/>
      <c r="EK107" s="321"/>
      <c r="EL107" s="321"/>
      <c r="EM107" s="321"/>
      <c r="EN107" s="321"/>
      <c r="EO107" s="321"/>
      <c r="EP107" s="321"/>
      <c r="EQ107" s="321"/>
      <c r="ER107" s="321"/>
      <c r="ES107" s="321"/>
      <c r="ET107" s="321"/>
      <c r="EU107" s="321"/>
      <c r="EV107" s="321"/>
      <c r="EW107" s="321"/>
      <c r="EX107" s="321"/>
      <c r="EY107" s="321"/>
      <c r="EZ107" s="321"/>
      <c r="FA107" s="321"/>
      <c r="FB107" s="321"/>
      <c r="FC107" s="321"/>
      <c r="FD107" s="321"/>
      <c r="FE107" s="321"/>
      <c r="FF107" s="321"/>
      <c r="FG107" s="321"/>
      <c r="FH107" s="321"/>
      <c r="FI107" s="321"/>
      <c r="FJ107" s="321"/>
      <c r="FK107" s="321"/>
      <c r="FL107" s="321"/>
      <c r="FM107" s="321"/>
      <c r="FN107" s="321"/>
      <c r="FO107" s="321"/>
      <c r="FP107" s="321"/>
      <c r="FQ107" s="321"/>
      <c r="FR107" s="321"/>
      <c r="FS107" s="321"/>
      <c r="FT107" s="321"/>
      <c r="FU107" s="321"/>
      <c r="FV107" s="321"/>
      <c r="FW107" s="321"/>
      <c r="FX107" s="321"/>
      <c r="FY107" s="321"/>
      <c r="FZ107" s="321"/>
      <c r="GA107" s="321"/>
      <c r="GB107" s="321"/>
      <c r="GC107" s="321"/>
      <c r="GD107" s="321"/>
      <c r="GE107" s="321"/>
      <c r="GF107" s="321"/>
      <c r="GG107" s="321"/>
      <c r="GH107" s="321"/>
      <c r="GI107" s="321"/>
      <c r="GJ107" s="321"/>
      <c r="GK107" s="321"/>
      <c r="GL107" s="321"/>
      <c r="GM107" s="321"/>
      <c r="GN107" s="321"/>
      <c r="GO107" s="321"/>
      <c r="GP107" s="321"/>
      <c r="GQ107" s="321"/>
      <c r="GR107" s="321"/>
      <c r="GS107" s="321"/>
      <c r="GT107" s="321"/>
      <c r="GU107" s="321"/>
      <c r="GV107" s="321"/>
      <c r="GW107" s="321"/>
      <c r="GX107" s="321"/>
      <c r="GY107" s="321"/>
      <c r="GZ107" s="321"/>
      <c r="HA107" s="321"/>
      <c r="HB107" s="321"/>
      <c r="HC107" s="321"/>
      <c r="HD107" s="321"/>
      <c r="HE107" s="321"/>
      <c r="HF107" s="321"/>
      <c r="HG107" s="321"/>
      <c r="HH107" s="321"/>
      <c r="HI107" s="321"/>
      <c r="HJ107" s="321"/>
      <c r="HK107" s="321"/>
      <c r="HL107" s="321"/>
      <c r="HM107" s="321"/>
      <c r="HN107" s="321"/>
      <c r="HO107" s="321"/>
      <c r="HP107" s="321"/>
      <c r="HQ107" s="321"/>
      <c r="HR107" s="321"/>
      <c r="HS107" s="321"/>
      <c r="HT107" s="321"/>
      <c r="HU107" s="321"/>
      <c r="HV107" s="321"/>
      <c r="HW107" s="321"/>
      <c r="HX107" s="321"/>
      <c r="HY107" s="321"/>
      <c r="HZ107" s="321"/>
      <c r="IA107" s="321"/>
      <c r="IB107" s="321"/>
      <c r="IC107" s="321"/>
      <c r="ID107" s="321"/>
      <c r="IE107" s="321"/>
      <c r="IF107" s="321"/>
      <c r="IG107" s="321"/>
      <c r="IH107" s="321"/>
      <c r="II107" s="321"/>
      <c r="IJ107" s="321"/>
      <c r="IK107" s="321"/>
      <c r="IL107" s="321"/>
      <c r="IM107" s="321"/>
      <c r="IN107" s="321"/>
      <c r="IO107" s="321"/>
      <c r="IP107" s="321"/>
      <c r="IQ107" s="321"/>
      <c r="IR107" s="321"/>
      <c r="IS107" s="321"/>
      <c r="IT107" s="321"/>
      <c r="IU107" s="321"/>
      <c r="IV107" s="321"/>
    </row>
    <row r="108" spans="1:17" ht="18" customHeight="1">
      <c r="A108" s="561">
        <v>100</v>
      </c>
      <c r="B108" s="455"/>
      <c r="C108" s="361"/>
      <c r="D108" s="755" t="s">
        <v>303</v>
      </c>
      <c r="E108" s="330"/>
      <c r="F108" s="550"/>
      <c r="G108" s="331"/>
      <c r="H108" s="762"/>
      <c r="I108" s="758"/>
      <c r="J108" s="547"/>
      <c r="K108" s="547"/>
      <c r="L108" s="547"/>
      <c r="M108" s="752">
        <v>10000</v>
      </c>
      <c r="N108" s="547"/>
      <c r="O108" s="547"/>
      <c r="P108" s="745">
        <f>SUM(I108:O108)</f>
        <v>10000</v>
      </c>
      <c r="Q108" s="551"/>
    </row>
    <row r="109" spans="1:17" ht="18" customHeight="1">
      <c r="A109" s="561">
        <v>101</v>
      </c>
      <c r="B109" s="455"/>
      <c r="C109" s="361"/>
      <c r="D109" s="436" t="s">
        <v>994</v>
      </c>
      <c r="E109" s="330"/>
      <c r="F109" s="550"/>
      <c r="G109" s="331"/>
      <c r="H109" s="762"/>
      <c r="I109" s="758"/>
      <c r="J109" s="547"/>
      <c r="K109" s="547"/>
      <c r="L109" s="547"/>
      <c r="M109" s="1131">
        <v>0</v>
      </c>
      <c r="N109" s="1131"/>
      <c r="O109" s="1131"/>
      <c r="P109" s="555">
        <f>SUM(I109:O109)</f>
        <v>0</v>
      </c>
      <c r="Q109" s="551"/>
    </row>
    <row r="110" spans="1:17" ht="18" customHeight="1">
      <c r="A110" s="561">
        <v>102</v>
      </c>
      <c r="B110" s="455"/>
      <c r="C110" s="361"/>
      <c r="D110" s="987" t="s">
        <v>1036</v>
      </c>
      <c r="E110" s="330"/>
      <c r="F110" s="550"/>
      <c r="G110" s="331"/>
      <c r="H110" s="762"/>
      <c r="I110" s="758"/>
      <c r="J110" s="547"/>
      <c r="K110" s="547"/>
      <c r="L110" s="547"/>
      <c r="M110" s="1266">
        <v>0</v>
      </c>
      <c r="N110" s="1266"/>
      <c r="O110" s="1266"/>
      <c r="P110" s="1175">
        <f>SUM(I110:O110)</f>
        <v>0</v>
      </c>
      <c r="Q110" s="551"/>
    </row>
    <row r="111" spans="1:256" s="546" customFormat="1" ht="22.5" customHeight="1">
      <c r="A111" s="561">
        <v>103</v>
      </c>
      <c r="B111" s="554"/>
      <c r="C111" s="361"/>
      <c r="D111" s="955" t="s">
        <v>631</v>
      </c>
      <c r="E111" s="330"/>
      <c r="F111" s="550"/>
      <c r="G111" s="331"/>
      <c r="H111" s="762"/>
      <c r="I111" s="758"/>
      <c r="J111" s="547"/>
      <c r="K111" s="547"/>
      <c r="L111" s="547"/>
      <c r="M111" s="773"/>
      <c r="N111" s="547"/>
      <c r="O111" s="547"/>
      <c r="P111" s="555"/>
      <c r="Q111" s="551"/>
      <c r="R111" s="321"/>
      <c r="S111" s="321"/>
      <c r="T111" s="321"/>
      <c r="U111" s="321"/>
      <c r="V111" s="321"/>
      <c r="W111" s="321"/>
      <c r="X111" s="321"/>
      <c r="Y111" s="321"/>
      <c r="Z111" s="321"/>
      <c r="AA111" s="321"/>
      <c r="AB111" s="321"/>
      <c r="AC111" s="321"/>
      <c r="AD111" s="321"/>
      <c r="AE111" s="321"/>
      <c r="AF111" s="321"/>
      <c r="AG111" s="321"/>
      <c r="AH111" s="321"/>
      <c r="AI111" s="321"/>
      <c r="AJ111" s="321"/>
      <c r="AK111" s="321"/>
      <c r="AL111" s="321"/>
      <c r="AM111" s="321"/>
      <c r="AN111" s="321"/>
      <c r="AO111" s="321"/>
      <c r="AP111" s="321"/>
      <c r="AQ111" s="321"/>
      <c r="AR111" s="321"/>
      <c r="AS111" s="321"/>
      <c r="AT111" s="321"/>
      <c r="AU111" s="321"/>
      <c r="AV111" s="321"/>
      <c r="AW111" s="321"/>
      <c r="AX111" s="321"/>
      <c r="AY111" s="321"/>
      <c r="AZ111" s="321"/>
      <c r="BA111" s="321"/>
      <c r="BB111" s="321"/>
      <c r="BC111" s="321"/>
      <c r="BD111" s="321"/>
      <c r="BE111" s="321"/>
      <c r="BF111" s="321"/>
      <c r="BG111" s="321"/>
      <c r="BH111" s="321"/>
      <c r="BI111" s="321"/>
      <c r="BJ111" s="321"/>
      <c r="BK111" s="321"/>
      <c r="BL111" s="321"/>
      <c r="BM111" s="321"/>
      <c r="BN111" s="321"/>
      <c r="BO111" s="321"/>
      <c r="BP111" s="321"/>
      <c r="BQ111" s="321"/>
      <c r="BR111" s="321"/>
      <c r="BS111" s="321"/>
      <c r="BT111" s="321"/>
      <c r="BU111" s="321"/>
      <c r="BV111" s="321"/>
      <c r="BW111" s="321"/>
      <c r="BX111" s="321"/>
      <c r="BY111" s="321"/>
      <c r="BZ111" s="321"/>
      <c r="CA111" s="321"/>
      <c r="CB111" s="321"/>
      <c r="CC111" s="321"/>
      <c r="CD111" s="321"/>
      <c r="CE111" s="321"/>
      <c r="CF111" s="321"/>
      <c r="CG111" s="321"/>
      <c r="CH111" s="321"/>
      <c r="CI111" s="321"/>
      <c r="CJ111" s="321"/>
      <c r="CK111" s="321"/>
      <c r="CL111" s="321"/>
      <c r="CM111" s="321"/>
      <c r="CN111" s="321"/>
      <c r="CO111" s="321"/>
      <c r="CP111" s="321"/>
      <c r="CQ111" s="321"/>
      <c r="CR111" s="321"/>
      <c r="CS111" s="321"/>
      <c r="CT111" s="321"/>
      <c r="CU111" s="321"/>
      <c r="CV111" s="321"/>
      <c r="CW111" s="321"/>
      <c r="CX111" s="321"/>
      <c r="CY111" s="321"/>
      <c r="CZ111" s="321"/>
      <c r="DA111" s="321"/>
      <c r="DB111" s="321"/>
      <c r="DC111" s="321"/>
      <c r="DD111" s="321"/>
      <c r="DE111" s="321"/>
      <c r="DF111" s="321"/>
      <c r="DG111" s="321"/>
      <c r="DH111" s="321"/>
      <c r="DI111" s="321"/>
      <c r="DJ111" s="321"/>
      <c r="DK111" s="321"/>
      <c r="DL111" s="321"/>
      <c r="DM111" s="321"/>
      <c r="DN111" s="321"/>
      <c r="DO111" s="321"/>
      <c r="DP111" s="321"/>
      <c r="DQ111" s="321"/>
      <c r="DR111" s="321"/>
      <c r="DS111" s="321"/>
      <c r="DT111" s="321"/>
      <c r="DU111" s="321"/>
      <c r="DV111" s="321"/>
      <c r="DW111" s="321"/>
      <c r="DX111" s="321"/>
      <c r="DY111" s="321"/>
      <c r="DZ111" s="321"/>
      <c r="EA111" s="321"/>
      <c r="EB111" s="321"/>
      <c r="EC111" s="321"/>
      <c r="ED111" s="321"/>
      <c r="EE111" s="321"/>
      <c r="EF111" s="321"/>
      <c r="EG111" s="321"/>
      <c r="EH111" s="321"/>
      <c r="EI111" s="321"/>
      <c r="EJ111" s="321"/>
      <c r="EK111" s="321"/>
      <c r="EL111" s="321"/>
      <c r="EM111" s="321"/>
      <c r="EN111" s="321"/>
      <c r="EO111" s="321"/>
      <c r="EP111" s="321"/>
      <c r="EQ111" s="321"/>
      <c r="ER111" s="321"/>
      <c r="ES111" s="321"/>
      <c r="ET111" s="321"/>
      <c r="EU111" s="321"/>
      <c r="EV111" s="321"/>
      <c r="EW111" s="321"/>
      <c r="EX111" s="321"/>
      <c r="EY111" s="321"/>
      <c r="EZ111" s="321"/>
      <c r="FA111" s="321"/>
      <c r="FB111" s="321"/>
      <c r="FC111" s="321"/>
      <c r="FD111" s="321"/>
      <c r="FE111" s="321"/>
      <c r="FF111" s="321"/>
      <c r="FG111" s="321"/>
      <c r="FH111" s="321"/>
      <c r="FI111" s="321"/>
      <c r="FJ111" s="321"/>
      <c r="FK111" s="321"/>
      <c r="FL111" s="321"/>
      <c r="FM111" s="321"/>
      <c r="FN111" s="321"/>
      <c r="FO111" s="321"/>
      <c r="FP111" s="321"/>
      <c r="FQ111" s="321"/>
      <c r="FR111" s="321"/>
      <c r="FS111" s="321"/>
      <c r="FT111" s="321"/>
      <c r="FU111" s="321"/>
      <c r="FV111" s="321"/>
      <c r="FW111" s="321"/>
      <c r="FX111" s="321"/>
      <c r="FY111" s="321"/>
      <c r="FZ111" s="321"/>
      <c r="GA111" s="321"/>
      <c r="GB111" s="321"/>
      <c r="GC111" s="321"/>
      <c r="GD111" s="321"/>
      <c r="GE111" s="321"/>
      <c r="GF111" s="321"/>
      <c r="GG111" s="321"/>
      <c r="GH111" s="321"/>
      <c r="GI111" s="321"/>
      <c r="GJ111" s="321"/>
      <c r="GK111" s="321"/>
      <c r="GL111" s="321"/>
      <c r="GM111" s="321"/>
      <c r="GN111" s="321"/>
      <c r="GO111" s="321"/>
      <c r="GP111" s="321"/>
      <c r="GQ111" s="321"/>
      <c r="GR111" s="321"/>
      <c r="GS111" s="321"/>
      <c r="GT111" s="321"/>
      <c r="GU111" s="321"/>
      <c r="GV111" s="321"/>
      <c r="GW111" s="321"/>
      <c r="GX111" s="321"/>
      <c r="GY111" s="321"/>
      <c r="GZ111" s="321"/>
      <c r="HA111" s="321"/>
      <c r="HB111" s="321"/>
      <c r="HC111" s="321"/>
      <c r="HD111" s="321"/>
      <c r="HE111" s="321"/>
      <c r="HF111" s="321"/>
      <c r="HG111" s="321"/>
      <c r="HH111" s="321"/>
      <c r="HI111" s="321"/>
      <c r="HJ111" s="321"/>
      <c r="HK111" s="321"/>
      <c r="HL111" s="321"/>
      <c r="HM111" s="321"/>
      <c r="HN111" s="321"/>
      <c r="HO111" s="321"/>
      <c r="HP111" s="321"/>
      <c r="HQ111" s="321"/>
      <c r="HR111" s="321"/>
      <c r="HS111" s="321"/>
      <c r="HT111" s="321"/>
      <c r="HU111" s="321"/>
      <c r="HV111" s="321"/>
      <c r="HW111" s="321"/>
      <c r="HX111" s="321"/>
      <c r="HY111" s="321"/>
      <c r="HZ111" s="321"/>
      <c r="IA111" s="321"/>
      <c r="IB111" s="321"/>
      <c r="IC111" s="321"/>
      <c r="ID111" s="321"/>
      <c r="IE111" s="321"/>
      <c r="IF111" s="321"/>
      <c r="IG111" s="321"/>
      <c r="IH111" s="321"/>
      <c r="II111" s="321"/>
      <c r="IJ111" s="321"/>
      <c r="IK111" s="321"/>
      <c r="IL111" s="321"/>
      <c r="IM111" s="321"/>
      <c r="IN111" s="321"/>
      <c r="IO111" s="321"/>
      <c r="IP111" s="321"/>
      <c r="IQ111" s="321"/>
      <c r="IR111" s="321"/>
      <c r="IS111" s="321"/>
      <c r="IT111" s="321"/>
      <c r="IU111" s="321"/>
      <c r="IV111" s="321"/>
    </row>
    <row r="112" spans="1:17" ht="18" customHeight="1">
      <c r="A112" s="561">
        <v>104</v>
      </c>
      <c r="B112" s="455"/>
      <c r="C112" s="361"/>
      <c r="D112" s="755" t="s">
        <v>303</v>
      </c>
      <c r="E112" s="330"/>
      <c r="F112" s="550"/>
      <c r="G112" s="331"/>
      <c r="H112" s="762"/>
      <c r="I112" s="758"/>
      <c r="J112" s="547"/>
      <c r="K112" s="547"/>
      <c r="L112" s="547"/>
      <c r="M112" s="752">
        <v>10000</v>
      </c>
      <c r="N112" s="547"/>
      <c r="O112" s="547"/>
      <c r="P112" s="745">
        <f>SUM(I112:O112)</f>
        <v>10000</v>
      </c>
      <c r="Q112" s="551"/>
    </row>
    <row r="113" spans="1:17" ht="18" customHeight="1">
      <c r="A113" s="561">
        <v>105</v>
      </c>
      <c r="B113" s="455"/>
      <c r="C113" s="361"/>
      <c r="D113" s="436" t="s">
        <v>994</v>
      </c>
      <c r="E113" s="330"/>
      <c r="F113" s="550"/>
      <c r="G113" s="331"/>
      <c r="H113" s="762"/>
      <c r="I113" s="758"/>
      <c r="J113" s="547"/>
      <c r="K113" s="547"/>
      <c r="L113" s="547"/>
      <c r="M113" s="1131">
        <v>0</v>
      </c>
      <c r="N113" s="1131"/>
      <c r="O113" s="1131"/>
      <c r="P113" s="555">
        <f>SUM(I113:O113)</f>
        <v>0</v>
      </c>
      <c r="Q113" s="551"/>
    </row>
    <row r="114" spans="1:17" ht="18" customHeight="1">
      <c r="A114" s="561">
        <v>106</v>
      </c>
      <c r="B114" s="455"/>
      <c r="C114" s="361"/>
      <c r="D114" s="987" t="s">
        <v>1036</v>
      </c>
      <c r="E114" s="330"/>
      <c r="F114" s="550"/>
      <c r="G114" s="331"/>
      <c r="H114" s="762"/>
      <c r="I114" s="758"/>
      <c r="J114" s="547"/>
      <c r="K114" s="547"/>
      <c r="L114" s="547"/>
      <c r="M114" s="1266">
        <v>0</v>
      </c>
      <c r="N114" s="1266"/>
      <c r="O114" s="1266"/>
      <c r="P114" s="1175">
        <f>SUM(I114:O114)</f>
        <v>0</v>
      </c>
      <c r="Q114" s="551"/>
    </row>
    <row r="115" spans="1:256" s="546" customFormat="1" ht="22.5" customHeight="1">
      <c r="A115" s="561">
        <v>107</v>
      </c>
      <c r="B115" s="554"/>
      <c r="C115" s="361"/>
      <c r="D115" s="956" t="s">
        <v>632</v>
      </c>
      <c r="E115" s="330"/>
      <c r="F115" s="550"/>
      <c r="G115" s="331"/>
      <c r="H115" s="762"/>
      <c r="I115" s="758"/>
      <c r="J115" s="547"/>
      <c r="K115" s="547"/>
      <c r="L115" s="547"/>
      <c r="M115" s="773"/>
      <c r="N115" s="547"/>
      <c r="O115" s="547"/>
      <c r="P115" s="555"/>
      <c r="Q115" s="551"/>
      <c r="R115" s="321"/>
      <c r="S115" s="321"/>
      <c r="T115" s="321"/>
      <c r="U115" s="321"/>
      <c r="V115" s="321"/>
      <c r="W115" s="321"/>
      <c r="X115" s="321"/>
      <c r="Y115" s="321"/>
      <c r="Z115" s="321"/>
      <c r="AA115" s="321"/>
      <c r="AB115" s="321"/>
      <c r="AC115" s="321"/>
      <c r="AD115" s="321"/>
      <c r="AE115" s="321"/>
      <c r="AF115" s="321"/>
      <c r="AG115" s="321"/>
      <c r="AH115" s="321"/>
      <c r="AI115" s="321"/>
      <c r="AJ115" s="321"/>
      <c r="AK115" s="321"/>
      <c r="AL115" s="321"/>
      <c r="AM115" s="321"/>
      <c r="AN115" s="321"/>
      <c r="AO115" s="321"/>
      <c r="AP115" s="321"/>
      <c r="AQ115" s="321"/>
      <c r="AR115" s="321"/>
      <c r="AS115" s="321"/>
      <c r="AT115" s="321"/>
      <c r="AU115" s="321"/>
      <c r="AV115" s="321"/>
      <c r="AW115" s="321"/>
      <c r="AX115" s="321"/>
      <c r="AY115" s="321"/>
      <c r="AZ115" s="321"/>
      <c r="BA115" s="321"/>
      <c r="BB115" s="321"/>
      <c r="BC115" s="321"/>
      <c r="BD115" s="321"/>
      <c r="BE115" s="321"/>
      <c r="BF115" s="321"/>
      <c r="BG115" s="321"/>
      <c r="BH115" s="321"/>
      <c r="BI115" s="321"/>
      <c r="BJ115" s="321"/>
      <c r="BK115" s="321"/>
      <c r="BL115" s="321"/>
      <c r="BM115" s="321"/>
      <c r="BN115" s="321"/>
      <c r="BO115" s="321"/>
      <c r="BP115" s="321"/>
      <c r="BQ115" s="321"/>
      <c r="BR115" s="321"/>
      <c r="BS115" s="321"/>
      <c r="BT115" s="321"/>
      <c r="BU115" s="321"/>
      <c r="BV115" s="321"/>
      <c r="BW115" s="321"/>
      <c r="BX115" s="321"/>
      <c r="BY115" s="321"/>
      <c r="BZ115" s="321"/>
      <c r="CA115" s="321"/>
      <c r="CB115" s="321"/>
      <c r="CC115" s="321"/>
      <c r="CD115" s="321"/>
      <c r="CE115" s="321"/>
      <c r="CF115" s="321"/>
      <c r="CG115" s="321"/>
      <c r="CH115" s="321"/>
      <c r="CI115" s="321"/>
      <c r="CJ115" s="321"/>
      <c r="CK115" s="321"/>
      <c r="CL115" s="321"/>
      <c r="CM115" s="321"/>
      <c r="CN115" s="321"/>
      <c r="CO115" s="321"/>
      <c r="CP115" s="321"/>
      <c r="CQ115" s="321"/>
      <c r="CR115" s="321"/>
      <c r="CS115" s="321"/>
      <c r="CT115" s="321"/>
      <c r="CU115" s="321"/>
      <c r="CV115" s="321"/>
      <c r="CW115" s="321"/>
      <c r="CX115" s="321"/>
      <c r="CY115" s="321"/>
      <c r="CZ115" s="321"/>
      <c r="DA115" s="321"/>
      <c r="DB115" s="321"/>
      <c r="DC115" s="321"/>
      <c r="DD115" s="321"/>
      <c r="DE115" s="321"/>
      <c r="DF115" s="321"/>
      <c r="DG115" s="321"/>
      <c r="DH115" s="321"/>
      <c r="DI115" s="321"/>
      <c r="DJ115" s="321"/>
      <c r="DK115" s="321"/>
      <c r="DL115" s="321"/>
      <c r="DM115" s="321"/>
      <c r="DN115" s="321"/>
      <c r="DO115" s="321"/>
      <c r="DP115" s="321"/>
      <c r="DQ115" s="321"/>
      <c r="DR115" s="321"/>
      <c r="DS115" s="321"/>
      <c r="DT115" s="321"/>
      <c r="DU115" s="321"/>
      <c r="DV115" s="321"/>
      <c r="DW115" s="321"/>
      <c r="DX115" s="321"/>
      <c r="DY115" s="321"/>
      <c r="DZ115" s="321"/>
      <c r="EA115" s="321"/>
      <c r="EB115" s="321"/>
      <c r="EC115" s="321"/>
      <c r="ED115" s="321"/>
      <c r="EE115" s="321"/>
      <c r="EF115" s="321"/>
      <c r="EG115" s="321"/>
      <c r="EH115" s="321"/>
      <c r="EI115" s="321"/>
      <c r="EJ115" s="321"/>
      <c r="EK115" s="321"/>
      <c r="EL115" s="321"/>
      <c r="EM115" s="321"/>
      <c r="EN115" s="321"/>
      <c r="EO115" s="321"/>
      <c r="EP115" s="321"/>
      <c r="EQ115" s="321"/>
      <c r="ER115" s="321"/>
      <c r="ES115" s="321"/>
      <c r="ET115" s="321"/>
      <c r="EU115" s="321"/>
      <c r="EV115" s="321"/>
      <c r="EW115" s="321"/>
      <c r="EX115" s="321"/>
      <c r="EY115" s="321"/>
      <c r="EZ115" s="321"/>
      <c r="FA115" s="321"/>
      <c r="FB115" s="321"/>
      <c r="FC115" s="321"/>
      <c r="FD115" s="321"/>
      <c r="FE115" s="321"/>
      <c r="FF115" s="321"/>
      <c r="FG115" s="321"/>
      <c r="FH115" s="321"/>
      <c r="FI115" s="321"/>
      <c r="FJ115" s="321"/>
      <c r="FK115" s="321"/>
      <c r="FL115" s="321"/>
      <c r="FM115" s="321"/>
      <c r="FN115" s="321"/>
      <c r="FO115" s="321"/>
      <c r="FP115" s="321"/>
      <c r="FQ115" s="321"/>
      <c r="FR115" s="321"/>
      <c r="FS115" s="321"/>
      <c r="FT115" s="321"/>
      <c r="FU115" s="321"/>
      <c r="FV115" s="321"/>
      <c r="FW115" s="321"/>
      <c r="FX115" s="321"/>
      <c r="FY115" s="321"/>
      <c r="FZ115" s="321"/>
      <c r="GA115" s="321"/>
      <c r="GB115" s="321"/>
      <c r="GC115" s="321"/>
      <c r="GD115" s="321"/>
      <c r="GE115" s="321"/>
      <c r="GF115" s="321"/>
      <c r="GG115" s="321"/>
      <c r="GH115" s="321"/>
      <c r="GI115" s="321"/>
      <c r="GJ115" s="321"/>
      <c r="GK115" s="321"/>
      <c r="GL115" s="321"/>
      <c r="GM115" s="321"/>
      <c r="GN115" s="321"/>
      <c r="GO115" s="321"/>
      <c r="GP115" s="321"/>
      <c r="GQ115" s="321"/>
      <c r="GR115" s="321"/>
      <c r="GS115" s="321"/>
      <c r="GT115" s="321"/>
      <c r="GU115" s="321"/>
      <c r="GV115" s="321"/>
      <c r="GW115" s="321"/>
      <c r="GX115" s="321"/>
      <c r="GY115" s="321"/>
      <c r="GZ115" s="321"/>
      <c r="HA115" s="321"/>
      <c r="HB115" s="321"/>
      <c r="HC115" s="321"/>
      <c r="HD115" s="321"/>
      <c r="HE115" s="321"/>
      <c r="HF115" s="321"/>
      <c r="HG115" s="321"/>
      <c r="HH115" s="321"/>
      <c r="HI115" s="321"/>
      <c r="HJ115" s="321"/>
      <c r="HK115" s="321"/>
      <c r="HL115" s="321"/>
      <c r="HM115" s="321"/>
      <c r="HN115" s="321"/>
      <c r="HO115" s="321"/>
      <c r="HP115" s="321"/>
      <c r="HQ115" s="321"/>
      <c r="HR115" s="321"/>
      <c r="HS115" s="321"/>
      <c r="HT115" s="321"/>
      <c r="HU115" s="321"/>
      <c r="HV115" s="321"/>
      <c r="HW115" s="321"/>
      <c r="HX115" s="321"/>
      <c r="HY115" s="321"/>
      <c r="HZ115" s="321"/>
      <c r="IA115" s="321"/>
      <c r="IB115" s="321"/>
      <c r="IC115" s="321"/>
      <c r="ID115" s="321"/>
      <c r="IE115" s="321"/>
      <c r="IF115" s="321"/>
      <c r="IG115" s="321"/>
      <c r="IH115" s="321"/>
      <c r="II115" s="321"/>
      <c r="IJ115" s="321"/>
      <c r="IK115" s="321"/>
      <c r="IL115" s="321"/>
      <c r="IM115" s="321"/>
      <c r="IN115" s="321"/>
      <c r="IO115" s="321"/>
      <c r="IP115" s="321"/>
      <c r="IQ115" s="321"/>
      <c r="IR115" s="321"/>
      <c r="IS115" s="321"/>
      <c r="IT115" s="321"/>
      <c r="IU115" s="321"/>
      <c r="IV115" s="321"/>
    </row>
    <row r="116" spans="1:17" ht="18" customHeight="1">
      <c r="A116" s="561">
        <v>108</v>
      </c>
      <c r="B116" s="455"/>
      <c r="C116" s="361"/>
      <c r="D116" s="755" t="s">
        <v>303</v>
      </c>
      <c r="E116" s="330"/>
      <c r="F116" s="550"/>
      <c r="G116" s="331"/>
      <c r="H116" s="762"/>
      <c r="I116" s="758"/>
      <c r="J116" s="547"/>
      <c r="K116" s="547"/>
      <c r="L116" s="547"/>
      <c r="M116" s="752">
        <v>20000</v>
      </c>
      <c r="N116" s="547"/>
      <c r="O116" s="547"/>
      <c r="P116" s="745">
        <f>SUM(I116:O116)</f>
        <v>20000</v>
      </c>
      <c r="Q116" s="551"/>
    </row>
    <row r="117" spans="1:17" ht="18" customHeight="1">
      <c r="A117" s="561">
        <v>109</v>
      </c>
      <c r="B117" s="455"/>
      <c r="C117" s="361"/>
      <c r="D117" s="436" t="s">
        <v>994</v>
      </c>
      <c r="E117" s="330"/>
      <c r="F117" s="550"/>
      <c r="G117" s="331"/>
      <c r="H117" s="762"/>
      <c r="I117" s="758"/>
      <c r="J117" s="547"/>
      <c r="K117" s="547"/>
      <c r="L117" s="547"/>
      <c r="M117" s="1131">
        <v>0</v>
      </c>
      <c r="N117" s="1131"/>
      <c r="O117" s="1131"/>
      <c r="P117" s="555">
        <f>SUM(I117:O117)</f>
        <v>0</v>
      </c>
      <c r="Q117" s="551"/>
    </row>
    <row r="118" spans="1:17" ht="18" customHeight="1">
      <c r="A118" s="561">
        <v>110</v>
      </c>
      <c r="B118" s="455"/>
      <c r="C118" s="361"/>
      <c r="D118" s="987" t="s">
        <v>1036</v>
      </c>
      <c r="E118" s="330"/>
      <c r="F118" s="550"/>
      <c r="G118" s="331"/>
      <c r="H118" s="762"/>
      <c r="I118" s="758"/>
      <c r="J118" s="547"/>
      <c r="K118" s="547"/>
      <c r="L118" s="547"/>
      <c r="M118" s="1266">
        <v>0</v>
      </c>
      <c r="N118" s="1266"/>
      <c r="O118" s="1266"/>
      <c r="P118" s="1175">
        <f>SUM(I118:O118)</f>
        <v>0</v>
      </c>
      <c r="Q118" s="551"/>
    </row>
    <row r="119" spans="1:256" s="546" customFormat="1" ht="22.5" customHeight="1">
      <c r="A119" s="561">
        <v>111</v>
      </c>
      <c r="B119" s="554"/>
      <c r="C119" s="361"/>
      <c r="D119" s="323" t="s">
        <v>633</v>
      </c>
      <c r="E119" s="330"/>
      <c r="F119" s="550"/>
      <c r="G119" s="331"/>
      <c r="H119" s="762"/>
      <c r="I119" s="758"/>
      <c r="J119" s="547"/>
      <c r="K119" s="547"/>
      <c r="L119" s="547"/>
      <c r="M119" s="773"/>
      <c r="N119" s="547"/>
      <c r="O119" s="547"/>
      <c r="P119" s="555"/>
      <c r="Q119" s="551"/>
      <c r="R119" s="321"/>
      <c r="S119" s="321"/>
      <c r="T119" s="321"/>
      <c r="U119" s="321"/>
      <c r="V119" s="321"/>
      <c r="W119" s="321"/>
      <c r="X119" s="321"/>
      <c r="Y119" s="321"/>
      <c r="Z119" s="321"/>
      <c r="AA119" s="321"/>
      <c r="AB119" s="321"/>
      <c r="AC119" s="321"/>
      <c r="AD119" s="321"/>
      <c r="AE119" s="321"/>
      <c r="AF119" s="321"/>
      <c r="AG119" s="321"/>
      <c r="AH119" s="321"/>
      <c r="AI119" s="321"/>
      <c r="AJ119" s="321"/>
      <c r="AK119" s="321"/>
      <c r="AL119" s="321"/>
      <c r="AM119" s="321"/>
      <c r="AN119" s="321"/>
      <c r="AO119" s="321"/>
      <c r="AP119" s="321"/>
      <c r="AQ119" s="321"/>
      <c r="AR119" s="321"/>
      <c r="AS119" s="321"/>
      <c r="AT119" s="321"/>
      <c r="AU119" s="321"/>
      <c r="AV119" s="321"/>
      <c r="AW119" s="321"/>
      <c r="AX119" s="321"/>
      <c r="AY119" s="321"/>
      <c r="AZ119" s="321"/>
      <c r="BA119" s="321"/>
      <c r="BB119" s="321"/>
      <c r="BC119" s="321"/>
      <c r="BD119" s="321"/>
      <c r="BE119" s="321"/>
      <c r="BF119" s="321"/>
      <c r="BG119" s="321"/>
      <c r="BH119" s="321"/>
      <c r="BI119" s="321"/>
      <c r="BJ119" s="321"/>
      <c r="BK119" s="321"/>
      <c r="BL119" s="321"/>
      <c r="BM119" s="321"/>
      <c r="BN119" s="321"/>
      <c r="BO119" s="321"/>
      <c r="BP119" s="321"/>
      <c r="BQ119" s="321"/>
      <c r="BR119" s="321"/>
      <c r="BS119" s="321"/>
      <c r="BT119" s="321"/>
      <c r="BU119" s="321"/>
      <c r="BV119" s="321"/>
      <c r="BW119" s="321"/>
      <c r="BX119" s="321"/>
      <c r="BY119" s="321"/>
      <c r="BZ119" s="321"/>
      <c r="CA119" s="321"/>
      <c r="CB119" s="321"/>
      <c r="CC119" s="321"/>
      <c r="CD119" s="321"/>
      <c r="CE119" s="321"/>
      <c r="CF119" s="321"/>
      <c r="CG119" s="321"/>
      <c r="CH119" s="321"/>
      <c r="CI119" s="321"/>
      <c r="CJ119" s="321"/>
      <c r="CK119" s="321"/>
      <c r="CL119" s="321"/>
      <c r="CM119" s="321"/>
      <c r="CN119" s="321"/>
      <c r="CO119" s="321"/>
      <c r="CP119" s="321"/>
      <c r="CQ119" s="321"/>
      <c r="CR119" s="321"/>
      <c r="CS119" s="321"/>
      <c r="CT119" s="321"/>
      <c r="CU119" s="321"/>
      <c r="CV119" s="321"/>
      <c r="CW119" s="321"/>
      <c r="CX119" s="321"/>
      <c r="CY119" s="321"/>
      <c r="CZ119" s="321"/>
      <c r="DA119" s="321"/>
      <c r="DB119" s="321"/>
      <c r="DC119" s="321"/>
      <c r="DD119" s="321"/>
      <c r="DE119" s="321"/>
      <c r="DF119" s="321"/>
      <c r="DG119" s="321"/>
      <c r="DH119" s="321"/>
      <c r="DI119" s="321"/>
      <c r="DJ119" s="321"/>
      <c r="DK119" s="321"/>
      <c r="DL119" s="321"/>
      <c r="DM119" s="321"/>
      <c r="DN119" s="321"/>
      <c r="DO119" s="321"/>
      <c r="DP119" s="321"/>
      <c r="DQ119" s="321"/>
      <c r="DR119" s="321"/>
      <c r="DS119" s="321"/>
      <c r="DT119" s="321"/>
      <c r="DU119" s="321"/>
      <c r="DV119" s="321"/>
      <c r="DW119" s="321"/>
      <c r="DX119" s="321"/>
      <c r="DY119" s="321"/>
      <c r="DZ119" s="321"/>
      <c r="EA119" s="321"/>
      <c r="EB119" s="321"/>
      <c r="EC119" s="321"/>
      <c r="ED119" s="321"/>
      <c r="EE119" s="321"/>
      <c r="EF119" s="321"/>
      <c r="EG119" s="321"/>
      <c r="EH119" s="321"/>
      <c r="EI119" s="321"/>
      <c r="EJ119" s="321"/>
      <c r="EK119" s="321"/>
      <c r="EL119" s="321"/>
      <c r="EM119" s="321"/>
      <c r="EN119" s="321"/>
      <c r="EO119" s="321"/>
      <c r="EP119" s="321"/>
      <c r="EQ119" s="321"/>
      <c r="ER119" s="321"/>
      <c r="ES119" s="321"/>
      <c r="ET119" s="321"/>
      <c r="EU119" s="321"/>
      <c r="EV119" s="321"/>
      <c r="EW119" s="321"/>
      <c r="EX119" s="321"/>
      <c r="EY119" s="321"/>
      <c r="EZ119" s="321"/>
      <c r="FA119" s="321"/>
      <c r="FB119" s="321"/>
      <c r="FC119" s="321"/>
      <c r="FD119" s="321"/>
      <c r="FE119" s="321"/>
      <c r="FF119" s="321"/>
      <c r="FG119" s="321"/>
      <c r="FH119" s="321"/>
      <c r="FI119" s="321"/>
      <c r="FJ119" s="321"/>
      <c r="FK119" s="321"/>
      <c r="FL119" s="321"/>
      <c r="FM119" s="321"/>
      <c r="FN119" s="321"/>
      <c r="FO119" s="321"/>
      <c r="FP119" s="321"/>
      <c r="FQ119" s="321"/>
      <c r="FR119" s="321"/>
      <c r="FS119" s="321"/>
      <c r="FT119" s="321"/>
      <c r="FU119" s="321"/>
      <c r="FV119" s="321"/>
      <c r="FW119" s="321"/>
      <c r="FX119" s="321"/>
      <c r="FY119" s="321"/>
      <c r="FZ119" s="321"/>
      <c r="GA119" s="321"/>
      <c r="GB119" s="321"/>
      <c r="GC119" s="321"/>
      <c r="GD119" s="321"/>
      <c r="GE119" s="321"/>
      <c r="GF119" s="321"/>
      <c r="GG119" s="321"/>
      <c r="GH119" s="321"/>
      <c r="GI119" s="321"/>
      <c r="GJ119" s="321"/>
      <c r="GK119" s="321"/>
      <c r="GL119" s="321"/>
      <c r="GM119" s="321"/>
      <c r="GN119" s="321"/>
      <c r="GO119" s="321"/>
      <c r="GP119" s="321"/>
      <c r="GQ119" s="321"/>
      <c r="GR119" s="321"/>
      <c r="GS119" s="321"/>
      <c r="GT119" s="321"/>
      <c r="GU119" s="321"/>
      <c r="GV119" s="321"/>
      <c r="GW119" s="321"/>
      <c r="GX119" s="321"/>
      <c r="GY119" s="321"/>
      <c r="GZ119" s="321"/>
      <c r="HA119" s="321"/>
      <c r="HB119" s="321"/>
      <c r="HC119" s="321"/>
      <c r="HD119" s="321"/>
      <c r="HE119" s="321"/>
      <c r="HF119" s="321"/>
      <c r="HG119" s="321"/>
      <c r="HH119" s="321"/>
      <c r="HI119" s="321"/>
      <c r="HJ119" s="321"/>
      <c r="HK119" s="321"/>
      <c r="HL119" s="321"/>
      <c r="HM119" s="321"/>
      <c r="HN119" s="321"/>
      <c r="HO119" s="321"/>
      <c r="HP119" s="321"/>
      <c r="HQ119" s="321"/>
      <c r="HR119" s="321"/>
      <c r="HS119" s="321"/>
      <c r="HT119" s="321"/>
      <c r="HU119" s="321"/>
      <c r="HV119" s="321"/>
      <c r="HW119" s="321"/>
      <c r="HX119" s="321"/>
      <c r="HY119" s="321"/>
      <c r="HZ119" s="321"/>
      <c r="IA119" s="321"/>
      <c r="IB119" s="321"/>
      <c r="IC119" s="321"/>
      <c r="ID119" s="321"/>
      <c r="IE119" s="321"/>
      <c r="IF119" s="321"/>
      <c r="IG119" s="321"/>
      <c r="IH119" s="321"/>
      <c r="II119" s="321"/>
      <c r="IJ119" s="321"/>
      <c r="IK119" s="321"/>
      <c r="IL119" s="321"/>
      <c r="IM119" s="321"/>
      <c r="IN119" s="321"/>
      <c r="IO119" s="321"/>
      <c r="IP119" s="321"/>
      <c r="IQ119" s="321"/>
      <c r="IR119" s="321"/>
      <c r="IS119" s="321"/>
      <c r="IT119" s="321"/>
      <c r="IU119" s="321"/>
      <c r="IV119" s="321"/>
    </row>
    <row r="120" spans="1:17" ht="18" customHeight="1">
      <c r="A120" s="561">
        <v>112</v>
      </c>
      <c r="B120" s="455"/>
      <c r="C120" s="361"/>
      <c r="D120" s="755" t="s">
        <v>303</v>
      </c>
      <c r="E120" s="330"/>
      <c r="F120" s="550"/>
      <c r="G120" s="331"/>
      <c r="H120" s="762"/>
      <c r="I120" s="758"/>
      <c r="J120" s="547"/>
      <c r="K120" s="547"/>
      <c r="L120" s="547"/>
      <c r="M120" s="752">
        <v>10000</v>
      </c>
      <c r="N120" s="547"/>
      <c r="O120" s="547"/>
      <c r="P120" s="745">
        <f>SUM(I120:O120)</f>
        <v>10000</v>
      </c>
      <c r="Q120" s="551"/>
    </row>
    <row r="121" spans="1:17" ht="18" customHeight="1">
      <c r="A121" s="561">
        <v>113</v>
      </c>
      <c r="B121" s="455"/>
      <c r="C121" s="361"/>
      <c r="D121" s="436" t="s">
        <v>994</v>
      </c>
      <c r="E121" s="330"/>
      <c r="F121" s="550"/>
      <c r="G121" s="331"/>
      <c r="H121" s="762"/>
      <c r="I121" s="758"/>
      <c r="J121" s="547"/>
      <c r="K121" s="547"/>
      <c r="L121" s="547"/>
      <c r="M121" s="1131">
        <v>0</v>
      </c>
      <c r="N121" s="547"/>
      <c r="O121" s="547"/>
      <c r="P121" s="555">
        <f>SUM(I121:O121)</f>
        <v>0</v>
      </c>
      <c r="Q121" s="551"/>
    </row>
    <row r="122" spans="1:17" ht="18" customHeight="1">
      <c r="A122" s="561">
        <v>114</v>
      </c>
      <c r="B122" s="455"/>
      <c r="C122" s="361"/>
      <c r="D122" s="987" t="s">
        <v>1036</v>
      </c>
      <c r="E122" s="330"/>
      <c r="F122" s="550"/>
      <c r="G122" s="331"/>
      <c r="H122" s="762"/>
      <c r="I122" s="758"/>
      <c r="J122" s="547"/>
      <c r="K122" s="547"/>
      <c r="L122" s="547"/>
      <c r="M122" s="1266">
        <v>0</v>
      </c>
      <c r="N122" s="1266"/>
      <c r="O122" s="1266"/>
      <c r="P122" s="1175">
        <f>SUM(I122:O122)</f>
        <v>0</v>
      </c>
      <c r="Q122" s="551"/>
    </row>
    <row r="123" spans="1:256" s="546" customFormat="1" ht="22.5" customHeight="1">
      <c r="A123" s="561">
        <v>115</v>
      </c>
      <c r="B123" s="554"/>
      <c r="C123" s="361"/>
      <c r="D123" s="323" t="s">
        <v>634</v>
      </c>
      <c r="E123" s="330"/>
      <c r="F123" s="550"/>
      <c r="G123" s="331"/>
      <c r="H123" s="762"/>
      <c r="I123" s="758"/>
      <c r="J123" s="547"/>
      <c r="K123" s="547"/>
      <c r="L123" s="547"/>
      <c r="M123" s="773"/>
      <c r="N123" s="547"/>
      <c r="O123" s="547"/>
      <c r="P123" s="555"/>
      <c r="Q123" s="551"/>
      <c r="R123" s="321"/>
      <c r="S123" s="321"/>
      <c r="T123" s="321"/>
      <c r="U123" s="321"/>
      <c r="V123" s="321"/>
      <c r="W123" s="321"/>
      <c r="X123" s="321"/>
      <c r="Y123" s="321"/>
      <c r="Z123" s="321"/>
      <c r="AA123" s="321"/>
      <c r="AB123" s="321"/>
      <c r="AC123" s="321"/>
      <c r="AD123" s="321"/>
      <c r="AE123" s="321"/>
      <c r="AF123" s="321"/>
      <c r="AG123" s="321"/>
      <c r="AH123" s="321"/>
      <c r="AI123" s="321"/>
      <c r="AJ123" s="321"/>
      <c r="AK123" s="321"/>
      <c r="AL123" s="321"/>
      <c r="AM123" s="321"/>
      <c r="AN123" s="321"/>
      <c r="AO123" s="321"/>
      <c r="AP123" s="321"/>
      <c r="AQ123" s="321"/>
      <c r="AR123" s="321"/>
      <c r="AS123" s="321"/>
      <c r="AT123" s="321"/>
      <c r="AU123" s="321"/>
      <c r="AV123" s="321"/>
      <c r="AW123" s="321"/>
      <c r="AX123" s="321"/>
      <c r="AY123" s="321"/>
      <c r="AZ123" s="321"/>
      <c r="BA123" s="321"/>
      <c r="BB123" s="321"/>
      <c r="BC123" s="321"/>
      <c r="BD123" s="321"/>
      <c r="BE123" s="321"/>
      <c r="BF123" s="321"/>
      <c r="BG123" s="321"/>
      <c r="BH123" s="321"/>
      <c r="BI123" s="321"/>
      <c r="BJ123" s="321"/>
      <c r="BK123" s="321"/>
      <c r="BL123" s="321"/>
      <c r="BM123" s="321"/>
      <c r="BN123" s="321"/>
      <c r="BO123" s="321"/>
      <c r="BP123" s="321"/>
      <c r="BQ123" s="321"/>
      <c r="BR123" s="321"/>
      <c r="BS123" s="321"/>
      <c r="BT123" s="321"/>
      <c r="BU123" s="321"/>
      <c r="BV123" s="321"/>
      <c r="BW123" s="321"/>
      <c r="BX123" s="321"/>
      <c r="BY123" s="321"/>
      <c r="BZ123" s="321"/>
      <c r="CA123" s="321"/>
      <c r="CB123" s="321"/>
      <c r="CC123" s="321"/>
      <c r="CD123" s="321"/>
      <c r="CE123" s="321"/>
      <c r="CF123" s="321"/>
      <c r="CG123" s="321"/>
      <c r="CH123" s="321"/>
      <c r="CI123" s="321"/>
      <c r="CJ123" s="321"/>
      <c r="CK123" s="321"/>
      <c r="CL123" s="321"/>
      <c r="CM123" s="321"/>
      <c r="CN123" s="321"/>
      <c r="CO123" s="321"/>
      <c r="CP123" s="321"/>
      <c r="CQ123" s="321"/>
      <c r="CR123" s="321"/>
      <c r="CS123" s="321"/>
      <c r="CT123" s="321"/>
      <c r="CU123" s="321"/>
      <c r="CV123" s="321"/>
      <c r="CW123" s="321"/>
      <c r="CX123" s="321"/>
      <c r="CY123" s="321"/>
      <c r="CZ123" s="321"/>
      <c r="DA123" s="321"/>
      <c r="DB123" s="321"/>
      <c r="DC123" s="321"/>
      <c r="DD123" s="321"/>
      <c r="DE123" s="321"/>
      <c r="DF123" s="321"/>
      <c r="DG123" s="321"/>
      <c r="DH123" s="321"/>
      <c r="DI123" s="321"/>
      <c r="DJ123" s="321"/>
      <c r="DK123" s="321"/>
      <c r="DL123" s="321"/>
      <c r="DM123" s="321"/>
      <c r="DN123" s="321"/>
      <c r="DO123" s="321"/>
      <c r="DP123" s="321"/>
      <c r="DQ123" s="321"/>
      <c r="DR123" s="321"/>
      <c r="DS123" s="321"/>
      <c r="DT123" s="321"/>
      <c r="DU123" s="321"/>
      <c r="DV123" s="321"/>
      <c r="DW123" s="321"/>
      <c r="DX123" s="321"/>
      <c r="DY123" s="321"/>
      <c r="DZ123" s="321"/>
      <c r="EA123" s="321"/>
      <c r="EB123" s="321"/>
      <c r="EC123" s="321"/>
      <c r="ED123" s="321"/>
      <c r="EE123" s="321"/>
      <c r="EF123" s="321"/>
      <c r="EG123" s="321"/>
      <c r="EH123" s="321"/>
      <c r="EI123" s="321"/>
      <c r="EJ123" s="321"/>
      <c r="EK123" s="321"/>
      <c r="EL123" s="321"/>
      <c r="EM123" s="321"/>
      <c r="EN123" s="321"/>
      <c r="EO123" s="321"/>
      <c r="EP123" s="321"/>
      <c r="EQ123" s="321"/>
      <c r="ER123" s="321"/>
      <c r="ES123" s="321"/>
      <c r="ET123" s="321"/>
      <c r="EU123" s="321"/>
      <c r="EV123" s="321"/>
      <c r="EW123" s="321"/>
      <c r="EX123" s="321"/>
      <c r="EY123" s="321"/>
      <c r="EZ123" s="321"/>
      <c r="FA123" s="321"/>
      <c r="FB123" s="321"/>
      <c r="FC123" s="321"/>
      <c r="FD123" s="321"/>
      <c r="FE123" s="321"/>
      <c r="FF123" s="321"/>
      <c r="FG123" s="321"/>
      <c r="FH123" s="321"/>
      <c r="FI123" s="321"/>
      <c r="FJ123" s="321"/>
      <c r="FK123" s="321"/>
      <c r="FL123" s="321"/>
      <c r="FM123" s="321"/>
      <c r="FN123" s="321"/>
      <c r="FO123" s="321"/>
      <c r="FP123" s="321"/>
      <c r="FQ123" s="321"/>
      <c r="FR123" s="321"/>
      <c r="FS123" s="321"/>
      <c r="FT123" s="321"/>
      <c r="FU123" s="321"/>
      <c r="FV123" s="321"/>
      <c r="FW123" s="321"/>
      <c r="FX123" s="321"/>
      <c r="FY123" s="321"/>
      <c r="FZ123" s="321"/>
      <c r="GA123" s="321"/>
      <c r="GB123" s="321"/>
      <c r="GC123" s="321"/>
      <c r="GD123" s="321"/>
      <c r="GE123" s="321"/>
      <c r="GF123" s="321"/>
      <c r="GG123" s="321"/>
      <c r="GH123" s="321"/>
      <c r="GI123" s="321"/>
      <c r="GJ123" s="321"/>
      <c r="GK123" s="321"/>
      <c r="GL123" s="321"/>
      <c r="GM123" s="321"/>
      <c r="GN123" s="321"/>
      <c r="GO123" s="321"/>
      <c r="GP123" s="321"/>
      <c r="GQ123" s="321"/>
      <c r="GR123" s="321"/>
      <c r="GS123" s="321"/>
      <c r="GT123" s="321"/>
      <c r="GU123" s="321"/>
      <c r="GV123" s="321"/>
      <c r="GW123" s="321"/>
      <c r="GX123" s="321"/>
      <c r="GY123" s="321"/>
      <c r="GZ123" s="321"/>
      <c r="HA123" s="321"/>
      <c r="HB123" s="321"/>
      <c r="HC123" s="321"/>
      <c r="HD123" s="321"/>
      <c r="HE123" s="321"/>
      <c r="HF123" s="321"/>
      <c r="HG123" s="321"/>
      <c r="HH123" s="321"/>
      <c r="HI123" s="321"/>
      <c r="HJ123" s="321"/>
      <c r="HK123" s="321"/>
      <c r="HL123" s="321"/>
      <c r="HM123" s="321"/>
      <c r="HN123" s="321"/>
      <c r="HO123" s="321"/>
      <c r="HP123" s="321"/>
      <c r="HQ123" s="321"/>
      <c r="HR123" s="321"/>
      <c r="HS123" s="321"/>
      <c r="HT123" s="321"/>
      <c r="HU123" s="321"/>
      <c r="HV123" s="321"/>
      <c r="HW123" s="321"/>
      <c r="HX123" s="321"/>
      <c r="HY123" s="321"/>
      <c r="HZ123" s="321"/>
      <c r="IA123" s="321"/>
      <c r="IB123" s="321"/>
      <c r="IC123" s="321"/>
      <c r="ID123" s="321"/>
      <c r="IE123" s="321"/>
      <c r="IF123" s="321"/>
      <c r="IG123" s="321"/>
      <c r="IH123" s="321"/>
      <c r="II123" s="321"/>
      <c r="IJ123" s="321"/>
      <c r="IK123" s="321"/>
      <c r="IL123" s="321"/>
      <c r="IM123" s="321"/>
      <c r="IN123" s="321"/>
      <c r="IO123" s="321"/>
      <c r="IP123" s="321"/>
      <c r="IQ123" s="321"/>
      <c r="IR123" s="321"/>
      <c r="IS123" s="321"/>
      <c r="IT123" s="321"/>
      <c r="IU123" s="321"/>
      <c r="IV123" s="321"/>
    </row>
    <row r="124" spans="1:17" ht="18" customHeight="1">
      <c r="A124" s="561">
        <v>116</v>
      </c>
      <c r="B124" s="455"/>
      <c r="C124" s="361"/>
      <c r="D124" s="755" t="s">
        <v>303</v>
      </c>
      <c r="E124" s="330"/>
      <c r="F124" s="550"/>
      <c r="G124" s="331"/>
      <c r="H124" s="762"/>
      <c r="I124" s="758"/>
      <c r="J124" s="547"/>
      <c r="K124" s="547"/>
      <c r="L124" s="547"/>
      <c r="M124" s="752">
        <v>10000</v>
      </c>
      <c r="N124" s="547"/>
      <c r="O124" s="547"/>
      <c r="P124" s="745">
        <f>SUM(I124:O124)</f>
        <v>10000</v>
      </c>
      <c r="Q124" s="551"/>
    </row>
    <row r="125" spans="1:17" ht="18" customHeight="1">
      <c r="A125" s="561">
        <v>117</v>
      </c>
      <c r="B125" s="455"/>
      <c r="C125" s="361"/>
      <c r="D125" s="436" t="s">
        <v>994</v>
      </c>
      <c r="E125" s="330"/>
      <c r="F125" s="550"/>
      <c r="G125" s="331"/>
      <c r="H125" s="762"/>
      <c r="I125" s="758"/>
      <c r="J125" s="547"/>
      <c r="K125" s="547"/>
      <c r="L125" s="547"/>
      <c r="M125" s="1131">
        <v>0</v>
      </c>
      <c r="N125" s="1131"/>
      <c r="O125" s="1131"/>
      <c r="P125" s="555">
        <f>SUM(I125:O125)</f>
        <v>0</v>
      </c>
      <c r="Q125" s="551"/>
    </row>
    <row r="126" spans="1:17" ht="18" customHeight="1">
      <c r="A126" s="561">
        <v>118</v>
      </c>
      <c r="B126" s="455"/>
      <c r="C126" s="361"/>
      <c r="D126" s="987" t="s">
        <v>1036</v>
      </c>
      <c r="E126" s="330"/>
      <c r="F126" s="550"/>
      <c r="G126" s="331"/>
      <c r="H126" s="762"/>
      <c r="I126" s="758"/>
      <c r="J126" s="547"/>
      <c r="K126" s="547"/>
      <c r="L126" s="547"/>
      <c r="M126" s="1266">
        <v>0</v>
      </c>
      <c r="N126" s="1266"/>
      <c r="O126" s="1266"/>
      <c r="P126" s="1175">
        <f>SUM(I126:O126)</f>
        <v>0</v>
      </c>
      <c r="Q126" s="551"/>
    </row>
    <row r="127" spans="1:256" s="546" customFormat="1" ht="22.5" customHeight="1">
      <c r="A127" s="561">
        <v>119</v>
      </c>
      <c r="B127" s="554"/>
      <c r="C127" s="361"/>
      <c r="D127" s="323" t="s">
        <v>635</v>
      </c>
      <c r="E127" s="330"/>
      <c r="F127" s="550"/>
      <c r="G127" s="331"/>
      <c r="H127" s="762"/>
      <c r="I127" s="758"/>
      <c r="J127" s="547"/>
      <c r="K127" s="547"/>
      <c r="L127" s="547"/>
      <c r="M127" s="773"/>
      <c r="N127" s="547"/>
      <c r="O127" s="547"/>
      <c r="P127" s="555"/>
      <c r="Q127" s="551"/>
      <c r="R127" s="321"/>
      <c r="S127" s="321"/>
      <c r="T127" s="321"/>
      <c r="U127" s="321"/>
      <c r="V127" s="321"/>
      <c r="W127" s="321"/>
      <c r="X127" s="321"/>
      <c r="Y127" s="321"/>
      <c r="Z127" s="321"/>
      <c r="AA127" s="321"/>
      <c r="AB127" s="321"/>
      <c r="AC127" s="321"/>
      <c r="AD127" s="321"/>
      <c r="AE127" s="321"/>
      <c r="AF127" s="321"/>
      <c r="AG127" s="321"/>
      <c r="AH127" s="321"/>
      <c r="AI127" s="321"/>
      <c r="AJ127" s="321"/>
      <c r="AK127" s="321"/>
      <c r="AL127" s="321"/>
      <c r="AM127" s="321"/>
      <c r="AN127" s="321"/>
      <c r="AO127" s="321"/>
      <c r="AP127" s="321"/>
      <c r="AQ127" s="321"/>
      <c r="AR127" s="321"/>
      <c r="AS127" s="321"/>
      <c r="AT127" s="321"/>
      <c r="AU127" s="321"/>
      <c r="AV127" s="321"/>
      <c r="AW127" s="321"/>
      <c r="AX127" s="321"/>
      <c r="AY127" s="321"/>
      <c r="AZ127" s="321"/>
      <c r="BA127" s="321"/>
      <c r="BB127" s="321"/>
      <c r="BC127" s="321"/>
      <c r="BD127" s="321"/>
      <c r="BE127" s="321"/>
      <c r="BF127" s="321"/>
      <c r="BG127" s="321"/>
      <c r="BH127" s="321"/>
      <c r="BI127" s="321"/>
      <c r="BJ127" s="321"/>
      <c r="BK127" s="321"/>
      <c r="BL127" s="321"/>
      <c r="BM127" s="321"/>
      <c r="BN127" s="321"/>
      <c r="BO127" s="321"/>
      <c r="BP127" s="321"/>
      <c r="BQ127" s="321"/>
      <c r="BR127" s="321"/>
      <c r="BS127" s="321"/>
      <c r="BT127" s="321"/>
      <c r="BU127" s="321"/>
      <c r="BV127" s="321"/>
      <c r="BW127" s="321"/>
      <c r="BX127" s="321"/>
      <c r="BY127" s="321"/>
      <c r="BZ127" s="321"/>
      <c r="CA127" s="321"/>
      <c r="CB127" s="321"/>
      <c r="CC127" s="321"/>
      <c r="CD127" s="321"/>
      <c r="CE127" s="321"/>
      <c r="CF127" s="321"/>
      <c r="CG127" s="321"/>
      <c r="CH127" s="321"/>
      <c r="CI127" s="321"/>
      <c r="CJ127" s="321"/>
      <c r="CK127" s="321"/>
      <c r="CL127" s="321"/>
      <c r="CM127" s="321"/>
      <c r="CN127" s="321"/>
      <c r="CO127" s="321"/>
      <c r="CP127" s="321"/>
      <c r="CQ127" s="321"/>
      <c r="CR127" s="321"/>
      <c r="CS127" s="321"/>
      <c r="CT127" s="321"/>
      <c r="CU127" s="321"/>
      <c r="CV127" s="321"/>
      <c r="CW127" s="321"/>
      <c r="CX127" s="321"/>
      <c r="CY127" s="321"/>
      <c r="CZ127" s="321"/>
      <c r="DA127" s="321"/>
      <c r="DB127" s="321"/>
      <c r="DC127" s="321"/>
      <c r="DD127" s="321"/>
      <c r="DE127" s="321"/>
      <c r="DF127" s="321"/>
      <c r="DG127" s="321"/>
      <c r="DH127" s="321"/>
      <c r="DI127" s="321"/>
      <c r="DJ127" s="321"/>
      <c r="DK127" s="321"/>
      <c r="DL127" s="321"/>
      <c r="DM127" s="321"/>
      <c r="DN127" s="321"/>
      <c r="DO127" s="321"/>
      <c r="DP127" s="321"/>
      <c r="DQ127" s="321"/>
      <c r="DR127" s="321"/>
      <c r="DS127" s="321"/>
      <c r="DT127" s="321"/>
      <c r="DU127" s="321"/>
      <c r="DV127" s="321"/>
      <c r="DW127" s="321"/>
      <c r="DX127" s="321"/>
      <c r="DY127" s="321"/>
      <c r="DZ127" s="321"/>
      <c r="EA127" s="321"/>
      <c r="EB127" s="321"/>
      <c r="EC127" s="321"/>
      <c r="ED127" s="321"/>
      <c r="EE127" s="321"/>
      <c r="EF127" s="321"/>
      <c r="EG127" s="321"/>
      <c r="EH127" s="321"/>
      <c r="EI127" s="321"/>
      <c r="EJ127" s="321"/>
      <c r="EK127" s="321"/>
      <c r="EL127" s="321"/>
      <c r="EM127" s="321"/>
      <c r="EN127" s="321"/>
      <c r="EO127" s="321"/>
      <c r="EP127" s="321"/>
      <c r="EQ127" s="321"/>
      <c r="ER127" s="321"/>
      <c r="ES127" s="321"/>
      <c r="ET127" s="321"/>
      <c r="EU127" s="321"/>
      <c r="EV127" s="321"/>
      <c r="EW127" s="321"/>
      <c r="EX127" s="321"/>
      <c r="EY127" s="321"/>
      <c r="EZ127" s="321"/>
      <c r="FA127" s="321"/>
      <c r="FB127" s="321"/>
      <c r="FC127" s="321"/>
      <c r="FD127" s="321"/>
      <c r="FE127" s="321"/>
      <c r="FF127" s="321"/>
      <c r="FG127" s="321"/>
      <c r="FH127" s="321"/>
      <c r="FI127" s="321"/>
      <c r="FJ127" s="321"/>
      <c r="FK127" s="321"/>
      <c r="FL127" s="321"/>
      <c r="FM127" s="321"/>
      <c r="FN127" s="321"/>
      <c r="FO127" s="321"/>
      <c r="FP127" s="321"/>
      <c r="FQ127" s="321"/>
      <c r="FR127" s="321"/>
      <c r="FS127" s="321"/>
      <c r="FT127" s="321"/>
      <c r="FU127" s="321"/>
      <c r="FV127" s="321"/>
      <c r="FW127" s="321"/>
      <c r="FX127" s="321"/>
      <c r="FY127" s="321"/>
      <c r="FZ127" s="321"/>
      <c r="GA127" s="321"/>
      <c r="GB127" s="321"/>
      <c r="GC127" s="321"/>
      <c r="GD127" s="321"/>
      <c r="GE127" s="321"/>
      <c r="GF127" s="321"/>
      <c r="GG127" s="321"/>
      <c r="GH127" s="321"/>
      <c r="GI127" s="321"/>
      <c r="GJ127" s="321"/>
      <c r="GK127" s="321"/>
      <c r="GL127" s="321"/>
      <c r="GM127" s="321"/>
      <c r="GN127" s="321"/>
      <c r="GO127" s="321"/>
      <c r="GP127" s="321"/>
      <c r="GQ127" s="321"/>
      <c r="GR127" s="321"/>
      <c r="GS127" s="321"/>
      <c r="GT127" s="321"/>
      <c r="GU127" s="321"/>
      <c r="GV127" s="321"/>
      <c r="GW127" s="321"/>
      <c r="GX127" s="321"/>
      <c r="GY127" s="321"/>
      <c r="GZ127" s="321"/>
      <c r="HA127" s="321"/>
      <c r="HB127" s="321"/>
      <c r="HC127" s="321"/>
      <c r="HD127" s="321"/>
      <c r="HE127" s="321"/>
      <c r="HF127" s="321"/>
      <c r="HG127" s="321"/>
      <c r="HH127" s="321"/>
      <c r="HI127" s="321"/>
      <c r="HJ127" s="321"/>
      <c r="HK127" s="321"/>
      <c r="HL127" s="321"/>
      <c r="HM127" s="321"/>
      <c r="HN127" s="321"/>
      <c r="HO127" s="321"/>
      <c r="HP127" s="321"/>
      <c r="HQ127" s="321"/>
      <c r="HR127" s="321"/>
      <c r="HS127" s="321"/>
      <c r="HT127" s="321"/>
      <c r="HU127" s="321"/>
      <c r="HV127" s="321"/>
      <c r="HW127" s="321"/>
      <c r="HX127" s="321"/>
      <c r="HY127" s="321"/>
      <c r="HZ127" s="321"/>
      <c r="IA127" s="321"/>
      <c r="IB127" s="321"/>
      <c r="IC127" s="321"/>
      <c r="ID127" s="321"/>
      <c r="IE127" s="321"/>
      <c r="IF127" s="321"/>
      <c r="IG127" s="321"/>
      <c r="IH127" s="321"/>
      <c r="II127" s="321"/>
      <c r="IJ127" s="321"/>
      <c r="IK127" s="321"/>
      <c r="IL127" s="321"/>
      <c r="IM127" s="321"/>
      <c r="IN127" s="321"/>
      <c r="IO127" s="321"/>
      <c r="IP127" s="321"/>
      <c r="IQ127" s="321"/>
      <c r="IR127" s="321"/>
      <c r="IS127" s="321"/>
      <c r="IT127" s="321"/>
      <c r="IU127" s="321"/>
      <c r="IV127" s="321"/>
    </row>
    <row r="128" spans="1:17" ht="18" customHeight="1">
      <c r="A128" s="561">
        <v>120</v>
      </c>
      <c r="B128" s="455"/>
      <c r="C128" s="361"/>
      <c r="D128" s="755" t="s">
        <v>303</v>
      </c>
      <c r="E128" s="330"/>
      <c r="F128" s="550"/>
      <c r="G128" s="331"/>
      <c r="H128" s="762"/>
      <c r="I128" s="758"/>
      <c r="J128" s="547"/>
      <c r="K128" s="547"/>
      <c r="L128" s="547"/>
      <c r="M128" s="752">
        <v>10000</v>
      </c>
      <c r="N128" s="547"/>
      <c r="O128" s="547"/>
      <c r="P128" s="745">
        <f>SUM(I128:O128)</f>
        <v>10000</v>
      </c>
      <c r="Q128" s="551"/>
    </row>
    <row r="129" spans="1:17" ht="18" customHeight="1">
      <c r="A129" s="561">
        <v>121</v>
      </c>
      <c r="B129" s="455"/>
      <c r="C129" s="361"/>
      <c r="D129" s="436" t="s">
        <v>994</v>
      </c>
      <c r="E129" s="330"/>
      <c r="F129" s="550"/>
      <c r="G129" s="331"/>
      <c r="H129" s="762"/>
      <c r="I129" s="758"/>
      <c r="J129" s="547"/>
      <c r="K129" s="547"/>
      <c r="L129" s="547"/>
      <c r="M129" s="1131">
        <v>0</v>
      </c>
      <c r="N129" s="547"/>
      <c r="O129" s="547"/>
      <c r="P129" s="555">
        <f>SUM(I129:O129)</f>
        <v>0</v>
      </c>
      <c r="Q129" s="551"/>
    </row>
    <row r="130" spans="1:17" ht="18" customHeight="1">
      <c r="A130" s="561">
        <v>122</v>
      </c>
      <c r="B130" s="455"/>
      <c r="C130" s="361"/>
      <c r="D130" s="987" t="s">
        <v>1036</v>
      </c>
      <c r="E130" s="330"/>
      <c r="F130" s="550"/>
      <c r="G130" s="331"/>
      <c r="H130" s="762"/>
      <c r="I130" s="758"/>
      <c r="J130" s="547"/>
      <c r="K130" s="547"/>
      <c r="L130" s="547"/>
      <c r="M130" s="1266">
        <v>0</v>
      </c>
      <c r="N130" s="1266"/>
      <c r="O130" s="1266"/>
      <c r="P130" s="1175">
        <f>SUM(I130:O130)</f>
        <v>0</v>
      </c>
      <c r="Q130" s="551"/>
    </row>
    <row r="131" spans="1:256" s="546" customFormat="1" ht="22.5" customHeight="1">
      <c r="A131" s="561">
        <v>123</v>
      </c>
      <c r="B131" s="554"/>
      <c r="C131" s="361"/>
      <c r="D131" s="323" t="s">
        <v>704</v>
      </c>
      <c r="E131" s="330"/>
      <c r="F131" s="550"/>
      <c r="G131" s="331"/>
      <c r="H131" s="762"/>
      <c r="I131" s="758"/>
      <c r="J131" s="547"/>
      <c r="K131" s="547"/>
      <c r="L131" s="547"/>
      <c r="M131" s="547"/>
      <c r="N131" s="547"/>
      <c r="O131" s="547"/>
      <c r="P131" s="555"/>
      <c r="Q131" s="551"/>
      <c r="R131" s="321"/>
      <c r="S131" s="321"/>
      <c r="T131" s="321"/>
      <c r="U131" s="321"/>
      <c r="V131" s="321"/>
      <c r="W131" s="321"/>
      <c r="X131" s="321"/>
      <c r="Y131" s="321"/>
      <c r="Z131" s="321"/>
      <c r="AA131" s="321"/>
      <c r="AB131" s="321"/>
      <c r="AC131" s="321"/>
      <c r="AD131" s="321"/>
      <c r="AE131" s="321"/>
      <c r="AF131" s="321"/>
      <c r="AG131" s="321"/>
      <c r="AH131" s="321"/>
      <c r="AI131" s="321"/>
      <c r="AJ131" s="321"/>
      <c r="AK131" s="321"/>
      <c r="AL131" s="321"/>
      <c r="AM131" s="321"/>
      <c r="AN131" s="321"/>
      <c r="AO131" s="321"/>
      <c r="AP131" s="321"/>
      <c r="AQ131" s="321"/>
      <c r="AR131" s="321"/>
      <c r="AS131" s="321"/>
      <c r="AT131" s="321"/>
      <c r="AU131" s="321"/>
      <c r="AV131" s="321"/>
      <c r="AW131" s="321"/>
      <c r="AX131" s="321"/>
      <c r="AY131" s="321"/>
      <c r="AZ131" s="321"/>
      <c r="BA131" s="321"/>
      <c r="BB131" s="321"/>
      <c r="BC131" s="321"/>
      <c r="BD131" s="321"/>
      <c r="BE131" s="321"/>
      <c r="BF131" s="321"/>
      <c r="BG131" s="321"/>
      <c r="BH131" s="321"/>
      <c r="BI131" s="321"/>
      <c r="BJ131" s="321"/>
      <c r="BK131" s="321"/>
      <c r="BL131" s="321"/>
      <c r="BM131" s="321"/>
      <c r="BN131" s="321"/>
      <c r="BO131" s="321"/>
      <c r="BP131" s="321"/>
      <c r="BQ131" s="321"/>
      <c r="BR131" s="321"/>
      <c r="BS131" s="321"/>
      <c r="BT131" s="321"/>
      <c r="BU131" s="321"/>
      <c r="BV131" s="321"/>
      <c r="BW131" s="321"/>
      <c r="BX131" s="321"/>
      <c r="BY131" s="321"/>
      <c r="BZ131" s="321"/>
      <c r="CA131" s="321"/>
      <c r="CB131" s="321"/>
      <c r="CC131" s="321"/>
      <c r="CD131" s="321"/>
      <c r="CE131" s="321"/>
      <c r="CF131" s="321"/>
      <c r="CG131" s="321"/>
      <c r="CH131" s="321"/>
      <c r="CI131" s="321"/>
      <c r="CJ131" s="321"/>
      <c r="CK131" s="321"/>
      <c r="CL131" s="321"/>
      <c r="CM131" s="321"/>
      <c r="CN131" s="321"/>
      <c r="CO131" s="321"/>
      <c r="CP131" s="321"/>
      <c r="CQ131" s="321"/>
      <c r="CR131" s="321"/>
      <c r="CS131" s="321"/>
      <c r="CT131" s="321"/>
      <c r="CU131" s="321"/>
      <c r="CV131" s="321"/>
      <c r="CW131" s="321"/>
      <c r="CX131" s="321"/>
      <c r="CY131" s="321"/>
      <c r="CZ131" s="321"/>
      <c r="DA131" s="321"/>
      <c r="DB131" s="321"/>
      <c r="DC131" s="321"/>
      <c r="DD131" s="321"/>
      <c r="DE131" s="321"/>
      <c r="DF131" s="321"/>
      <c r="DG131" s="321"/>
      <c r="DH131" s="321"/>
      <c r="DI131" s="321"/>
      <c r="DJ131" s="321"/>
      <c r="DK131" s="321"/>
      <c r="DL131" s="321"/>
      <c r="DM131" s="321"/>
      <c r="DN131" s="321"/>
      <c r="DO131" s="321"/>
      <c r="DP131" s="321"/>
      <c r="DQ131" s="321"/>
      <c r="DR131" s="321"/>
      <c r="DS131" s="321"/>
      <c r="DT131" s="321"/>
      <c r="DU131" s="321"/>
      <c r="DV131" s="321"/>
      <c r="DW131" s="321"/>
      <c r="DX131" s="321"/>
      <c r="DY131" s="321"/>
      <c r="DZ131" s="321"/>
      <c r="EA131" s="321"/>
      <c r="EB131" s="321"/>
      <c r="EC131" s="321"/>
      <c r="ED131" s="321"/>
      <c r="EE131" s="321"/>
      <c r="EF131" s="321"/>
      <c r="EG131" s="321"/>
      <c r="EH131" s="321"/>
      <c r="EI131" s="321"/>
      <c r="EJ131" s="321"/>
      <c r="EK131" s="321"/>
      <c r="EL131" s="321"/>
      <c r="EM131" s="321"/>
      <c r="EN131" s="321"/>
      <c r="EO131" s="321"/>
      <c r="EP131" s="321"/>
      <c r="EQ131" s="321"/>
      <c r="ER131" s="321"/>
      <c r="ES131" s="321"/>
      <c r="ET131" s="321"/>
      <c r="EU131" s="321"/>
      <c r="EV131" s="321"/>
      <c r="EW131" s="321"/>
      <c r="EX131" s="321"/>
      <c r="EY131" s="321"/>
      <c r="EZ131" s="321"/>
      <c r="FA131" s="321"/>
      <c r="FB131" s="321"/>
      <c r="FC131" s="321"/>
      <c r="FD131" s="321"/>
      <c r="FE131" s="321"/>
      <c r="FF131" s="321"/>
      <c r="FG131" s="321"/>
      <c r="FH131" s="321"/>
      <c r="FI131" s="321"/>
      <c r="FJ131" s="321"/>
      <c r="FK131" s="321"/>
      <c r="FL131" s="321"/>
      <c r="FM131" s="321"/>
      <c r="FN131" s="321"/>
      <c r="FO131" s="321"/>
      <c r="FP131" s="321"/>
      <c r="FQ131" s="321"/>
      <c r="FR131" s="321"/>
      <c r="FS131" s="321"/>
      <c r="FT131" s="321"/>
      <c r="FU131" s="321"/>
      <c r="FV131" s="321"/>
      <c r="FW131" s="321"/>
      <c r="FX131" s="321"/>
      <c r="FY131" s="321"/>
      <c r="FZ131" s="321"/>
      <c r="GA131" s="321"/>
      <c r="GB131" s="321"/>
      <c r="GC131" s="321"/>
      <c r="GD131" s="321"/>
      <c r="GE131" s="321"/>
      <c r="GF131" s="321"/>
      <c r="GG131" s="321"/>
      <c r="GH131" s="321"/>
      <c r="GI131" s="321"/>
      <c r="GJ131" s="321"/>
      <c r="GK131" s="321"/>
      <c r="GL131" s="321"/>
      <c r="GM131" s="321"/>
      <c r="GN131" s="321"/>
      <c r="GO131" s="321"/>
      <c r="GP131" s="321"/>
      <c r="GQ131" s="321"/>
      <c r="GR131" s="321"/>
      <c r="GS131" s="321"/>
      <c r="GT131" s="321"/>
      <c r="GU131" s="321"/>
      <c r="GV131" s="321"/>
      <c r="GW131" s="321"/>
      <c r="GX131" s="321"/>
      <c r="GY131" s="321"/>
      <c r="GZ131" s="321"/>
      <c r="HA131" s="321"/>
      <c r="HB131" s="321"/>
      <c r="HC131" s="321"/>
      <c r="HD131" s="321"/>
      <c r="HE131" s="321"/>
      <c r="HF131" s="321"/>
      <c r="HG131" s="321"/>
      <c r="HH131" s="321"/>
      <c r="HI131" s="321"/>
      <c r="HJ131" s="321"/>
      <c r="HK131" s="321"/>
      <c r="HL131" s="321"/>
      <c r="HM131" s="321"/>
      <c r="HN131" s="321"/>
      <c r="HO131" s="321"/>
      <c r="HP131" s="321"/>
      <c r="HQ131" s="321"/>
      <c r="HR131" s="321"/>
      <c r="HS131" s="321"/>
      <c r="HT131" s="321"/>
      <c r="HU131" s="321"/>
      <c r="HV131" s="321"/>
      <c r="HW131" s="321"/>
      <c r="HX131" s="321"/>
      <c r="HY131" s="321"/>
      <c r="HZ131" s="321"/>
      <c r="IA131" s="321"/>
      <c r="IB131" s="321"/>
      <c r="IC131" s="321"/>
      <c r="ID131" s="321"/>
      <c r="IE131" s="321"/>
      <c r="IF131" s="321"/>
      <c r="IG131" s="321"/>
      <c r="IH131" s="321"/>
      <c r="II131" s="321"/>
      <c r="IJ131" s="321"/>
      <c r="IK131" s="321"/>
      <c r="IL131" s="321"/>
      <c r="IM131" s="321"/>
      <c r="IN131" s="321"/>
      <c r="IO131" s="321"/>
      <c r="IP131" s="321"/>
      <c r="IQ131" s="321"/>
      <c r="IR131" s="321"/>
      <c r="IS131" s="321"/>
      <c r="IT131" s="321"/>
      <c r="IU131" s="321"/>
      <c r="IV131" s="321"/>
    </row>
    <row r="132" spans="1:17" ht="18" customHeight="1">
      <c r="A132" s="561">
        <v>124</v>
      </c>
      <c r="B132" s="455"/>
      <c r="C132" s="361"/>
      <c r="D132" s="755" t="s">
        <v>303</v>
      </c>
      <c r="E132" s="330"/>
      <c r="F132" s="550"/>
      <c r="G132" s="331"/>
      <c r="H132" s="762"/>
      <c r="I132" s="758"/>
      <c r="J132" s="547"/>
      <c r="K132" s="547"/>
      <c r="L132" s="547"/>
      <c r="M132" s="752">
        <f>1896745-152400+108305+20250+6804+78300+10000</f>
        <v>1968004</v>
      </c>
      <c r="N132" s="547"/>
      <c r="O132" s="547"/>
      <c r="P132" s="745">
        <f>SUM(I132:O132)</f>
        <v>1968004</v>
      </c>
      <c r="Q132" s="551"/>
    </row>
    <row r="133" spans="1:17" ht="18" customHeight="1">
      <c r="A133" s="561">
        <v>125</v>
      </c>
      <c r="B133" s="455"/>
      <c r="C133" s="361"/>
      <c r="D133" s="436" t="s">
        <v>994</v>
      </c>
      <c r="E133" s="330"/>
      <c r="F133" s="550"/>
      <c r="G133" s="331"/>
      <c r="H133" s="762"/>
      <c r="I133" s="758"/>
      <c r="J133" s="547"/>
      <c r="K133" s="547"/>
      <c r="L133" s="547"/>
      <c r="M133" s="1131">
        <v>0</v>
      </c>
      <c r="N133" s="547"/>
      <c r="O133" s="547"/>
      <c r="P133" s="555">
        <f>SUM(I133:O133)</f>
        <v>0</v>
      </c>
      <c r="Q133" s="551"/>
    </row>
    <row r="134" spans="1:17" ht="18" customHeight="1">
      <c r="A134" s="561">
        <v>126</v>
      </c>
      <c r="B134" s="455"/>
      <c r="C134" s="361"/>
      <c r="D134" s="987" t="s">
        <v>1036</v>
      </c>
      <c r="E134" s="330"/>
      <c r="F134" s="550"/>
      <c r="G134" s="331"/>
      <c r="H134" s="762"/>
      <c r="I134" s="758"/>
      <c r="J134" s="547"/>
      <c r="K134" s="547"/>
      <c r="L134" s="547"/>
      <c r="M134" s="1266">
        <v>0</v>
      </c>
      <c r="N134" s="1266"/>
      <c r="O134" s="1266"/>
      <c r="P134" s="1175">
        <f>SUM(I134:O134)</f>
        <v>0</v>
      </c>
      <c r="Q134" s="551"/>
    </row>
    <row r="135" spans="1:17" ht="22.5" customHeight="1">
      <c r="A135" s="561">
        <v>127</v>
      </c>
      <c r="B135" s="455"/>
      <c r="C135" s="361"/>
      <c r="D135" s="323" t="s">
        <v>706</v>
      </c>
      <c r="E135" s="330"/>
      <c r="F135" s="550"/>
      <c r="G135" s="331"/>
      <c r="H135" s="762"/>
      <c r="I135" s="758"/>
      <c r="J135" s="547"/>
      <c r="K135" s="547"/>
      <c r="L135" s="547"/>
      <c r="M135" s="773"/>
      <c r="N135" s="547"/>
      <c r="O135" s="547"/>
      <c r="P135" s="745"/>
      <c r="Q135" s="551"/>
    </row>
    <row r="136" spans="1:17" ht="18" customHeight="1">
      <c r="A136" s="561">
        <v>128</v>
      </c>
      <c r="B136" s="455"/>
      <c r="C136" s="822"/>
      <c r="D136" s="1310" t="s">
        <v>303</v>
      </c>
      <c r="E136" s="828"/>
      <c r="F136" s="829"/>
      <c r="G136" s="830"/>
      <c r="H136" s="831"/>
      <c r="I136" s="832"/>
      <c r="J136" s="833"/>
      <c r="K136" s="833"/>
      <c r="L136" s="833"/>
      <c r="M136" s="826">
        <v>152400</v>
      </c>
      <c r="N136" s="833"/>
      <c r="O136" s="833"/>
      <c r="P136" s="827">
        <f>SUM(I136:O136)</f>
        <v>152400</v>
      </c>
      <c r="Q136" s="821"/>
    </row>
    <row r="137" spans="1:17" ht="18" customHeight="1">
      <c r="A137" s="561">
        <v>129</v>
      </c>
      <c r="B137" s="455"/>
      <c r="C137" s="1296"/>
      <c r="D137" s="436" t="s">
        <v>994</v>
      </c>
      <c r="E137" s="828"/>
      <c r="F137" s="829"/>
      <c r="G137" s="830"/>
      <c r="H137" s="831"/>
      <c r="I137" s="832"/>
      <c r="J137" s="832"/>
      <c r="K137" s="832"/>
      <c r="L137" s="832"/>
      <c r="M137" s="1295">
        <v>0</v>
      </c>
      <c r="N137" s="1295"/>
      <c r="O137" s="1295"/>
      <c r="P137" s="1140">
        <f>SUM(I137:O137)</f>
        <v>0</v>
      </c>
      <c r="Q137" s="821"/>
    </row>
    <row r="138" spans="1:17" ht="18" customHeight="1" thickBot="1">
      <c r="A138" s="561">
        <v>130</v>
      </c>
      <c r="B138" s="455"/>
      <c r="C138" s="1139"/>
      <c r="D138" s="338" t="s">
        <v>1036</v>
      </c>
      <c r="E138" s="330"/>
      <c r="F138" s="550"/>
      <c r="G138" s="331"/>
      <c r="H138" s="762"/>
      <c r="I138" s="758"/>
      <c r="J138" s="758"/>
      <c r="K138" s="758"/>
      <c r="L138" s="758"/>
      <c r="M138" s="1269">
        <v>0</v>
      </c>
      <c r="N138" s="758"/>
      <c r="O138" s="758"/>
      <c r="P138" s="1992">
        <f>SUM(I138:O138)</f>
        <v>0</v>
      </c>
      <c r="Q138" s="551"/>
    </row>
    <row r="139" spans="1:256" s="546" customFormat="1" ht="21.75" customHeight="1" thickTop="1">
      <c r="A139" s="561">
        <v>131</v>
      </c>
      <c r="B139" s="554"/>
      <c r="C139" s="1977"/>
      <c r="D139" s="1975" t="s">
        <v>756</v>
      </c>
      <c r="E139" s="1978">
        <f>E79+E76+E73+E70+E67+E63</f>
        <v>216541</v>
      </c>
      <c r="F139" s="1978">
        <f>F79+F76+F73+F70+F67+F63</f>
        <v>0</v>
      </c>
      <c r="G139" s="1978">
        <f>G79+G76+G73+G70+G67+G63</f>
        <v>0</v>
      </c>
      <c r="H139" s="1979"/>
      <c r="I139" s="1980"/>
      <c r="J139" s="1980"/>
      <c r="K139" s="1980"/>
      <c r="L139" s="1980"/>
      <c r="M139" s="1980"/>
      <c r="N139" s="1980"/>
      <c r="O139" s="1980"/>
      <c r="P139" s="1980"/>
      <c r="Q139" s="1981"/>
      <c r="R139" s="321"/>
      <c r="S139" s="321"/>
      <c r="T139" s="321"/>
      <c r="U139" s="321"/>
      <c r="V139" s="321"/>
      <c r="W139" s="321"/>
      <c r="X139" s="321"/>
      <c r="Y139" s="321"/>
      <c r="Z139" s="321"/>
      <c r="AA139" s="321"/>
      <c r="AB139" s="321"/>
      <c r="AC139" s="321"/>
      <c r="AD139" s="321"/>
      <c r="AE139" s="321"/>
      <c r="AF139" s="321"/>
      <c r="AG139" s="321"/>
      <c r="AH139" s="321"/>
      <c r="AI139" s="321"/>
      <c r="AJ139" s="321"/>
      <c r="AK139" s="321"/>
      <c r="AL139" s="321"/>
      <c r="AM139" s="321"/>
      <c r="AN139" s="321"/>
      <c r="AO139" s="321"/>
      <c r="AP139" s="321"/>
      <c r="AQ139" s="321"/>
      <c r="AR139" s="321"/>
      <c r="AS139" s="321"/>
      <c r="AT139" s="321"/>
      <c r="AU139" s="321"/>
      <c r="AV139" s="321"/>
      <c r="AW139" s="321"/>
      <c r="AX139" s="321"/>
      <c r="AY139" s="321"/>
      <c r="AZ139" s="321"/>
      <c r="BA139" s="321"/>
      <c r="BB139" s="321"/>
      <c r="BC139" s="321"/>
      <c r="BD139" s="321"/>
      <c r="BE139" s="321"/>
      <c r="BF139" s="321"/>
      <c r="BG139" s="321"/>
      <c r="BH139" s="321"/>
      <c r="BI139" s="321"/>
      <c r="BJ139" s="321"/>
      <c r="BK139" s="321"/>
      <c r="BL139" s="321"/>
      <c r="BM139" s="321"/>
      <c r="BN139" s="321"/>
      <c r="BO139" s="321"/>
      <c r="BP139" s="321"/>
      <c r="BQ139" s="321"/>
      <c r="BR139" s="321"/>
      <c r="BS139" s="321"/>
      <c r="BT139" s="321"/>
      <c r="BU139" s="321"/>
      <c r="BV139" s="321"/>
      <c r="BW139" s="321"/>
      <c r="BX139" s="321"/>
      <c r="BY139" s="321"/>
      <c r="BZ139" s="321"/>
      <c r="CA139" s="321"/>
      <c r="CB139" s="321"/>
      <c r="CC139" s="321"/>
      <c r="CD139" s="321"/>
      <c r="CE139" s="321"/>
      <c r="CF139" s="321"/>
      <c r="CG139" s="321"/>
      <c r="CH139" s="321"/>
      <c r="CI139" s="321"/>
      <c r="CJ139" s="321"/>
      <c r="CK139" s="321"/>
      <c r="CL139" s="321"/>
      <c r="CM139" s="321"/>
      <c r="CN139" s="321"/>
      <c r="CO139" s="321"/>
      <c r="CP139" s="321"/>
      <c r="CQ139" s="321"/>
      <c r="CR139" s="321"/>
      <c r="CS139" s="321"/>
      <c r="CT139" s="321"/>
      <c r="CU139" s="321"/>
      <c r="CV139" s="321"/>
      <c r="CW139" s="321"/>
      <c r="CX139" s="321"/>
      <c r="CY139" s="321"/>
      <c r="CZ139" s="321"/>
      <c r="DA139" s="321"/>
      <c r="DB139" s="321"/>
      <c r="DC139" s="321"/>
      <c r="DD139" s="321"/>
      <c r="DE139" s="321"/>
      <c r="DF139" s="321"/>
      <c r="DG139" s="321"/>
      <c r="DH139" s="321"/>
      <c r="DI139" s="321"/>
      <c r="DJ139" s="321"/>
      <c r="DK139" s="321"/>
      <c r="DL139" s="321"/>
      <c r="DM139" s="321"/>
      <c r="DN139" s="321"/>
      <c r="DO139" s="321"/>
      <c r="DP139" s="321"/>
      <c r="DQ139" s="321"/>
      <c r="DR139" s="321"/>
      <c r="DS139" s="321"/>
      <c r="DT139" s="321"/>
      <c r="DU139" s="321"/>
      <c r="DV139" s="321"/>
      <c r="DW139" s="321"/>
      <c r="DX139" s="321"/>
      <c r="DY139" s="321"/>
      <c r="DZ139" s="321"/>
      <c r="EA139" s="321"/>
      <c r="EB139" s="321"/>
      <c r="EC139" s="321"/>
      <c r="ED139" s="321"/>
      <c r="EE139" s="321"/>
      <c r="EF139" s="321"/>
      <c r="EG139" s="321"/>
      <c r="EH139" s="321"/>
      <c r="EI139" s="321"/>
      <c r="EJ139" s="321"/>
      <c r="EK139" s="321"/>
      <c r="EL139" s="321"/>
      <c r="EM139" s="321"/>
      <c r="EN139" s="321"/>
      <c r="EO139" s="321"/>
      <c r="EP139" s="321"/>
      <c r="EQ139" s="321"/>
      <c r="ER139" s="321"/>
      <c r="ES139" s="321"/>
      <c r="ET139" s="321"/>
      <c r="EU139" s="321"/>
      <c r="EV139" s="321"/>
      <c r="EW139" s="321"/>
      <c r="EX139" s="321"/>
      <c r="EY139" s="321"/>
      <c r="EZ139" s="321"/>
      <c r="FA139" s="321"/>
      <c r="FB139" s="321"/>
      <c r="FC139" s="321"/>
      <c r="FD139" s="321"/>
      <c r="FE139" s="321"/>
      <c r="FF139" s="321"/>
      <c r="FG139" s="321"/>
      <c r="FH139" s="321"/>
      <c r="FI139" s="321"/>
      <c r="FJ139" s="321"/>
      <c r="FK139" s="321"/>
      <c r="FL139" s="321"/>
      <c r="FM139" s="321"/>
      <c r="FN139" s="321"/>
      <c r="FO139" s="321"/>
      <c r="FP139" s="321"/>
      <c r="FQ139" s="321"/>
      <c r="FR139" s="321"/>
      <c r="FS139" s="321"/>
      <c r="FT139" s="321"/>
      <c r="FU139" s="321"/>
      <c r="FV139" s="321"/>
      <c r="FW139" s="321"/>
      <c r="FX139" s="321"/>
      <c r="FY139" s="321"/>
      <c r="FZ139" s="321"/>
      <c r="GA139" s="321"/>
      <c r="GB139" s="321"/>
      <c r="GC139" s="321"/>
      <c r="GD139" s="321"/>
      <c r="GE139" s="321"/>
      <c r="GF139" s="321"/>
      <c r="GG139" s="321"/>
      <c r="GH139" s="321"/>
      <c r="GI139" s="321"/>
      <c r="GJ139" s="321"/>
      <c r="GK139" s="321"/>
      <c r="GL139" s="321"/>
      <c r="GM139" s="321"/>
      <c r="GN139" s="321"/>
      <c r="GO139" s="321"/>
      <c r="GP139" s="321"/>
      <c r="GQ139" s="321"/>
      <c r="GR139" s="321"/>
      <c r="GS139" s="321"/>
      <c r="GT139" s="321"/>
      <c r="GU139" s="321"/>
      <c r="GV139" s="321"/>
      <c r="GW139" s="321"/>
      <c r="GX139" s="321"/>
      <c r="GY139" s="321"/>
      <c r="GZ139" s="321"/>
      <c r="HA139" s="321"/>
      <c r="HB139" s="321"/>
      <c r="HC139" s="321"/>
      <c r="HD139" s="321"/>
      <c r="HE139" s="321"/>
      <c r="HF139" s="321"/>
      <c r="HG139" s="321"/>
      <c r="HH139" s="321"/>
      <c r="HI139" s="321"/>
      <c r="HJ139" s="321"/>
      <c r="HK139" s="321"/>
      <c r="HL139" s="321"/>
      <c r="HM139" s="321"/>
      <c r="HN139" s="321"/>
      <c r="HO139" s="321"/>
      <c r="HP139" s="321"/>
      <c r="HQ139" s="321"/>
      <c r="HR139" s="321"/>
      <c r="HS139" s="321"/>
      <c r="HT139" s="321"/>
      <c r="HU139" s="321"/>
      <c r="HV139" s="321"/>
      <c r="HW139" s="321"/>
      <c r="HX139" s="321"/>
      <c r="HY139" s="321"/>
      <c r="HZ139" s="321"/>
      <c r="IA139" s="321"/>
      <c r="IB139" s="321"/>
      <c r="IC139" s="321"/>
      <c r="ID139" s="321"/>
      <c r="IE139" s="321"/>
      <c r="IF139" s="321"/>
      <c r="IG139" s="321"/>
      <c r="IH139" s="321"/>
      <c r="II139" s="321"/>
      <c r="IJ139" s="321"/>
      <c r="IK139" s="321"/>
      <c r="IL139" s="321"/>
      <c r="IM139" s="321"/>
      <c r="IN139" s="321"/>
      <c r="IO139" s="321"/>
      <c r="IP139" s="321"/>
      <c r="IQ139" s="321"/>
      <c r="IR139" s="321"/>
      <c r="IS139" s="321"/>
      <c r="IT139" s="321"/>
      <c r="IU139" s="321"/>
      <c r="IV139" s="321"/>
    </row>
    <row r="140" spans="1:256" s="546" customFormat="1" ht="21.75" customHeight="1">
      <c r="A140" s="561">
        <v>132</v>
      </c>
      <c r="B140" s="544"/>
      <c r="C140" s="1141"/>
      <c r="D140" s="1376" t="s">
        <v>303</v>
      </c>
      <c r="E140" s="328"/>
      <c r="F140" s="328"/>
      <c r="G140" s="327"/>
      <c r="H140" s="761"/>
      <c r="I140" s="1152">
        <f aca="true" t="shared" si="3" ref="I140:P140">I136+I132+I128+I124+I120+I116+I112+I108+I104+I100+I96+I92+I88+I83+I64</f>
        <v>0</v>
      </c>
      <c r="J140" s="1152">
        <f t="shared" si="3"/>
        <v>0</v>
      </c>
      <c r="K140" s="1152">
        <f t="shared" si="3"/>
        <v>197850</v>
      </c>
      <c r="L140" s="1152">
        <f t="shared" si="3"/>
        <v>165075</v>
      </c>
      <c r="M140" s="1152">
        <f t="shared" si="3"/>
        <v>2664544</v>
      </c>
      <c r="N140" s="1152">
        <f t="shared" si="3"/>
        <v>0</v>
      </c>
      <c r="O140" s="1152">
        <f t="shared" si="3"/>
        <v>0</v>
      </c>
      <c r="P140" s="1976">
        <f t="shared" si="3"/>
        <v>3027469</v>
      </c>
      <c r="Q140" s="1143"/>
      <c r="R140" s="321"/>
      <c r="S140" s="321"/>
      <c r="T140" s="321"/>
      <c r="U140" s="321"/>
      <c r="V140" s="321"/>
      <c r="W140" s="321"/>
      <c r="X140" s="321"/>
      <c r="Y140" s="321"/>
      <c r="Z140" s="321"/>
      <c r="AA140" s="321"/>
      <c r="AB140" s="321"/>
      <c r="AC140" s="321"/>
      <c r="AD140" s="321"/>
      <c r="AE140" s="321"/>
      <c r="AF140" s="321"/>
      <c r="AG140" s="321"/>
      <c r="AH140" s="321"/>
      <c r="AI140" s="321"/>
      <c r="AJ140" s="321"/>
      <c r="AK140" s="321"/>
      <c r="AL140" s="321"/>
      <c r="AM140" s="321"/>
      <c r="AN140" s="321"/>
      <c r="AO140" s="321"/>
      <c r="AP140" s="321"/>
      <c r="AQ140" s="321"/>
      <c r="AR140" s="321"/>
      <c r="AS140" s="321"/>
      <c r="AT140" s="321"/>
      <c r="AU140" s="321"/>
      <c r="AV140" s="321"/>
      <c r="AW140" s="321"/>
      <c r="AX140" s="321"/>
      <c r="AY140" s="321"/>
      <c r="AZ140" s="321"/>
      <c r="BA140" s="321"/>
      <c r="BB140" s="321"/>
      <c r="BC140" s="321"/>
      <c r="BD140" s="321"/>
      <c r="BE140" s="321"/>
      <c r="BF140" s="321"/>
      <c r="BG140" s="321"/>
      <c r="BH140" s="321"/>
      <c r="BI140" s="321"/>
      <c r="BJ140" s="321"/>
      <c r="BK140" s="321"/>
      <c r="BL140" s="321"/>
      <c r="BM140" s="321"/>
      <c r="BN140" s="321"/>
      <c r="BO140" s="321"/>
      <c r="BP140" s="321"/>
      <c r="BQ140" s="321"/>
      <c r="BR140" s="321"/>
      <c r="BS140" s="321"/>
      <c r="BT140" s="321"/>
      <c r="BU140" s="321"/>
      <c r="BV140" s="321"/>
      <c r="BW140" s="321"/>
      <c r="BX140" s="321"/>
      <c r="BY140" s="321"/>
      <c r="BZ140" s="321"/>
      <c r="CA140" s="321"/>
      <c r="CB140" s="321"/>
      <c r="CC140" s="321"/>
      <c r="CD140" s="321"/>
      <c r="CE140" s="321"/>
      <c r="CF140" s="321"/>
      <c r="CG140" s="321"/>
      <c r="CH140" s="321"/>
      <c r="CI140" s="321"/>
      <c r="CJ140" s="321"/>
      <c r="CK140" s="321"/>
      <c r="CL140" s="321"/>
      <c r="CM140" s="321"/>
      <c r="CN140" s="321"/>
      <c r="CO140" s="321"/>
      <c r="CP140" s="321"/>
      <c r="CQ140" s="321"/>
      <c r="CR140" s="321"/>
      <c r="CS140" s="321"/>
      <c r="CT140" s="321"/>
      <c r="CU140" s="321"/>
      <c r="CV140" s="321"/>
      <c r="CW140" s="321"/>
      <c r="CX140" s="321"/>
      <c r="CY140" s="321"/>
      <c r="CZ140" s="321"/>
      <c r="DA140" s="321"/>
      <c r="DB140" s="321"/>
      <c r="DC140" s="321"/>
      <c r="DD140" s="321"/>
      <c r="DE140" s="321"/>
      <c r="DF140" s="321"/>
      <c r="DG140" s="321"/>
      <c r="DH140" s="321"/>
      <c r="DI140" s="321"/>
      <c r="DJ140" s="321"/>
      <c r="DK140" s="321"/>
      <c r="DL140" s="321"/>
      <c r="DM140" s="321"/>
      <c r="DN140" s="321"/>
      <c r="DO140" s="321"/>
      <c r="DP140" s="321"/>
      <c r="DQ140" s="321"/>
      <c r="DR140" s="321"/>
      <c r="DS140" s="321"/>
      <c r="DT140" s="321"/>
      <c r="DU140" s="321"/>
      <c r="DV140" s="321"/>
      <c r="DW140" s="321"/>
      <c r="DX140" s="321"/>
      <c r="DY140" s="321"/>
      <c r="DZ140" s="321"/>
      <c r="EA140" s="321"/>
      <c r="EB140" s="321"/>
      <c r="EC140" s="321"/>
      <c r="ED140" s="321"/>
      <c r="EE140" s="321"/>
      <c r="EF140" s="321"/>
      <c r="EG140" s="321"/>
      <c r="EH140" s="321"/>
      <c r="EI140" s="321"/>
      <c r="EJ140" s="321"/>
      <c r="EK140" s="321"/>
      <c r="EL140" s="321"/>
      <c r="EM140" s="321"/>
      <c r="EN140" s="321"/>
      <c r="EO140" s="321"/>
      <c r="EP140" s="321"/>
      <c r="EQ140" s="321"/>
      <c r="ER140" s="321"/>
      <c r="ES140" s="321"/>
      <c r="ET140" s="321"/>
      <c r="EU140" s="321"/>
      <c r="EV140" s="321"/>
      <c r="EW140" s="321"/>
      <c r="EX140" s="321"/>
      <c r="EY140" s="321"/>
      <c r="EZ140" s="321"/>
      <c r="FA140" s="321"/>
      <c r="FB140" s="321"/>
      <c r="FC140" s="321"/>
      <c r="FD140" s="321"/>
      <c r="FE140" s="321"/>
      <c r="FF140" s="321"/>
      <c r="FG140" s="321"/>
      <c r="FH140" s="321"/>
      <c r="FI140" s="321"/>
      <c r="FJ140" s="321"/>
      <c r="FK140" s="321"/>
      <c r="FL140" s="321"/>
      <c r="FM140" s="321"/>
      <c r="FN140" s="321"/>
      <c r="FO140" s="321"/>
      <c r="FP140" s="321"/>
      <c r="FQ140" s="321"/>
      <c r="FR140" s="321"/>
      <c r="FS140" s="321"/>
      <c r="FT140" s="321"/>
      <c r="FU140" s="321"/>
      <c r="FV140" s="321"/>
      <c r="FW140" s="321"/>
      <c r="FX140" s="321"/>
      <c r="FY140" s="321"/>
      <c r="FZ140" s="321"/>
      <c r="GA140" s="321"/>
      <c r="GB140" s="321"/>
      <c r="GC140" s="321"/>
      <c r="GD140" s="321"/>
      <c r="GE140" s="321"/>
      <c r="GF140" s="321"/>
      <c r="GG140" s="321"/>
      <c r="GH140" s="321"/>
      <c r="GI140" s="321"/>
      <c r="GJ140" s="321"/>
      <c r="GK140" s="321"/>
      <c r="GL140" s="321"/>
      <c r="GM140" s="321"/>
      <c r="GN140" s="321"/>
      <c r="GO140" s="321"/>
      <c r="GP140" s="321"/>
      <c r="GQ140" s="321"/>
      <c r="GR140" s="321"/>
      <c r="GS140" s="321"/>
      <c r="GT140" s="321"/>
      <c r="GU140" s="321"/>
      <c r="GV140" s="321"/>
      <c r="GW140" s="321"/>
      <c r="GX140" s="321"/>
      <c r="GY140" s="321"/>
      <c r="GZ140" s="321"/>
      <c r="HA140" s="321"/>
      <c r="HB140" s="321"/>
      <c r="HC140" s="321"/>
      <c r="HD140" s="321"/>
      <c r="HE140" s="321"/>
      <c r="HF140" s="321"/>
      <c r="HG140" s="321"/>
      <c r="HH140" s="321"/>
      <c r="HI140" s="321"/>
      <c r="HJ140" s="321"/>
      <c r="HK140" s="321"/>
      <c r="HL140" s="321"/>
      <c r="HM140" s="321"/>
      <c r="HN140" s="321"/>
      <c r="HO140" s="321"/>
      <c r="HP140" s="321"/>
      <c r="HQ140" s="321"/>
      <c r="HR140" s="321"/>
      <c r="HS140" s="321"/>
      <c r="HT140" s="321"/>
      <c r="HU140" s="321"/>
      <c r="HV140" s="321"/>
      <c r="HW140" s="321"/>
      <c r="HX140" s="321"/>
      <c r="HY140" s="321"/>
      <c r="HZ140" s="321"/>
      <c r="IA140" s="321"/>
      <c r="IB140" s="321"/>
      <c r="IC140" s="321"/>
      <c r="ID140" s="321"/>
      <c r="IE140" s="321"/>
      <c r="IF140" s="321"/>
      <c r="IG140" s="321"/>
      <c r="IH140" s="321"/>
      <c r="II140" s="321"/>
      <c r="IJ140" s="321"/>
      <c r="IK140" s="321"/>
      <c r="IL140" s="321"/>
      <c r="IM140" s="321"/>
      <c r="IN140" s="321"/>
      <c r="IO140" s="321"/>
      <c r="IP140" s="321"/>
      <c r="IQ140" s="321"/>
      <c r="IR140" s="321"/>
      <c r="IS140" s="321"/>
      <c r="IT140" s="321"/>
      <c r="IU140" s="321"/>
      <c r="IV140" s="321"/>
    </row>
    <row r="141" spans="1:256" s="546" customFormat="1" ht="21.75" customHeight="1">
      <c r="A141" s="561">
        <v>133</v>
      </c>
      <c r="B141" s="544"/>
      <c r="C141" s="1141"/>
      <c r="D141" s="436" t="s">
        <v>994</v>
      </c>
      <c r="E141" s="328"/>
      <c r="F141" s="328"/>
      <c r="G141" s="327"/>
      <c r="H141" s="761"/>
      <c r="I141" s="1303">
        <f aca="true" t="shared" si="4" ref="I141:O142">I137+I133+I129+I125+I121+I117+I113+I109+I105+I101+I97+I93+I89+I84+I65+I80+I77+I74+I71+I68</f>
        <v>3600</v>
      </c>
      <c r="J141" s="1303">
        <f t="shared" si="4"/>
        <v>535</v>
      </c>
      <c r="K141" s="1303">
        <f t="shared" si="4"/>
        <v>2070</v>
      </c>
      <c r="L141" s="1303">
        <f t="shared" si="4"/>
        <v>0</v>
      </c>
      <c r="M141" s="1303">
        <f t="shared" si="4"/>
        <v>210336</v>
      </c>
      <c r="N141" s="1303">
        <f t="shared" si="4"/>
        <v>0</v>
      </c>
      <c r="O141" s="1303">
        <f t="shared" si="4"/>
        <v>0</v>
      </c>
      <c r="P141" s="555">
        <f>SUM(I141:O141)</f>
        <v>216541</v>
      </c>
      <c r="Q141" s="1143"/>
      <c r="R141" s="321"/>
      <c r="S141" s="321"/>
      <c r="T141" s="321"/>
      <c r="U141" s="321"/>
      <c r="V141" s="321"/>
      <c r="W141" s="321"/>
      <c r="X141" s="321"/>
      <c r="Y141" s="321"/>
      <c r="Z141" s="321"/>
      <c r="AA141" s="321"/>
      <c r="AB141" s="321"/>
      <c r="AC141" s="321"/>
      <c r="AD141" s="321"/>
      <c r="AE141" s="321"/>
      <c r="AF141" s="321"/>
      <c r="AG141" s="321"/>
      <c r="AH141" s="321"/>
      <c r="AI141" s="321"/>
      <c r="AJ141" s="321"/>
      <c r="AK141" s="321"/>
      <c r="AL141" s="321"/>
      <c r="AM141" s="321"/>
      <c r="AN141" s="321"/>
      <c r="AO141" s="321"/>
      <c r="AP141" s="321"/>
      <c r="AQ141" s="321"/>
      <c r="AR141" s="321"/>
      <c r="AS141" s="321"/>
      <c r="AT141" s="321"/>
      <c r="AU141" s="321"/>
      <c r="AV141" s="321"/>
      <c r="AW141" s="321"/>
      <c r="AX141" s="321"/>
      <c r="AY141" s="321"/>
      <c r="AZ141" s="321"/>
      <c r="BA141" s="321"/>
      <c r="BB141" s="321"/>
      <c r="BC141" s="321"/>
      <c r="BD141" s="321"/>
      <c r="BE141" s="321"/>
      <c r="BF141" s="321"/>
      <c r="BG141" s="321"/>
      <c r="BH141" s="321"/>
      <c r="BI141" s="321"/>
      <c r="BJ141" s="321"/>
      <c r="BK141" s="321"/>
      <c r="BL141" s="321"/>
      <c r="BM141" s="321"/>
      <c r="BN141" s="321"/>
      <c r="BO141" s="321"/>
      <c r="BP141" s="321"/>
      <c r="BQ141" s="321"/>
      <c r="BR141" s="321"/>
      <c r="BS141" s="321"/>
      <c r="BT141" s="321"/>
      <c r="BU141" s="321"/>
      <c r="BV141" s="321"/>
      <c r="BW141" s="321"/>
      <c r="BX141" s="321"/>
      <c r="BY141" s="321"/>
      <c r="BZ141" s="321"/>
      <c r="CA141" s="321"/>
      <c r="CB141" s="321"/>
      <c r="CC141" s="321"/>
      <c r="CD141" s="321"/>
      <c r="CE141" s="321"/>
      <c r="CF141" s="321"/>
      <c r="CG141" s="321"/>
      <c r="CH141" s="321"/>
      <c r="CI141" s="321"/>
      <c r="CJ141" s="321"/>
      <c r="CK141" s="321"/>
      <c r="CL141" s="321"/>
      <c r="CM141" s="321"/>
      <c r="CN141" s="321"/>
      <c r="CO141" s="321"/>
      <c r="CP141" s="321"/>
      <c r="CQ141" s="321"/>
      <c r="CR141" s="321"/>
      <c r="CS141" s="321"/>
      <c r="CT141" s="321"/>
      <c r="CU141" s="321"/>
      <c r="CV141" s="321"/>
      <c r="CW141" s="321"/>
      <c r="CX141" s="321"/>
      <c r="CY141" s="321"/>
      <c r="CZ141" s="321"/>
      <c r="DA141" s="321"/>
      <c r="DB141" s="321"/>
      <c r="DC141" s="321"/>
      <c r="DD141" s="321"/>
      <c r="DE141" s="321"/>
      <c r="DF141" s="321"/>
      <c r="DG141" s="321"/>
      <c r="DH141" s="321"/>
      <c r="DI141" s="321"/>
      <c r="DJ141" s="321"/>
      <c r="DK141" s="321"/>
      <c r="DL141" s="321"/>
      <c r="DM141" s="321"/>
      <c r="DN141" s="321"/>
      <c r="DO141" s="321"/>
      <c r="DP141" s="321"/>
      <c r="DQ141" s="321"/>
      <c r="DR141" s="321"/>
      <c r="DS141" s="321"/>
      <c r="DT141" s="321"/>
      <c r="DU141" s="321"/>
      <c r="DV141" s="321"/>
      <c r="DW141" s="321"/>
      <c r="DX141" s="321"/>
      <c r="DY141" s="321"/>
      <c r="DZ141" s="321"/>
      <c r="EA141" s="321"/>
      <c r="EB141" s="321"/>
      <c r="EC141" s="321"/>
      <c r="ED141" s="321"/>
      <c r="EE141" s="321"/>
      <c r="EF141" s="321"/>
      <c r="EG141" s="321"/>
      <c r="EH141" s="321"/>
      <c r="EI141" s="321"/>
      <c r="EJ141" s="321"/>
      <c r="EK141" s="321"/>
      <c r="EL141" s="321"/>
      <c r="EM141" s="321"/>
      <c r="EN141" s="321"/>
      <c r="EO141" s="321"/>
      <c r="EP141" s="321"/>
      <c r="EQ141" s="321"/>
      <c r="ER141" s="321"/>
      <c r="ES141" s="321"/>
      <c r="ET141" s="321"/>
      <c r="EU141" s="321"/>
      <c r="EV141" s="321"/>
      <c r="EW141" s="321"/>
      <c r="EX141" s="321"/>
      <c r="EY141" s="321"/>
      <c r="EZ141" s="321"/>
      <c r="FA141" s="321"/>
      <c r="FB141" s="321"/>
      <c r="FC141" s="321"/>
      <c r="FD141" s="321"/>
      <c r="FE141" s="321"/>
      <c r="FF141" s="321"/>
      <c r="FG141" s="321"/>
      <c r="FH141" s="321"/>
      <c r="FI141" s="321"/>
      <c r="FJ141" s="321"/>
      <c r="FK141" s="321"/>
      <c r="FL141" s="321"/>
      <c r="FM141" s="321"/>
      <c r="FN141" s="321"/>
      <c r="FO141" s="321"/>
      <c r="FP141" s="321"/>
      <c r="FQ141" s="321"/>
      <c r="FR141" s="321"/>
      <c r="FS141" s="321"/>
      <c r="FT141" s="321"/>
      <c r="FU141" s="321"/>
      <c r="FV141" s="321"/>
      <c r="FW141" s="321"/>
      <c r="FX141" s="321"/>
      <c r="FY141" s="321"/>
      <c r="FZ141" s="321"/>
      <c r="GA141" s="321"/>
      <c r="GB141" s="321"/>
      <c r="GC141" s="321"/>
      <c r="GD141" s="321"/>
      <c r="GE141" s="321"/>
      <c r="GF141" s="321"/>
      <c r="GG141" s="321"/>
      <c r="GH141" s="321"/>
      <c r="GI141" s="321"/>
      <c r="GJ141" s="321"/>
      <c r="GK141" s="321"/>
      <c r="GL141" s="321"/>
      <c r="GM141" s="321"/>
      <c r="GN141" s="321"/>
      <c r="GO141" s="321"/>
      <c r="GP141" s="321"/>
      <c r="GQ141" s="321"/>
      <c r="GR141" s="321"/>
      <c r="GS141" s="321"/>
      <c r="GT141" s="321"/>
      <c r="GU141" s="321"/>
      <c r="GV141" s="321"/>
      <c r="GW141" s="321"/>
      <c r="GX141" s="321"/>
      <c r="GY141" s="321"/>
      <c r="GZ141" s="321"/>
      <c r="HA141" s="321"/>
      <c r="HB141" s="321"/>
      <c r="HC141" s="321"/>
      <c r="HD141" s="321"/>
      <c r="HE141" s="321"/>
      <c r="HF141" s="321"/>
      <c r="HG141" s="321"/>
      <c r="HH141" s="321"/>
      <c r="HI141" s="321"/>
      <c r="HJ141" s="321"/>
      <c r="HK141" s="321"/>
      <c r="HL141" s="321"/>
      <c r="HM141" s="321"/>
      <c r="HN141" s="321"/>
      <c r="HO141" s="321"/>
      <c r="HP141" s="321"/>
      <c r="HQ141" s="321"/>
      <c r="HR141" s="321"/>
      <c r="HS141" s="321"/>
      <c r="HT141" s="321"/>
      <c r="HU141" s="321"/>
      <c r="HV141" s="321"/>
      <c r="HW141" s="321"/>
      <c r="HX141" s="321"/>
      <c r="HY141" s="321"/>
      <c r="HZ141" s="321"/>
      <c r="IA141" s="321"/>
      <c r="IB141" s="321"/>
      <c r="IC141" s="321"/>
      <c r="ID141" s="321"/>
      <c r="IE141" s="321"/>
      <c r="IF141" s="321"/>
      <c r="IG141" s="321"/>
      <c r="IH141" s="321"/>
      <c r="II141" s="321"/>
      <c r="IJ141" s="321"/>
      <c r="IK141" s="321"/>
      <c r="IL141" s="321"/>
      <c r="IM141" s="321"/>
      <c r="IN141" s="321"/>
      <c r="IO141" s="321"/>
      <c r="IP141" s="321"/>
      <c r="IQ141" s="321"/>
      <c r="IR141" s="321"/>
      <c r="IS141" s="321"/>
      <c r="IT141" s="321"/>
      <c r="IU141" s="321"/>
      <c r="IV141" s="321"/>
    </row>
    <row r="142" spans="1:256" s="546" customFormat="1" ht="21.75" customHeight="1" thickBot="1">
      <c r="A142" s="561">
        <v>134</v>
      </c>
      <c r="B142" s="554"/>
      <c r="C142" s="1118"/>
      <c r="D142" s="1548" t="s">
        <v>1036</v>
      </c>
      <c r="E142" s="1119"/>
      <c r="F142" s="1119"/>
      <c r="G142" s="1121"/>
      <c r="H142" s="1122"/>
      <c r="I142" s="1554">
        <f t="shared" si="4"/>
        <v>3300</v>
      </c>
      <c r="J142" s="1554">
        <f t="shared" si="4"/>
        <v>493</v>
      </c>
      <c r="K142" s="1554">
        <f t="shared" si="4"/>
        <v>76</v>
      </c>
      <c r="L142" s="1554">
        <f t="shared" si="4"/>
        <v>0</v>
      </c>
      <c r="M142" s="1554">
        <f t="shared" si="4"/>
        <v>48285</v>
      </c>
      <c r="N142" s="1554">
        <f t="shared" si="4"/>
        <v>0</v>
      </c>
      <c r="O142" s="1554">
        <f t="shared" si="4"/>
        <v>0</v>
      </c>
      <c r="P142" s="1991">
        <f>SUM(I142:O142)</f>
        <v>52154</v>
      </c>
      <c r="Q142" s="1145"/>
      <c r="R142" s="321"/>
      <c r="S142" s="321"/>
      <c r="T142" s="321"/>
      <c r="U142" s="321"/>
      <c r="V142" s="321"/>
      <c r="W142" s="321"/>
      <c r="X142" s="321"/>
      <c r="Y142" s="321"/>
      <c r="Z142" s="321"/>
      <c r="AA142" s="321"/>
      <c r="AB142" s="321"/>
      <c r="AC142" s="321"/>
      <c r="AD142" s="321"/>
      <c r="AE142" s="321"/>
      <c r="AF142" s="321"/>
      <c r="AG142" s="321"/>
      <c r="AH142" s="321"/>
      <c r="AI142" s="321"/>
      <c r="AJ142" s="321"/>
      <c r="AK142" s="321"/>
      <c r="AL142" s="321"/>
      <c r="AM142" s="321"/>
      <c r="AN142" s="321"/>
      <c r="AO142" s="321"/>
      <c r="AP142" s="321"/>
      <c r="AQ142" s="321"/>
      <c r="AR142" s="321"/>
      <c r="AS142" s="321"/>
      <c r="AT142" s="321"/>
      <c r="AU142" s="321"/>
      <c r="AV142" s="321"/>
      <c r="AW142" s="321"/>
      <c r="AX142" s="321"/>
      <c r="AY142" s="321"/>
      <c r="AZ142" s="321"/>
      <c r="BA142" s="321"/>
      <c r="BB142" s="321"/>
      <c r="BC142" s="321"/>
      <c r="BD142" s="321"/>
      <c r="BE142" s="321"/>
      <c r="BF142" s="321"/>
      <c r="BG142" s="321"/>
      <c r="BH142" s="321"/>
      <c r="BI142" s="321"/>
      <c r="BJ142" s="321"/>
      <c r="BK142" s="321"/>
      <c r="BL142" s="321"/>
      <c r="BM142" s="321"/>
      <c r="BN142" s="321"/>
      <c r="BO142" s="321"/>
      <c r="BP142" s="321"/>
      <c r="BQ142" s="321"/>
      <c r="BR142" s="321"/>
      <c r="BS142" s="321"/>
      <c r="BT142" s="321"/>
      <c r="BU142" s="321"/>
      <c r="BV142" s="321"/>
      <c r="BW142" s="321"/>
      <c r="BX142" s="321"/>
      <c r="BY142" s="321"/>
      <c r="BZ142" s="321"/>
      <c r="CA142" s="321"/>
      <c r="CB142" s="321"/>
      <c r="CC142" s="321"/>
      <c r="CD142" s="321"/>
      <c r="CE142" s="321"/>
      <c r="CF142" s="321"/>
      <c r="CG142" s="321"/>
      <c r="CH142" s="321"/>
      <c r="CI142" s="321"/>
      <c r="CJ142" s="321"/>
      <c r="CK142" s="321"/>
      <c r="CL142" s="321"/>
      <c r="CM142" s="321"/>
      <c r="CN142" s="321"/>
      <c r="CO142" s="321"/>
      <c r="CP142" s="321"/>
      <c r="CQ142" s="321"/>
      <c r="CR142" s="321"/>
      <c r="CS142" s="321"/>
      <c r="CT142" s="321"/>
      <c r="CU142" s="321"/>
      <c r="CV142" s="321"/>
      <c r="CW142" s="321"/>
      <c r="CX142" s="321"/>
      <c r="CY142" s="321"/>
      <c r="CZ142" s="321"/>
      <c r="DA142" s="321"/>
      <c r="DB142" s="321"/>
      <c r="DC142" s="321"/>
      <c r="DD142" s="321"/>
      <c r="DE142" s="321"/>
      <c r="DF142" s="321"/>
      <c r="DG142" s="321"/>
      <c r="DH142" s="321"/>
      <c r="DI142" s="321"/>
      <c r="DJ142" s="321"/>
      <c r="DK142" s="321"/>
      <c r="DL142" s="321"/>
      <c r="DM142" s="321"/>
      <c r="DN142" s="321"/>
      <c r="DO142" s="321"/>
      <c r="DP142" s="321"/>
      <c r="DQ142" s="321"/>
      <c r="DR142" s="321"/>
      <c r="DS142" s="321"/>
      <c r="DT142" s="321"/>
      <c r="DU142" s="321"/>
      <c r="DV142" s="321"/>
      <c r="DW142" s="321"/>
      <c r="DX142" s="321"/>
      <c r="DY142" s="321"/>
      <c r="DZ142" s="321"/>
      <c r="EA142" s="321"/>
      <c r="EB142" s="321"/>
      <c r="EC142" s="321"/>
      <c r="ED142" s="321"/>
      <c r="EE142" s="321"/>
      <c r="EF142" s="321"/>
      <c r="EG142" s="321"/>
      <c r="EH142" s="321"/>
      <c r="EI142" s="321"/>
      <c r="EJ142" s="321"/>
      <c r="EK142" s="321"/>
      <c r="EL142" s="321"/>
      <c r="EM142" s="321"/>
      <c r="EN142" s="321"/>
      <c r="EO142" s="321"/>
      <c r="EP142" s="321"/>
      <c r="EQ142" s="321"/>
      <c r="ER142" s="321"/>
      <c r="ES142" s="321"/>
      <c r="ET142" s="321"/>
      <c r="EU142" s="321"/>
      <c r="EV142" s="321"/>
      <c r="EW142" s="321"/>
      <c r="EX142" s="321"/>
      <c r="EY142" s="321"/>
      <c r="EZ142" s="321"/>
      <c r="FA142" s="321"/>
      <c r="FB142" s="321"/>
      <c r="FC142" s="321"/>
      <c r="FD142" s="321"/>
      <c r="FE142" s="321"/>
      <c r="FF142" s="321"/>
      <c r="FG142" s="321"/>
      <c r="FH142" s="321"/>
      <c r="FI142" s="321"/>
      <c r="FJ142" s="321"/>
      <c r="FK142" s="321"/>
      <c r="FL142" s="321"/>
      <c r="FM142" s="321"/>
      <c r="FN142" s="321"/>
      <c r="FO142" s="321"/>
      <c r="FP142" s="321"/>
      <c r="FQ142" s="321"/>
      <c r="FR142" s="321"/>
      <c r="FS142" s="321"/>
      <c r="FT142" s="321"/>
      <c r="FU142" s="321"/>
      <c r="FV142" s="321"/>
      <c r="FW142" s="321"/>
      <c r="FX142" s="321"/>
      <c r="FY142" s="321"/>
      <c r="FZ142" s="321"/>
      <c r="GA142" s="321"/>
      <c r="GB142" s="321"/>
      <c r="GC142" s="321"/>
      <c r="GD142" s="321"/>
      <c r="GE142" s="321"/>
      <c r="GF142" s="321"/>
      <c r="GG142" s="321"/>
      <c r="GH142" s="321"/>
      <c r="GI142" s="321"/>
      <c r="GJ142" s="321"/>
      <c r="GK142" s="321"/>
      <c r="GL142" s="321"/>
      <c r="GM142" s="321"/>
      <c r="GN142" s="321"/>
      <c r="GO142" s="321"/>
      <c r="GP142" s="321"/>
      <c r="GQ142" s="321"/>
      <c r="GR142" s="321"/>
      <c r="GS142" s="321"/>
      <c r="GT142" s="321"/>
      <c r="GU142" s="321"/>
      <c r="GV142" s="321"/>
      <c r="GW142" s="321"/>
      <c r="GX142" s="321"/>
      <c r="GY142" s="321"/>
      <c r="GZ142" s="321"/>
      <c r="HA142" s="321"/>
      <c r="HB142" s="321"/>
      <c r="HC142" s="321"/>
      <c r="HD142" s="321"/>
      <c r="HE142" s="321"/>
      <c r="HF142" s="321"/>
      <c r="HG142" s="321"/>
      <c r="HH142" s="321"/>
      <c r="HI142" s="321"/>
      <c r="HJ142" s="321"/>
      <c r="HK142" s="321"/>
      <c r="HL142" s="321"/>
      <c r="HM142" s="321"/>
      <c r="HN142" s="321"/>
      <c r="HO142" s="321"/>
      <c r="HP142" s="321"/>
      <c r="HQ142" s="321"/>
      <c r="HR142" s="321"/>
      <c r="HS142" s="321"/>
      <c r="HT142" s="321"/>
      <c r="HU142" s="321"/>
      <c r="HV142" s="321"/>
      <c r="HW142" s="321"/>
      <c r="HX142" s="321"/>
      <c r="HY142" s="321"/>
      <c r="HZ142" s="321"/>
      <c r="IA142" s="321"/>
      <c r="IB142" s="321"/>
      <c r="IC142" s="321"/>
      <c r="ID142" s="321"/>
      <c r="IE142" s="321"/>
      <c r="IF142" s="321"/>
      <c r="IG142" s="321"/>
      <c r="IH142" s="321"/>
      <c r="II142" s="321"/>
      <c r="IJ142" s="321"/>
      <c r="IK142" s="321"/>
      <c r="IL142" s="321"/>
      <c r="IM142" s="321"/>
      <c r="IN142" s="321"/>
      <c r="IO142" s="321"/>
      <c r="IP142" s="321"/>
      <c r="IQ142" s="321"/>
      <c r="IR142" s="321"/>
      <c r="IS142" s="321"/>
      <c r="IT142" s="321"/>
      <c r="IU142" s="321"/>
      <c r="IV142" s="321"/>
    </row>
    <row r="143" spans="1:256" s="546" customFormat="1" ht="24.75" customHeight="1">
      <c r="A143" s="561">
        <v>135</v>
      </c>
      <c r="B143" s="1437"/>
      <c r="C143" s="1129">
        <v>3</v>
      </c>
      <c r="D143" s="818" t="s">
        <v>976</v>
      </c>
      <c r="E143" s="1130"/>
      <c r="F143" s="1130"/>
      <c r="G143" s="782"/>
      <c r="H143" s="1116" t="s">
        <v>24</v>
      </c>
      <c r="I143" s="1431"/>
      <c r="J143" s="1431"/>
      <c r="K143" s="1431"/>
      <c r="L143" s="1431"/>
      <c r="M143" s="1431"/>
      <c r="N143" s="1431"/>
      <c r="O143" s="1431"/>
      <c r="P143" s="1451"/>
      <c r="Q143" s="1432"/>
      <c r="R143" s="321"/>
      <c r="S143" s="321"/>
      <c r="T143" s="321"/>
      <c r="U143" s="321"/>
      <c r="V143" s="321"/>
      <c r="W143" s="321"/>
      <c r="X143" s="321"/>
      <c r="Y143" s="321"/>
      <c r="Z143" s="321"/>
      <c r="AA143" s="321"/>
      <c r="AB143" s="321"/>
      <c r="AC143" s="321"/>
      <c r="AD143" s="321"/>
      <c r="AE143" s="321"/>
      <c r="AF143" s="321"/>
      <c r="AG143" s="321"/>
      <c r="AH143" s="321"/>
      <c r="AI143" s="321"/>
      <c r="AJ143" s="321"/>
      <c r="AK143" s="321"/>
      <c r="AL143" s="321"/>
      <c r="AM143" s="321"/>
      <c r="AN143" s="321"/>
      <c r="AO143" s="321"/>
      <c r="AP143" s="321"/>
      <c r="AQ143" s="321"/>
      <c r="AR143" s="321"/>
      <c r="AS143" s="321"/>
      <c r="AT143" s="321"/>
      <c r="AU143" s="321"/>
      <c r="AV143" s="321"/>
      <c r="AW143" s="321"/>
      <c r="AX143" s="321"/>
      <c r="AY143" s="321"/>
      <c r="AZ143" s="321"/>
      <c r="BA143" s="321"/>
      <c r="BB143" s="321"/>
      <c r="BC143" s="321"/>
      <c r="BD143" s="321"/>
      <c r="BE143" s="321"/>
      <c r="BF143" s="321"/>
      <c r="BG143" s="321"/>
      <c r="BH143" s="321"/>
      <c r="BI143" s="321"/>
      <c r="BJ143" s="321"/>
      <c r="BK143" s="321"/>
      <c r="BL143" s="321"/>
      <c r="BM143" s="321"/>
      <c r="BN143" s="321"/>
      <c r="BO143" s="321"/>
      <c r="BP143" s="321"/>
      <c r="BQ143" s="321"/>
      <c r="BR143" s="321"/>
      <c r="BS143" s="321"/>
      <c r="BT143" s="321"/>
      <c r="BU143" s="321"/>
      <c r="BV143" s="321"/>
      <c r="BW143" s="321"/>
      <c r="BX143" s="321"/>
      <c r="BY143" s="321"/>
      <c r="BZ143" s="321"/>
      <c r="CA143" s="321"/>
      <c r="CB143" s="321"/>
      <c r="CC143" s="321"/>
      <c r="CD143" s="321"/>
      <c r="CE143" s="321"/>
      <c r="CF143" s="321"/>
      <c r="CG143" s="321"/>
      <c r="CH143" s="321"/>
      <c r="CI143" s="321"/>
      <c r="CJ143" s="321"/>
      <c r="CK143" s="321"/>
      <c r="CL143" s="321"/>
      <c r="CM143" s="321"/>
      <c r="CN143" s="321"/>
      <c r="CO143" s="321"/>
      <c r="CP143" s="321"/>
      <c r="CQ143" s="321"/>
      <c r="CR143" s="321"/>
      <c r="CS143" s="321"/>
      <c r="CT143" s="321"/>
      <c r="CU143" s="321"/>
      <c r="CV143" s="321"/>
      <c r="CW143" s="321"/>
      <c r="CX143" s="321"/>
      <c r="CY143" s="321"/>
      <c r="CZ143" s="321"/>
      <c r="DA143" s="321"/>
      <c r="DB143" s="321"/>
      <c r="DC143" s="321"/>
      <c r="DD143" s="321"/>
      <c r="DE143" s="321"/>
      <c r="DF143" s="321"/>
      <c r="DG143" s="321"/>
      <c r="DH143" s="321"/>
      <c r="DI143" s="321"/>
      <c r="DJ143" s="321"/>
      <c r="DK143" s="321"/>
      <c r="DL143" s="321"/>
      <c r="DM143" s="321"/>
      <c r="DN143" s="321"/>
      <c r="DO143" s="321"/>
      <c r="DP143" s="321"/>
      <c r="DQ143" s="321"/>
      <c r="DR143" s="321"/>
      <c r="DS143" s="321"/>
      <c r="DT143" s="321"/>
      <c r="DU143" s="321"/>
      <c r="DV143" s="321"/>
      <c r="DW143" s="321"/>
      <c r="DX143" s="321"/>
      <c r="DY143" s="321"/>
      <c r="DZ143" s="321"/>
      <c r="EA143" s="321"/>
      <c r="EB143" s="321"/>
      <c r="EC143" s="321"/>
      <c r="ED143" s="321"/>
      <c r="EE143" s="321"/>
      <c r="EF143" s="321"/>
      <c r="EG143" s="321"/>
      <c r="EH143" s="321"/>
      <c r="EI143" s="321"/>
      <c r="EJ143" s="321"/>
      <c r="EK143" s="321"/>
      <c r="EL143" s="321"/>
      <c r="EM143" s="321"/>
      <c r="EN143" s="321"/>
      <c r="EO143" s="321"/>
      <c r="EP143" s="321"/>
      <c r="EQ143" s="321"/>
      <c r="ER143" s="321"/>
      <c r="ES143" s="321"/>
      <c r="ET143" s="321"/>
      <c r="EU143" s="321"/>
      <c r="EV143" s="321"/>
      <c r="EW143" s="321"/>
      <c r="EX143" s="321"/>
      <c r="EY143" s="321"/>
      <c r="EZ143" s="321"/>
      <c r="FA143" s="321"/>
      <c r="FB143" s="321"/>
      <c r="FC143" s="321"/>
      <c r="FD143" s="321"/>
      <c r="FE143" s="321"/>
      <c r="FF143" s="321"/>
      <c r="FG143" s="321"/>
      <c r="FH143" s="321"/>
      <c r="FI143" s="321"/>
      <c r="FJ143" s="321"/>
      <c r="FK143" s="321"/>
      <c r="FL143" s="321"/>
      <c r="FM143" s="321"/>
      <c r="FN143" s="321"/>
      <c r="FO143" s="321"/>
      <c r="FP143" s="321"/>
      <c r="FQ143" s="321"/>
      <c r="FR143" s="321"/>
      <c r="FS143" s="321"/>
      <c r="FT143" s="321"/>
      <c r="FU143" s="321"/>
      <c r="FV143" s="321"/>
      <c r="FW143" s="321"/>
      <c r="FX143" s="321"/>
      <c r="FY143" s="321"/>
      <c r="FZ143" s="321"/>
      <c r="GA143" s="321"/>
      <c r="GB143" s="321"/>
      <c r="GC143" s="321"/>
      <c r="GD143" s="321"/>
      <c r="GE143" s="321"/>
      <c r="GF143" s="321"/>
      <c r="GG143" s="321"/>
      <c r="GH143" s="321"/>
      <c r="GI143" s="321"/>
      <c r="GJ143" s="321"/>
      <c r="GK143" s="321"/>
      <c r="GL143" s="321"/>
      <c r="GM143" s="321"/>
      <c r="GN143" s="321"/>
      <c r="GO143" s="321"/>
      <c r="GP143" s="321"/>
      <c r="GQ143" s="321"/>
      <c r="GR143" s="321"/>
      <c r="GS143" s="321"/>
      <c r="GT143" s="321"/>
      <c r="GU143" s="321"/>
      <c r="GV143" s="321"/>
      <c r="GW143" s="321"/>
      <c r="GX143" s="321"/>
      <c r="GY143" s="321"/>
      <c r="GZ143" s="321"/>
      <c r="HA143" s="321"/>
      <c r="HB143" s="321"/>
      <c r="HC143" s="321"/>
      <c r="HD143" s="321"/>
      <c r="HE143" s="321"/>
      <c r="HF143" s="321"/>
      <c r="HG143" s="321"/>
      <c r="HH143" s="321"/>
      <c r="HI143" s="321"/>
      <c r="HJ143" s="321"/>
      <c r="HK143" s="321"/>
      <c r="HL143" s="321"/>
      <c r="HM143" s="321"/>
      <c r="HN143" s="321"/>
      <c r="HO143" s="321"/>
      <c r="HP143" s="321"/>
      <c r="HQ143" s="321"/>
      <c r="HR143" s="321"/>
      <c r="HS143" s="321"/>
      <c r="HT143" s="321"/>
      <c r="HU143" s="321"/>
      <c r="HV143" s="321"/>
      <c r="HW143" s="321"/>
      <c r="HX143" s="321"/>
      <c r="HY143" s="321"/>
      <c r="HZ143" s="321"/>
      <c r="IA143" s="321"/>
      <c r="IB143" s="321"/>
      <c r="IC143" s="321"/>
      <c r="ID143" s="321"/>
      <c r="IE143" s="321"/>
      <c r="IF143" s="321"/>
      <c r="IG143" s="321"/>
      <c r="IH143" s="321"/>
      <c r="II143" s="321"/>
      <c r="IJ143" s="321"/>
      <c r="IK143" s="321"/>
      <c r="IL143" s="321"/>
      <c r="IM143" s="321"/>
      <c r="IN143" s="321"/>
      <c r="IO143" s="321"/>
      <c r="IP143" s="321"/>
      <c r="IQ143" s="321"/>
      <c r="IR143" s="321"/>
      <c r="IS143" s="321"/>
      <c r="IT143" s="321"/>
      <c r="IU143" s="321"/>
      <c r="IV143" s="321"/>
    </row>
    <row r="144" spans="1:256" s="546" customFormat="1" ht="21.75" customHeight="1">
      <c r="A144" s="561">
        <v>136</v>
      </c>
      <c r="B144" s="1437"/>
      <c r="C144" s="322"/>
      <c r="D144" s="1453" t="s">
        <v>671</v>
      </c>
      <c r="E144" s="330">
        <f>F144+G144+P145+Q145</f>
        <v>94841</v>
      </c>
      <c r="F144" s="330"/>
      <c r="G144" s="1434"/>
      <c r="H144" s="762"/>
      <c r="I144" s="1435"/>
      <c r="J144" s="1435"/>
      <c r="K144" s="1435"/>
      <c r="L144" s="1435"/>
      <c r="M144" s="1435"/>
      <c r="N144" s="1435"/>
      <c r="O144" s="1435"/>
      <c r="P144" s="560"/>
      <c r="Q144" s="1144"/>
      <c r="R144" s="321"/>
      <c r="S144" s="321"/>
      <c r="T144" s="321"/>
      <c r="U144" s="321"/>
      <c r="V144" s="321"/>
      <c r="W144" s="321"/>
      <c r="X144" s="321"/>
      <c r="Y144" s="321"/>
      <c r="Z144" s="321"/>
      <c r="AA144" s="321"/>
      <c r="AB144" s="321"/>
      <c r="AC144" s="321"/>
      <c r="AD144" s="321"/>
      <c r="AE144" s="321"/>
      <c r="AF144" s="321"/>
      <c r="AG144" s="321"/>
      <c r="AH144" s="321"/>
      <c r="AI144" s="321"/>
      <c r="AJ144" s="321"/>
      <c r="AK144" s="321"/>
      <c r="AL144" s="321"/>
      <c r="AM144" s="321"/>
      <c r="AN144" s="321"/>
      <c r="AO144" s="321"/>
      <c r="AP144" s="321"/>
      <c r="AQ144" s="321"/>
      <c r="AR144" s="321"/>
      <c r="AS144" s="321"/>
      <c r="AT144" s="321"/>
      <c r="AU144" s="321"/>
      <c r="AV144" s="321"/>
      <c r="AW144" s="321"/>
      <c r="AX144" s="321"/>
      <c r="AY144" s="321"/>
      <c r="AZ144" s="321"/>
      <c r="BA144" s="321"/>
      <c r="BB144" s="321"/>
      <c r="BC144" s="321"/>
      <c r="BD144" s="321"/>
      <c r="BE144" s="321"/>
      <c r="BF144" s="321"/>
      <c r="BG144" s="321"/>
      <c r="BH144" s="321"/>
      <c r="BI144" s="321"/>
      <c r="BJ144" s="321"/>
      <c r="BK144" s="321"/>
      <c r="BL144" s="321"/>
      <c r="BM144" s="321"/>
      <c r="BN144" s="321"/>
      <c r="BO144" s="321"/>
      <c r="BP144" s="321"/>
      <c r="BQ144" s="321"/>
      <c r="BR144" s="321"/>
      <c r="BS144" s="321"/>
      <c r="BT144" s="321"/>
      <c r="BU144" s="321"/>
      <c r="BV144" s="321"/>
      <c r="BW144" s="321"/>
      <c r="BX144" s="321"/>
      <c r="BY144" s="321"/>
      <c r="BZ144" s="321"/>
      <c r="CA144" s="321"/>
      <c r="CB144" s="321"/>
      <c r="CC144" s="321"/>
      <c r="CD144" s="321"/>
      <c r="CE144" s="321"/>
      <c r="CF144" s="321"/>
      <c r="CG144" s="321"/>
      <c r="CH144" s="321"/>
      <c r="CI144" s="321"/>
      <c r="CJ144" s="321"/>
      <c r="CK144" s="321"/>
      <c r="CL144" s="321"/>
      <c r="CM144" s="321"/>
      <c r="CN144" s="321"/>
      <c r="CO144" s="321"/>
      <c r="CP144" s="321"/>
      <c r="CQ144" s="321"/>
      <c r="CR144" s="321"/>
      <c r="CS144" s="321"/>
      <c r="CT144" s="321"/>
      <c r="CU144" s="321"/>
      <c r="CV144" s="321"/>
      <c r="CW144" s="321"/>
      <c r="CX144" s="321"/>
      <c r="CY144" s="321"/>
      <c r="CZ144" s="321"/>
      <c r="DA144" s="321"/>
      <c r="DB144" s="321"/>
      <c r="DC144" s="321"/>
      <c r="DD144" s="321"/>
      <c r="DE144" s="321"/>
      <c r="DF144" s="321"/>
      <c r="DG144" s="321"/>
      <c r="DH144" s="321"/>
      <c r="DI144" s="321"/>
      <c r="DJ144" s="321"/>
      <c r="DK144" s="321"/>
      <c r="DL144" s="321"/>
      <c r="DM144" s="321"/>
      <c r="DN144" s="321"/>
      <c r="DO144" s="321"/>
      <c r="DP144" s="321"/>
      <c r="DQ144" s="321"/>
      <c r="DR144" s="321"/>
      <c r="DS144" s="321"/>
      <c r="DT144" s="321"/>
      <c r="DU144" s="321"/>
      <c r="DV144" s="321"/>
      <c r="DW144" s="321"/>
      <c r="DX144" s="321"/>
      <c r="DY144" s="321"/>
      <c r="DZ144" s="321"/>
      <c r="EA144" s="321"/>
      <c r="EB144" s="321"/>
      <c r="EC144" s="321"/>
      <c r="ED144" s="321"/>
      <c r="EE144" s="321"/>
      <c r="EF144" s="321"/>
      <c r="EG144" s="321"/>
      <c r="EH144" s="321"/>
      <c r="EI144" s="321"/>
      <c r="EJ144" s="321"/>
      <c r="EK144" s="321"/>
      <c r="EL144" s="321"/>
      <c r="EM144" s="321"/>
      <c r="EN144" s="321"/>
      <c r="EO144" s="321"/>
      <c r="EP144" s="321"/>
      <c r="EQ144" s="321"/>
      <c r="ER144" s="321"/>
      <c r="ES144" s="321"/>
      <c r="ET144" s="321"/>
      <c r="EU144" s="321"/>
      <c r="EV144" s="321"/>
      <c r="EW144" s="321"/>
      <c r="EX144" s="321"/>
      <c r="EY144" s="321"/>
      <c r="EZ144" s="321"/>
      <c r="FA144" s="321"/>
      <c r="FB144" s="321"/>
      <c r="FC144" s="321"/>
      <c r="FD144" s="321"/>
      <c r="FE144" s="321"/>
      <c r="FF144" s="321"/>
      <c r="FG144" s="321"/>
      <c r="FH144" s="321"/>
      <c r="FI144" s="321"/>
      <c r="FJ144" s="321"/>
      <c r="FK144" s="321"/>
      <c r="FL144" s="321"/>
      <c r="FM144" s="321"/>
      <c r="FN144" s="321"/>
      <c r="FO144" s="321"/>
      <c r="FP144" s="321"/>
      <c r="FQ144" s="321"/>
      <c r="FR144" s="321"/>
      <c r="FS144" s="321"/>
      <c r="FT144" s="321"/>
      <c r="FU144" s="321"/>
      <c r="FV144" s="321"/>
      <c r="FW144" s="321"/>
      <c r="FX144" s="321"/>
      <c r="FY144" s="321"/>
      <c r="FZ144" s="321"/>
      <c r="GA144" s="321"/>
      <c r="GB144" s="321"/>
      <c r="GC144" s="321"/>
      <c r="GD144" s="321"/>
      <c r="GE144" s="321"/>
      <c r="GF144" s="321"/>
      <c r="GG144" s="321"/>
      <c r="GH144" s="321"/>
      <c r="GI144" s="321"/>
      <c r="GJ144" s="321"/>
      <c r="GK144" s="321"/>
      <c r="GL144" s="321"/>
      <c r="GM144" s="321"/>
      <c r="GN144" s="321"/>
      <c r="GO144" s="321"/>
      <c r="GP144" s="321"/>
      <c r="GQ144" s="321"/>
      <c r="GR144" s="321"/>
      <c r="GS144" s="321"/>
      <c r="GT144" s="321"/>
      <c r="GU144" s="321"/>
      <c r="GV144" s="321"/>
      <c r="GW144" s="321"/>
      <c r="GX144" s="321"/>
      <c r="GY144" s="321"/>
      <c r="GZ144" s="321"/>
      <c r="HA144" s="321"/>
      <c r="HB144" s="321"/>
      <c r="HC144" s="321"/>
      <c r="HD144" s="321"/>
      <c r="HE144" s="321"/>
      <c r="HF144" s="321"/>
      <c r="HG144" s="321"/>
      <c r="HH144" s="321"/>
      <c r="HI144" s="321"/>
      <c r="HJ144" s="321"/>
      <c r="HK144" s="321"/>
      <c r="HL144" s="321"/>
      <c r="HM144" s="321"/>
      <c r="HN144" s="321"/>
      <c r="HO144" s="321"/>
      <c r="HP144" s="321"/>
      <c r="HQ144" s="321"/>
      <c r="HR144" s="321"/>
      <c r="HS144" s="321"/>
      <c r="HT144" s="321"/>
      <c r="HU144" s="321"/>
      <c r="HV144" s="321"/>
      <c r="HW144" s="321"/>
      <c r="HX144" s="321"/>
      <c r="HY144" s="321"/>
      <c r="HZ144" s="321"/>
      <c r="IA144" s="321"/>
      <c r="IB144" s="321"/>
      <c r="IC144" s="321"/>
      <c r="ID144" s="321"/>
      <c r="IE144" s="321"/>
      <c r="IF144" s="321"/>
      <c r="IG144" s="321"/>
      <c r="IH144" s="321"/>
      <c r="II144" s="321"/>
      <c r="IJ144" s="321"/>
      <c r="IK144" s="321"/>
      <c r="IL144" s="321"/>
      <c r="IM144" s="321"/>
      <c r="IN144" s="321"/>
      <c r="IO144" s="321"/>
      <c r="IP144" s="321"/>
      <c r="IQ144" s="321"/>
      <c r="IR144" s="321"/>
      <c r="IS144" s="321"/>
      <c r="IT144" s="321"/>
      <c r="IU144" s="321"/>
      <c r="IV144" s="321"/>
    </row>
    <row r="145" spans="1:256" s="546" customFormat="1" ht="19.5" customHeight="1">
      <c r="A145" s="561">
        <v>137</v>
      </c>
      <c r="B145" s="1437"/>
      <c r="C145" s="322"/>
      <c r="D145" s="436" t="s">
        <v>994</v>
      </c>
      <c r="E145" s="330"/>
      <c r="F145" s="330"/>
      <c r="G145" s="1434"/>
      <c r="H145" s="762"/>
      <c r="I145" s="1435">
        <v>12374</v>
      </c>
      <c r="J145" s="1435">
        <v>1851</v>
      </c>
      <c r="K145" s="1435">
        <v>80616</v>
      </c>
      <c r="L145" s="1435"/>
      <c r="M145" s="1435"/>
      <c r="N145" s="1435"/>
      <c r="O145" s="1435"/>
      <c r="P145" s="560">
        <f>SUM(I145:O145)</f>
        <v>94841</v>
      </c>
      <c r="Q145" s="1144"/>
      <c r="R145" s="321"/>
      <c r="S145" s="321"/>
      <c r="T145" s="321"/>
      <c r="U145" s="321"/>
      <c r="V145" s="321"/>
      <c r="W145" s="321"/>
      <c r="X145" s="321"/>
      <c r="Y145" s="321"/>
      <c r="Z145" s="321"/>
      <c r="AA145" s="321"/>
      <c r="AB145" s="321"/>
      <c r="AC145" s="321"/>
      <c r="AD145" s="321"/>
      <c r="AE145" s="321"/>
      <c r="AF145" s="321"/>
      <c r="AG145" s="321"/>
      <c r="AH145" s="321"/>
      <c r="AI145" s="321"/>
      <c r="AJ145" s="321"/>
      <c r="AK145" s="321"/>
      <c r="AL145" s="321"/>
      <c r="AM145" s="321"/>
      <c r="AN145" s="321"/>
      <c r="AO145" s="321"/>
      <c r="AP145" s="321"/>
      <c r="AQ145" s="321"/>
      <c r="AR145" s="321"/>
      <c r="AS145" s="321"/>
      <c r="AT145" s="321"/>
      <c r="AU145" s="321"/>
      <c r="AV145" s="321"/>
      <c r="AW145" s="321"/>
      <c r="AX145" s="321"/>
      <c r="AY145" s="321"/>
      <c r="AZ145" s="321"/>
      <c r="BA145" s="321"/>
      <c r="BB145" s="321"/>
      <c r="BC145" s="321"/>
      <c r="BD145" s="321"/>
      <c r="BE145" s="321"/>
      <c r="BF145" s="321"/>
      <c r="BG145" s="321"/>
      <c r="BH145" s="321"/>
      <c r="BI145" s="321"/>
      <c r="BJ145" s="321"/>
      <c r="BK145" s="321"/>
      <c r="BL145" s="321"/>
      <c r="BM145" s="321"/>
      <c r="BN145" s="321"/>
      <c r="BO145" s="321"/>
      <c r="BP145" s="321"/>
      <c r="BQ145" s="321"/>
      <c r="BR145" s="321"/>
      <c r="BS145" s="321"/>
      <c r="BT145" s="321"/>
      <c r="BU145" s="321"/>
      <c r="BV145" s="321"/>
      <c r="BW145" s="321"/>
      <c r="BX145" s="321"/>
      <c r="BY145" s="321"/>
      <c r="BZ145" s="321"/>
      <c r="CA145" s="321"/>
      <c r="CB145" s="321"/>
      <c r="CC145" s="321"/>
      <c r="CD145" s="321"/>
      <c r="CE145" s="321"/>
      <c r="CF145" s="321"/>
      <c r="CG145" s="321"/>
      <c r="CH145" s="321"/>
      <c r="CI145" s="321"/>
      <c r="CJ145" s="321"/>
      <c r="CK145" s="321"/>
      <c r="CL145" s="321"/>
      <c r="CM145" s="321"/>
      <c r="CN145" s="321"/>
      <c r="CO145" s="321"/>
      <c r="CP145" s="321"/>
      <c r="CQ145" s="321"/>
      <c r="CR145" s="321"/>
      <c r="CS145" s="321"/>
      <c r="CT145" s="321"/>
      <c r="CU145" s="321"/>
      <c r="CV145" s="321"/>
      <c r="CW145" s="321"/>
      <c r="CX145" s="321"/>
      <c r="CY145" s="321"/>
      <c r="CZ145" s="321"/>
      <c r="DA145" s="321"/>
      <c r="DB145" s="321"/>
      <c r="DC145" s="321"/>
      <c r="DD145" s="321"/>
      <c r="DE145" s="321"/>
      <c r="DF145" s="321"/>
      <c r="DG145" s="321"/>
      <c r="DH145" s="321"/>
      <c r="DI145" s="321"/>
      <c r="DJ145" s="321"/>
      <c r="DK145" s="321"/>
      <c r="DL145" s="321"/>
      <c r="DM145" s="321"/>
      <c r="DN145" s="321"/>
      <c r="DO145" s="321"/>
      <c r="DP145" s="321"/>
      <c r="DQ145" s="321"/>
      <c r="DR145" s="321"/>
      <c r="DS145" s="321"/>
      <c r="DT145" s="321"/>
      <c r="DU145" s="321"/>
      <c r="DV145" s="321"/>
      <c r="DW145" s="321"/>
      <c r="DX145" s="321"/>
      <c r="DY145" s="321"/>
      <c r="DZ145" s="321"/>
      <c r="EA145" s="321"/>
      <c r="EB145" s="321"/>
      <c r="EC145" s="321"/>
      <c r="ED145" s="321"/>
      <c r="EE145" s="321"/>
      <c r="EF145" s="321"/>
      <c r="EG145" s="321"/>
      <c r="EH145" s="321"/>
      <c r="EI145" s="321"/>
      <c r="EJ145" s="321"/>
      <c r="EK145" s="321"/>
      <c r="EL145" s="321"/>
      <c r="EM145" s="321"/>
      <c r="EN145" s="321"/>
      <c r="EO145" s="321"/>
      <c r="EP145" s="321"/>
      <c r="EQ145" s="321"/>
      <c r="ER145" s="321"/>
      <c r="ES145" s="321"/>
      <c r="ET145" s="321"/>
      <c r="EU145" s="321"/>
      <c r="EV145" s="321"/>
      <c r="EW145" s="321"/>
      <c r="EX145" s="321"/>
      <c r="EY145" s="321"/>
      <c r="EZ145" s="321"/>
      <c r="FA145" s="321"/>
      <c r="FB145" s="321"/>
      <c r="FC145" s="321"/>
      <c r="FD145" s="321"/>
      <c r="FE145" s="321"/>
      <c r="FF145" s="321"/>
      <c r="FG145" s="321"/>
      <c r="FH145" s="321"/>
      <c r="FI145" s="321"/>
      <c r="FJ145" s="321"/>
      <c r="FK145" s="321"/>
      <c r="FL145" s="321"/>
      <c r="FM145" s="321"/>
      <c r="FN145" s="321"/>
      <c r="FO145" s="321"/>
      <c r="FP145" s="321"/>
      <c r="FQ145" s="321"/>
      <c r="FR145" s="321"/>
      <c r="FS145" s="321"/>
      <c r="FT145" s="321"/>
      <c r="FU145" s="321"/>
      <c r="FV145" s="321"/>
      <c r="FW145" s="321"/>
      <c r="FX145" s="321"/>
      <c r="FY145" s="321"/>
      <c r="FZ145" s="321"/>
      <c r="GA145" s="321"/>
      <c r="GB145" s="321"/>
      <c r="GC145" s="321"/>
      <c r="GD145" s="321"/>
      <c r="GE145" s="321"/>
      <c r="GF145" s="321"/>
      <c r="GG145" s="321"/>
      <c r="GH145" s="321"/>
      <c r="GI145" s="321"/>
      <c r="GJ145" s="321"/>
      <c r="GK145" s="321"/>
      <c r="GL145" s="321"/>
      <c r="GM145" s="321"/>
      <c r="GN145" s="321"/>
      <c r="GO145" s="321"/>
      <c r="GP145" s="321"/>
      <c r="GQ145" s="321"/>
      <c r="GR145" s="321"/>
      <c r="GS145" s="321"/>
      <c r="GT145" s="321"/>
      <c r="GU145" s="321"/>
      <c r="GV145" s="321"/>
      <c r="GW145" s="321"/>
      <c r="GX145" s="321"/>
      <c r="GY145" s="321"/>
      <c r="GZ145" s="321"/>
      <c r="HA145" s="321"/>
      <c r="HB145" s="321"/>
      <c r="HC145" s="321"/>
      <c r="HD145" s="321"/>
      <c r="HE145" s="321"/>
      <c r="HF145" s="321"/>
      <c r="HG145" s="321"/>
      <c r="HH145" s="321"/>
      <c r="HI145" s="321"/>
      <c r="HJ145" s="321"/>
      <c r="HK145" s="321"/>
      <c r="HL145" s="321"/>
      <c r="HM145" s="321"/>
      <c r="HN145" s="321"/>
      <c r="HO145" s="321"/>
      <c r="HP145" s="321"/>
      <c r="HQ145" s="321"/>
      <c r="HR145" s="321"/>
      <c r="HS145" s="321"/>
      <c r="HT145" s="321"/>
      <c r="HU145" s="321"/>
      <c r="HV145" s="321"/>
      <c r="HW145" s="321"/>
      <c r="HX145" s="321"/>
      <c r="HY145" s="321"/>
      <c r="HZ145" s="321"/>
      <c r="IA145" s="321"/>
      <c r="IB145" s="321"/>
      <c r="IC145" s="321"/>
      <c r="ID145" s="321"/>
      <c r="IE145" s="321"/>
      <c r="IF145" s="321"/>
      <c r="IG145" s="321"/>
      <c r="IH145" s="321"/>
      <c r="II145" s="321"/>
      <c r="IJ145" s="321"/>
      <c r="IK145" s="321"/>
      <c r="IL145" s="321"/>
      <c r="IM145" s="321"/>
      <c r="IN145" s="321"/>
      <c r="IO145" s="321"/>
      <c r="IP145" s="321"/>
      <c r="IQ145" s="321"/>
      <c r="IR145" s="321"/>
      <c r="IS145" s="321"/>
      <c r="IT145" s="321"/>
      <c r="IU145" s="321"/>
      <c r="IV145" s="321"/>
    </row>
    <row r="146" spans="1:256" s="546" customFormat="1" ht="19.5" customHeight="1">
      <c r="A146" s="561">
        <v>138</v>
      </c>
      <c r="B146" s="1437"/>
      <c r="C146" s="322"/>
      <c r="D146" s="338" t="s">
        <v>1036</v>
      </c>
      <c r="E146" s="330"/>
      <c r="F146" s="330"/>
      <c r="G146" s="1434"/>
      <c r="H146" s="762"/>
      <c r="I146" s="1267">
        <v>9948</v>
      </c>
      <c r="J146" s="1267">
        <v>1507</v>
      </c>
      <c r="K146" s="1267">
        <v>41177</v>
      </c>
      <c r="L146" s="1435"/>
      <c r="M146" s="1435"/>
      <c r="N146" s="1435"/>
      <c r="O146" s="1435"/>
      <c r="P146" s="1990">
        <f>SUM(I146:O146)</f>
        <v>52632</v>
      </c>
      <c r="Q146" s="1144"/>
      <c r="R146" s="321"/>
      <c r="S146" s="321"/>
      <c r="T146" s="321"/>
      <c r="U146" s="321"/>
      <c r="V146" s="321"/>
      <c r="W146" s="321"/>
      <c r="X146" s="321"/>
      <c r="Y146" s="321"/>
      <c r="Z146" s="321"/>
      <c r="AA146" s="321"/>
      <c r="AB146" s="321"/>
      <c r="AC146" s="321"/>
      <c r="AD146" s="321"/>
      <c r="AE146" s="321"/>
      <c r="AF146" s="321"/>
      <c r="AG146" s="321"/>
      <c r="AH146" s="321"/>
      <c r="AI146" s="321"/>
      <c r="AJ146" s="321"/>
      <c r="AK146" s="321"/>
      <c r="AL146" s="321"/>
      <c r="AM146" s="321"/>
      <c r="AN146" s="321"/>
      <c r="AO146" s="321"/>
      <c r="AP146" s="321"/>
      <c r="AQ146" s="321"/>
      <c r="AR146" s="321"/>
      <c r="AS146" s="321"/>
      <c r="AT146" s="321"/>
      <c r="AU146" s="321"/>
      <c r="AV146" s="321"/>
      <c r="AW146" s="321"/>
      <c r="AX146" s="321"/>
      <c r="AY146" s="321"/>
      <c r="AZ146" s="321"/>
      <c r="BA146" s="321"/>
      <c r="BB146" s="321"/>
      <c r="BC146" s="321"/>
      <c r="BD146" s="321"/>
      <c r="BE146" s="321"/>
      <c r="BF146" s="321"/>
      <c r="BG146" s="321"/>
      <c r="BH146" s="321"/>
      <c r="BI146" s="321"/>
      <c r="BJ146" s="321"/>
      <c r="BK146" s="321"/>
      <c r="BL146" s="321"/>
      <c r="BM146" s="321"/>
      <c r="BN146" s="321"/>
      <c r="BO146" s="321"/>
      <c r="BP146" s="321"/>
      <c r="BQ146" s="321"/>
      <c r="BR146" s="321"/>
      <c r="BS146" s="321"/>
      <c r="BT146" s="321"/>
      <c r="BU146" s="321"/>
      <c r="BV146" s="321"/>
      <c r="BW146" s="321"/>
      <c r="BX146" s="321"/>
      <c r="BY146" s="321"/>
      <c r="BZ146" s="321"/>
      <c r="CA146" s="321"/>
      <c r="CB146" s="321"/>
      <c r="CC146" s="321"/>
      <c r="CD146" s="321"/>
      <c r="CE146" s="321"/>
      <c r="CF146" s="321"/>
      <c r="CG146" s="321"/>
      <c r="CH146" s="321"/>
      <c r="CI146" s="321"/>
      <c r="CJ146" s="321"/>
      <c r="CK146" s="321"/>
      <c r="CL146" s="321"/>
      <c r="CM146" s="321"/>
      <c r="CN146" s="321"/>
      <c r="CO146" s="321"/>
      <c r="CP146" s="321"/>
      <c r="CQ146" s="321"/>
      <c r="CR146" s="321"/>
      <c r="CS146" s="321"/>
      <c r="CT146" s="321"/>
      <c r="CU146" s="321"/>
      <c r="CV146" s="321"/>
      <c r="CW146" s="321"/>
      <c r="CX146" s="321"/>
      <c r="CY146" s="321"/>
      <c r="CZ146" s="321"/>
      <c r="DA146" s="321"/>
      <c r="DB146" s="321"/>
      <c r="DC146" s="321"/>
      <c r="DD146" s="321"/>
      <c r="DE146" s="321"/>
      <c r="DF146" s="321"/>
      <c r="DG146" s="321"/>
      <c r="DH146" s="321"/>
      <c r="DI146" s="321"/>
      <c r="DJ146" s="321"/>
      <c r="DK146" s="321"/>
      <c r="DL146" s="321"/>
      <c r="DM146" s="321"/>
      <c r="DN146" s="321"/>
      <c r="DO146" s="321"/>
      <c r="DP146" s="321"/>
      <c r="DQ146" s="321"/>
      <c r="DR146" s="321"/>
      <c r="DS146" s="321"/>
      <c r="DT146" s="321"/>
      <c r="DU146" s="321"/>
      <c r="DV146" s="321"/>
      <c r="DW146" s="321"/>
      <c r="DX146" s="321"/>
      <c r="DY146" s="321"/>
      <c r="DZ146" s="321"/>
      <c r="EA146" s="321"/>
      <c r="EB146" s="321"/>
      <c r="EC146" s="321"/>
      <c r="ED146" s="321"/>
      <c r="EE146" s="321"/>
      <c r="EF146" s="321"/>
      <c r="EG146" s="321"/>
      <c r="EH146" s="321"/>
      <c r="EI146" s="321"/>
      <c r="EJ146" s="321"/>
      <c r="EK146" s="321"/>
      <c r="EL146" s="321"/>
      <c r="EM146" s="321"/>
      <c r="EN146" s="321"/>
      <c r="EO146" s="321"/>
      <c r="EP146" s="321"/>
      <c r="EQ146" s="321"/>
      <c r="ER146" s="321"/>
      <c r="ES146" s="321"/>
      <c r="ET146" s="321"/>
      <c r="EU146" s="321"/>
      <c r="EV146" s="321"/>
      <c r="EW146" s="321"/>
      <c r="EX146" s="321"/>
      <c r="EY146" s="321"/>
      <c r="EZ146" s="321"/>
      <c r="FA146" s="321"/>
      <c r="FB146" s="321"/>
      <c r="FC146" s="321"/>
      <c r="FD146" s="321"/>
      <c r="FE146" s="321"/>
      <c r="FF146" s="321"/>
      <c r="FG146" s="321"/>
      <c r="FH146" s="321"/>
      <c r="FI146" s="321"/>
      <c r="FJ146" s="321"/>
      <c r="FK146" s="321"/>
      <c r="FL146" s="321"/>
      <c r="FM146" s="321"/>
      <c r="FN146" s="321"/>
      <c r="FO146" s="321"/>
      <c r="FP146" s="321"/>
      <c r="FQ146" s="321"/>
      <c r="FR146" s="321"/>
      <c r="FS146" s="321"/>
      <c r="FT146" s="321"/>
      <c r="FU146" s="321"/>
      <c r="FV146" s="321"/>
      <c r="FW146" s="321"/>
      <c r="FX146" s="321"/>
      <c r="FY146" s="321"/>
      <c r="FZ146" s="321"/>
      <c r="GA146" s="321"/>
      <c r="GB146" s="321"/>
      <c r="GC146" s="321"/>
      <c r="GD146" s="321"/>
      <c r="GE146" s="321"/>
      <c r="GF146" s="321"/>
      <c r="GG146" s="321"/>
      <c r="GH146" s="321"/>
      <c r="GI146" s="321"/>
      <c r="GJ146" s="321"/>
      <c r="GK146" s="321"/>
      <c r="GL146" s="321"/>
      <c r="GM146" s="321"/>
      <c r="GN146" s="321"/>
      <c r="GO146" s="321"/>
      <c r="GP146" s="321"/>
      <c r="GQ146" s="321"/>
      <c r="GR146" s="321"/>
      <c r="GS146" s="321"/>
      <c r="GT146" s="321"/>
      <c r="GU146" s="321"/>
      <c r="GV146" s="321"/>
      <c r="GW146" s="321"/>
      <c r="GX146" s="321"/>
      <c r="GY146" s="321"/>
      <c r="GZ146" s="321"/>
      <c r="HA146" s="321"/>
      <c r="HB146" s="321"/>
      <c r="HC146" s="321"/>
      <c r="HD146" s="321"/>
      <c r="HE146" s="321"/>
      <c r="HF146" s="321"/>
      <c r="HG146" s="321"/>
      <c r="HH146" s="321"/>
      <c r="HI146" s="321"/>
      <c r="HJ146" s="321"/>
      <c r="HK146" s="321"/>
      <c r="HL146" s="321"/>
      <c r="HM146" s="321"/>
      <c r="HN146" s="321"/>
      <c r="HO146" s="321"/>
      <c r="HP146" s="321"/>
      <c r="HQ146" s="321"/>
      <c r="HR146" s="321"/>
      <c r="HS146" s="321"/>
      <c r="HT146" s="321"/>
      <c r="HU146" s="321"/>
      <c r="HV146" s="321"/>
      <c r="HW146" s="321"/>
      <c r="HX146" s="321"/>
      <c r="HY146" s="321"/>
      <c r="HZ146" s="321"/>
      <c r="IA146" s="321"/>
      <c r="IB146" s="321"/>
      <c r="IC146" s="321"/>
      <c r="ID146" s="321"/>
      <c r="IE146" s="321"/>
      <c r="IF146" s="321"/>
      <c r="IG146" s="321"/>
      <c r="IH146" s="321"/>
      <c r="II146" s="321"/>
      <c r="IJ146" s="321"/>
      <c r="IK146" s="321"/>
      <c r="IL146" s="321"/>
      <c r="IM146" s="321"/>
      <c r="IN146" s="321"/>
      <c r="IO146" s="321"/>
      <c r="IP146" s="321"/>
      <c r="IQ146" s="321"/>
      <c r="IR146" s="321"/>
      <c r="IS146" s="321"/>
      <c r="IT146" s="321"/>
      <c r="IU146" s="321"/>
      <c r="IV146" s="321"/>
    </row>
    <row r="147" spans="1:256" s="546" customFormat="1" ht="21.75" customHeight="1">
      <c r="A147" s="561">
        <v>139</v>
      </c>
      <c r="B147" s="1437"/>
      <c r="C147" s="322"/>
      <c r="D147" s="1450" t="s">
        <v>977</v>
      </c>
      <c r="E147" s="328">
        <f>F147+G147+P148+Q148</f>
        <v>2500</v>
      </c>
      <c r="F147" s="330"/>
      <c r="G147" s="1434"/>
      <c r="H147" s="762"/>
      <c r="I147" s="1435"/>
      <c r="J147" s="1435"/>
      <c r="K147" s="1435"/>
      <c r="L147" s="1435"/>
      <c r="M147" s="1435"/>
      <c r="N147" s="1435"/>
      <c r="O147" s="1435"/>
      <c r="P147" s="560"/>
      <c r="Q147" s="1144"/>
      <c r="R147" s="321"/>
      <c r="S147" s="321"/>
      <c r="T147" s="321"/>
      <c r="U147" s="321"/>
      <c r="V147" s="321"/>
      <c r="W147" s="321"/>
      <c r="X147" s="321"/>
      <c r="Y147" s="321"/>
      <c r="Z147" s="321"/>
      <c r="AA147" s="321"/>
      <c r="AB147" s="321"/>
      <c r="AC147" s="321"/>
      <c r="AD147" s="321"/>
      <c r="AE147" s="321"/>
      <c r="AF147" s="321"/>
      <c r="AG147" s="321"/>
      <c r="AH147" s="321"/>
      <c r="AI147" s="321"/>
      <c r="AJ147" s="321"/>
      <c r="AK147" s="321"/>
      <c r="AL147" s="321"/>
      <c r="AM147" s="321"/>
      <c r="AN147" s="321"/>
      <c r="AO147" s="321"/>
      <c r="AP147" s="321"/>
      <c r="AQ147" s="321"/>
      <c r="AR147" s="321"/>
      <c r="AS147" s="321"/>
      <c r="AT147" s="321"/>
      <c r="AU147" s="321"/>
      <c r="AV147" s="321"/>
      <c r="AW147" s="321"/>
      <c r="AX147" s="321"/>
      <c r="AY147" s="321"/>
      <c r="AZ147" s="321"/>
      <c r="BA147" s="321"/>
      <c r="BB147" s="321"/>
      <c r="BC147" s="321"/>
      <c r="BD147" s="321"/>
      <c r="BE147" s="321"/>
      <c r="BF147" s="321"/>
      <c r="BG147" s="321"/>
      <c r="BH147" s="321"/>
      <c r="BI147" s="321"/>
      <c r="BJ147" s="321"/>
      <c r="BK147" s="321"/>
      <c r="BL147" s="321"/>
      <c r="BM147" s="321"/>
      <c r="BN147" s="321"/>
      <c r="BO147" s="321"/>
      <c r="BP147" s="321"/>
      <c r="BQ147" s="321"/>
      <c r="BR147" s="321"/>
      <c r="BS147" s="321"/>
      <c r="BT147" s="321"/>
      <c r="BU147" s="321"/>
      <c r="BV147" s="321"/>
      <c r="BW147" s="321"/>
      <c r="BX147" s="321"/>
      <c r="BY147" s="321"/>
      <c r="BZ147" s="321"/>
      <c r="CA147" s="321"/>
      <c r="CB147" s="321"/>
      <c r="CC147" s="321"/>
      <c r="CD147" s="321"/>
      <c r="CE147" s="321"/>
      <c r="CF147" s="321"/>
      <c r="CG147" s="321"/>
      <c r="CH147" s="321"/>
      <c r="CI147" s="321"/>
      <c r="CJ147" s="321"/>
      <c r="CK147" s="321"/>
      <c r="CL147" s="321"/>
      <c r="CM147" s="321"/>
      <c r="CN147" s="321"/>
      <c r="CO147" s="321"/>
      <c r="CP147" s="321"/>
      <c r="CQ147" s="321"/>
      <c r="CR147" s="321"/>
      <c r="CS147" s="321"/>
      <c r="CT147" s="321"/>
      <c r="CU147" s="321"/>
      <c r="CV147" s="321"/>
      <c r="CW147" s="321"/>
      <c r="CX147" s="321"/>
      <c r="CY147" s="321"/>
      <c r="CZ147" s="321"/>
      <c r="DA147" s="321"/>
      <c r="DB147" s="321"/>
      <c r="DC147" s="321"/>
      <c r="DD147" s="321"/>
      <c r="DE147" s="321"/>
      <c r="DF147" s="321"/>
      <c r="DG147" s="321"/>
      <c r="DH147" s="321"/>
      <c r="DI147" s="321"/>
      <c r="DJ147" s="321"/>
      <c r="DK147" s="321"/>
      <c r="DL147" s="321"/>
      <c r="DM147" s="321"/>
      <c r="DN147" s="321"/>
      <c r="DO147" s="321"/>
      <c r="DP147" s="321"/>
      <c r="DQ147" s="321"/>
      <c r="DR147" s="321"/>
      <c r="DS147" s="321"/>
      <c r="DT147" s="321"/>
      <c r="DU147" s="321"/>
      <c r="DV147" s="321"/>
      <c r="DW147" s="321"/>
      <c r="DX147" s="321"/>
      <c r="DY147" s="321"/>
      <c r="DZ147" s="321"/>
      <c r="EA147" s="321"/>
      <c r="EB147" s="321"/>
      <c r="EC147" s="321"/>
      <c r="ED147" s="321"/>
      <c r="EE147" s="321"/>
      <c r="EF147" s="321"/>
      <c r="EG147" s="321"/>
      <c r="EH147" s="321"/>
      <c r="EI147" s="321"/>
      <c r="EJ147" s="321"/>
      <c r="EK147" s="321"/>
      <c r="EL147" s="321"/>
      <c r="EM147" s="321"/>
      <c r="EN147" s="321"/>
      <c r="EO147" s="321"/>
      <c r="EP147" s="321"/>
      <c r="EQ147" s="321"/>
      <c r="ER147" s="321"/>
      <c r="ES147" s="321"/>
      <c r="ET147" s="321"/>
      <c r="EU147" s="321"/>
      <c r="EV147" s="321"/>
      <c r="EW147" s="321"/>
      <c r="EX147" s="321"/>
      <c r="EY147" s="321"/>
      <c r="EZ147" s="321"/>
      <c r="FA147" s="321"/>
      <c r="FB147" s="321"/>
      <c r="FC147" s="321"/>
      <c r="FD147" s="321"/>
      <c r="FE147" s="321"/>
      <c r="FF147" s="321"/>
      <c r="FG147" s="321"/>
      <c r="FH147" s="321"/>
      <c r="FI147" s="321"/>
      <c r="FJ147" s="321"/>
      <c r="FK147" s="321"/>
      <c r="FL147" s="321"/>
      <c r="FM147" s="321"/>
      <c r="FN147" s="321"/>
      <c r="FO147" s="321"/>
      <c r="FP147" s="321"/>
      <c r="FQ147" s="321"/>
      <c r="FR147" s="321"/>
      <c r="FS147" s="321"/>
      <c r="FT147" s="321"/>
      <c r="FU147" s="321"/>
      <c r="FV147" s="321"/>
      <c r="FW147" s="321"/>
      <c r="FX147" s="321"/>
      <c r="FY147" s="321"/>
      <c r="FZ147" s="321"/>
      <c r="GA147" s="321"/>
      <c r="GB147" s="321"/>
      <c r="GC147" s="321"/>
      <c r="GD147" s="321"/>
      <c r="GE147" s="321"/>
      <c r="GF147" s="321"/>
      <c r="GG147" s="321"/>
      <c r="GH147" s="321"/>
      <c r="GI147" s="321"/>
      <c r="GJ147" s="321"/>
      <c r="GK147" s="321"/>
      <c r="GL147" s="321"/>
      <c r="GM147" s="321"/>
      <c r="GN147" s="321"/>
      <c r="GO147" s="321"/>
      <c r="GP147" s="321"/>
      <c r="GQ147" s="321"/>
      <c r="GR147" s="321"/>
      <c r="GS147" s="321"/>
      <c r="GT147" s="321"/>
      <c r="GU147" s="321"/>
      <c r="GV147" s="321"/>
      <c r="GW147" s="321"/>
      <c r="GX147" s="321"/>
      <c r="GY147" s="321"/>
      <c r="GZ147" s="321"/>
      <c r="HA147" s="321"/>
      <c r="HB147" s="321"/>
      <c r="HC147" s="321"/>
      <c r="HD147" s="321"/>
      <c r="HE147" s="321"/>
      <c r="HF147" s="321"/>
      <c r="HG147" s="321"/>
      <c r="HH147" s="321"/>
      <c r="HI147" s="321"/>
      <c r="HJ147" s="321"/>
      <c r="HK147" s="321"/>
      <c r="HL147" s="321"/>
      <c r="HM147" s="321"/>
      <c r="HN147" s="321"/>
      <c r="HO147" s="321"/>
      <c r="HP147" s="321"/>
      <c r="HQ147" s="321"/>
      <c r="HR147" s="321"/>
      <c r="HS147" s="321"/>
      <c r="HT147" s="321"/>
      <c r="HU147" s="321"/>
      <c r="HV147" s="321"/>
      <c r="HW147" s="321"/>
      <c r="HX147" s="321"/>
      <c r="HY147" s="321"/>
      <c r="HZ147" s="321"/>
      <c r="IA147" s="321"/>
      <c r="IB147" s="321"/>
      <c r="IC147" s="321"/>
      <c r="ID147" s="321"/>
      <c r="IE147" s="321"/>
      <c r="IF147" s="321"/>
      <c r="IG147" s="321"/>
      <c r="IH147" s="321"/>
      <c r="II147" s="321"/>
      <c r="IJ147" s="321"/>
      <c r="IK147" s="321"/>
      <c r="IL147" s="321"/>
      <c r="IM147" s="321"/>
      <c r="IN147" s="321"/>
      <c r="IO147" s="321"/>
      <c r="IP147" s="321"/>
      <c r="IQ147" s="321"/>
      <c r="IR147" s="321"/>
      <c r="IS147" s="321"/>
      <c r="IT147" s="321"/>
      <c r="IU147" s="321"/>
      <c r="IV147" s="321"/>
    </row>
    <row r="148" spans="1:256" s="546" customFormat="1" ht="19.5" customHeight="1">
      <c r="A148" s="561">
        <v>140</v>
      </c>
      <c r="B148" s="1437"/>
      <c r="C148" s="322"/>
      <c r="D148" s="436" t="s">
        <v>994</v>
      </c>
      <c r="E148" s="328"/>
      <c r="F148" s="330"/>
      <c r="G148" s="1434"/>
      <c r="H148" s="762"/>
      <c r="I148" s="1435"/>
      <c r="J148" s="1435"/>
      <c r="K148" s="1435"/>
      <c r="L148" s="1435"/>
      <c r="M148" s="1435"/>
      <c r="N148" s="1435">
        <v>2500</v>
      </c>
      <c r="O148" s="1435"/>
      <c r="P148" s="560">
        <f>SUM(I148:O148)</f>
        <v>2500</v>
      </c>
      <c r="Q148" s="1144"/>
      <c r="R148" s="321"/>
      <c r="S148" s="321"/>
      <c r="T148" s="321"/>
      <c r="U148" s="321"/>
      <c r="V148" s="321"/>
      <c r="W148" s="321"/>
      <c r="X148" s="321"/>
      <c r="Y148" s="321"/>
      <c r="Z148" s="321"/>
      <c r="AA148" s="321"/>
      <c r="AB148" s="321"/>
      <c r="AC148" s="321"/>
      <c r="AD148" s="321"/>
      <c r="AE148" s="321"/>
      <c r="AF148" s="321"/>
      <c r="AG148" s="321"/>
      <c r="AH148" s="321"/>
      <c r="AI148" s="321"/>
      <c r="AJ148" s="321"/>
      <c r="AK148" s="321"/>
      <c r="AL148" s="321"/>
      <c r="AM148" s="321"/>
      <c r="AN148" s="321"/>
      <c r="AO148" s="321"/>
      <c r="AP148" s="321"/>
      <c r="AQ148" s="321"/>
      <c r="AR148" s="321"/>
      <c r="AS148" s="321"/>
      <c r="AT148" s="321"/>
      <c r="AU148" s="321"/>
      <c r="AV148" s="321"/>
      <c r="AW148" s="321"/>
      <c r="AX148" s="321"/>
      <c r="AY148" s="321"/>
      <c r="AZ148" s="321"/>
      <c r="BA148" s="321"/>
      <c r="BB148" s="321"/>
      <c r="BC148" s="321"/>
      <c r="BD148" s="321"/>
      <c r="BE148" s="321"/>
      <c r="BF148" s="321"/>
      <c r="BG148" s="321"/>
      <c r="BH148" s="321"/>
      <c r="BI148" s="321"/>
      <c r="BJ148" s="321"/>
      <c r="BK148" s="321"/>
      <c r="BL148" s="321"/>
      <c r="BM148" s="321"/>
      <c r="BN148" s="321"/>
      <c r="BO148" s="321"/>
      <c r="BP148" s="321"/>
      <c r="BQ148" s="321"/>
      <c r="BR148" s="321"/>
      <c r="BS148" s="321"/>
      <c r="BT148" s="321"/>
      <c r="BU148" s="321"/>
      <c r="BV148" s="321"/>
      <c r="BW148" s="321"/>
      <c r="BX148" s="321"/>
      <c r="BY148" s="321"/>
      <c r="BZ148" s="321"/>
      <c r="CA148" s="321"/>
      <c r="CB148" s="321"/>
      <c r="CC148" s="321"/>
      <c r="CD148" s="321"/>
      <c r="CE148" s="321"/>
      <c r="CF148" s="321"/>
      <c r="CG148" s="321"/>
      <c r="CH148" s="321"/>
      <c r="CI148" s="321"/>
      <c r="CJ148" s="321"/>
      <c r="CK148" s="321"/>
      <c r="CL148" s="321"/>
      <c r="CM148" s="321"/>
      <c r="CN148" s="321"/>
      <c r="CO148" s="321"/>
      <c r="CP148" s="321"/>
      <c r="CQ148" s="321"/>
      <c r="CR148" s="321"/>
      <c r="CS148" s="321"/>
      <c r="CT148" s="321"/>
      <c r="CU148" s="321"/>
      <c r="CV148" s="321"/>
      <c r="CW148" s="321"/>
      <c r="CX148" s="321"/>
      <c r="CY148" s="321"/>
      <c r="CZ148" s="321"/>
      <c r="DA148" s="321"/>
      <c r="DB148" s="321"/>
      <c r="DC148" s="321"/>
      <c r="DD148" s="321"/>
      <c r="DE148" s="321"/>
      <c r="DF148" s="321"/>
      <c r="DG148" s="321"/>
      <c r="DH148" s="321"/>
      <c r="DI148" s="321"/>
      <c r="DJ148" s="321"/>
      <c r="DK148" s="321"/>
      <c r="DL148" s="321"/>
      <c r="DM148" s="321"/>
      <c r="DN148" s="321"/>
      <c r="DO148" s="321"/>
      <c r="DP148" s="321"/>
      <c r="DQ148" s="321"/>
      <c r="DR148" s="321"/>
      <c r="DS148" s="321"/>
      <c r="DT148" s="321"/>
      <c r="DU148" s="321"/>
      <c r="DV148" s="321"/>
      <c r="DW148" s="321"/>
      <c r="DX148" s="321"/>
      <c r="DY148" s="321"/>
      <c r="DZ148" s="321"/>
      <c r="EA148" s="321"/>
      <c r="EB148" s="321"/>
      <c r="EC148" s="321"/>
      <c r="ED148" s="321"/>
      <c r="EE148" s="321"/>
      <c r="EF148" s="321"/>
      <c r="EG148" s="321"/>
      <c r="EH148" s="321"/>
      <c r="EI148" s="321"/>
      <c r="EJ148" s="321"/>
      <c r="EK148" s="321"/>
      <c r="EL148" s="321"/>
      <c r="EM148" s="321"/>
      <c r="EN148" s="321"/>
      <c r="EO148" s="321"/>
      <c r="EP148" s="321"/>
      <c r="EQ148" s="321"/>
      <c r="ER148" s="321"/>
      <c r="ES148" s="321"/>
      <c r="ET148" s="321"/>
      <c r="EU148" s="321"/>
      <c r="EV148" s="321"/>
      <c r="EW148" s="321"/>
      <c r="EX148" s="321"/>
      <c r="EY148" s="321"/>
      <c r="EZ148" s="321"/>
      <c r="FA148" s="321"/>
      <c r="FB148" s="321"/>
      <c r="FC148" s="321"/>
      <c r="FD148" s="321"/>
      <c r="FE148" s="321"/>
      <c r="FF148" s="321"/>
      <c r="FG148" s="321"/>
      <c r="FH148" s="321"/>
      <c r="FI148" s="321"/>
      <c r="FJ148" s="321"/>
      <c r="FK148" s="321"/>
      <c r="FL148" s="321"/>
      <c r="FM148" s="321"/>
      <c r="FN148" s="321"/>
      <c r="FO148" s="321"/>
      <c r="FP148" s="321"/>
      <c r="FQ148" s="321"/>
      <c r="FR148" s="321"/>
      <c r="FS148" s="321"/>
      <c r="FT148" s="321"/>
      <c r="FU148" s="321"/>
      <c r="FV148" s="321"/>
      <c r="FW148" s="321"/>
      <c r="FX148" s="321"/>
      <c r="FY148" s="321"/>
      <c r="FZ148" s="321"/>
      <c r="GA148" s="321"/>
      <c r="GB148" s="321"/>
      <c r="GC148" s="321"/>
      <c r="GD148" s="321"/>
      <c r="GE148" s="321"/>
      <c r="GF148" s="321"/>
      <c r="GG148" s="321"/>
      <c r="GH148" s="321"/>
      <c r="GI148" s="321"/>
      <c r="GJ148" s="321"/>
      <c r="GK148" s="321"/>
      <c r="GL148" s="321"/>
      <c r="GM148" s="321"/>
      <c r="GN148" s="321"/>
      <c r="GO148" s="321"/>
      <c r="GP148" s="321"/>
      <c r="GQ148" s="321"/>
      <c r="GR148" s="321"/>
      <c r="GS148" s="321"/>
      <c r="GT148" s="321"/>
      <c r="GU148" s="321"/>
      <c r="GV148" s="321"/>
      <c r="GW148" s="321"/>
      <c r="GX148" s="321"/>
      <c r="GY148" s="321"/>
      <c r="GZ148" s="321"/>
      <c r="HA148" s="321"/>
      <c r="HB148" s="321"/>
      <c r="HC148" s="321"/>
      <c r="HD148" s="321"/>
      <c r="HE148" s="321"/>
      <c r="HF148" s="321"/>
      <c r="HG148" s="321"/>
      <c r="HH148" s="321"/>
      <c r="HI148" s="321"/>
      <c r="HJ148" s="321"/>
      <c r="HK148" s="321"/>
      <c r="HL148" s="321"/>
      <c r="HM148" s="321"/>
      <c r="HN148" s="321"/>
      <c r="HO148" s="321"/>
      <c r="HP148" s="321"/>
      <c r="HQ148" s="321"/>
      <c r="HR148" s="321"/>
      <c r="HS148" s="321"/>
      <c r="HT148" s="321"/>
      <c r="HU148" s="321"/>
      <c r="HV148" s="321"/>
      <c r="HW148" s="321"/>
      <c r="HX148" s="321"/>
      <c r="HY148" s="321"/>
      <c r="HZ148" s="321"/>
      <c r="IA148" s="321"/>
      <c r="IB148" s="321"/>
      <c r="IC148" s="321"/>
      <c r="ID148" s="321"/>
      <c r="IE148" s="321"/>
      <c r="IF148" s="321"/>
      <c r="IG148" s="321"/>
      <c r="IH148" s="321"/>
      <c r="II148" s="321"/>
      <c r="IJ148" s="321"/>
      <c r="IK148" s="321"/>
      <c r="IL148" s="321"/>
      <c r="IM148" s="321"/>
      <c r="IN148" s="321"/>
      <c r="IO148" s="321"/>
      <c r="IP148" s="321"/>
      <c r="IQ148" s="321"/>
      <c r="IR148" s="321"/>
      <c r="IS148" s="321"/>
      <c r="IT148" s="321"/>
      <c r="IU148" s="321"/>
      <c r="IV148" s="321"/>
    </row>
    <row r="149" spans="1:256" s="546" customFormat="1" ht="19.5" customHeight="1" thickBot="1">
      <c r="A149" s="561">
        <v>141</v>
      </c>
      <c r="B149" s="1437"/>
      <c r="C149" s="322"/>
      <c r="D149" s="338" t="s">
        <v>1035</v>
      </c>
      <c r="E149" s="330"/>
      <c r="F149" s="330"/>
      <c r="G149" s="1434"/>
      <c r="H149" s="762"/>
      <c r="I149" s="1435"/>
      <c r="J149" s="1435"/>
      <c r="K149" s="1435"/>
      <c r="L149" s="1435"/>
      <c r="M149" s="1435"/>
      <c r="N149" s="1267">
        <v>0</v>
      </c>
      <c r="O149" s="1435"/>
      <c r="P149" s="1990">
        <f>SUM(I149:O149)</f>
        <v>0</v>
      </c>
      <c r="Q149" s="1144"/>
      <c r="R149" s="321"/>
      <c r="S149" s="321"/>
      <c r="T149" s="321"/>
      <c r="U149" s="321"/>
      <c r="V149" s="321"/>
      <c r="W149" s="321"/>
      <c r="X149" s="321"/>
      <c r="Y149" s="321"/>
      <c r="Z149" s="321"/>
      <c r="AA149" s="321"/>
      <c r="AB149" s="321"/>
      <c r="AC149" s="321"/>
      <c r="AD149" s="321"/>
      <c r="AE149" s="321"/>
      <c r="AF149" s="321"/>
      <c r="AG149" s="321"/>
      <c r="AH149" s="321"/>
      <c r="AI149" s="321"/>
      <c r="AJ149" s="321"/>
      <c r="AK149" s="321"/>
      <c r="AL149" s="321"/>
      <c r="AM149" s="321"/>
      <c r="AN149" s="321"/>
      <c r="AO149" s="321"/>
      <c r="AP149" s="321"/>
      <c r="AQ149" s="321"/>
      <c r="AR149" s="321"/>
      <c r="AS149" s="321"/>
      <c r="AT149" s="321"/>
      <c r="AU149" s="321"/>
      <c r="AV149" s="321"/>
      <c r="AW149" s="321"/>
      <c r="AX149" s="321"/>
      <c r="AY149" s="321"/>
      <c r="AZ149" s="321"/>
      <c r="BA149" s="321"/>
      <c r="BB149" s="321"/>
      <c r="BC149" s="321"/>
      <c r="BD149" s="321"/>
      <c r="BE149" s="321"/>
      <c r="BF149" s="321"/>
      <c r="BG149" s="321"/>
      <c r="BH149" s="321"/>
      <c r="BI149" s="321"/>
      <c r="BJ149" s="321"/>
      <c r="BK149" s="321"/>
      <c r="BL149" s="321"/>
      <c r="BM149" s="321"/>
      <c r="BN149" s="321"/>
      <c r="BO149" s="321"/>
      <c r="BP149" s="321"/>
      <c r="BQ149" s="321"/>
      <c r="BR149" s="321"/>
      <c r="BS149" s="321"/>
      <c r="BT149" s="321"/>
      <c r="BU149" s="321"/>
      <c r="BV149" s="321"/>
      <c r="BW149" s="321"/>
      <c r="BX149" s="321"/>
      <c r="BY149" s="321"/>
      <c r="BZ149" s="321"/>
      <c r="CA149" s="321"/>
      <c r="CB149" s="321"/>
      <c r="CC149" s="321"/>
      <c r="CD149" s="321"/>
      <c r="CE149" s="321"/>
      <c r="CF149" s="321"/>
      <c r="CG149" s="321"/>
      <c r="CH149" s="321"/>
      <c r="CI149" s="321"/>
      <c r="CJ149" s="321"/>
      <c r="CK149" s="321"/>
      <c r="CL149" s="321"/>
      <c r="CM149" s="321"/>
      <c r="CN149" s="321"/>
      <c r="CO149" s="321"/>
      <c r="CP149" s="321"/>
      <c r="CQ149" s="321"/>
      <c r="CR149" s="321"/>
      <c r="CS149" s="321"/>
      <c r="CT149" s="321"/>
      <c r="CU149" s="321"/>
      <c r="CV149" s="321"/>
      <c r="CW149" s="321"/>
      <c r="CX149" s="321"/>
      <c r="CY149" s="321"/>
      <c r="CZ149" s="321"/>
      <c r="DA149" s="321"/>
      <c r="DB149" s="321"/>
      <c r="DC149" s="321"/>
      <c r="DD149" s="321"/>
      <c r="DE149" s="321"/>
      <c r="DF149" s="321"/>
      <c r="DG149" s="321"/>
      <c r="DH149" s="321"/>
      <c r="DI149" s="321"/>
      <c r="DJ149" s="321"/>
      <c r="DK149" s="321"/>
      <c r="DL149" s="321"/>
      <c r="DM149" s="321"/>
      <c r="DN149" s="321"/>
      <c r="DO149" s="321"/>
      <c r="DP149" s="321"/>
      <c r="DQ149" s="321"/>
      <c r="DR149" s="321"/>
      <c r="DS149" s="321"/>
      <c r="DT149" s="321"/>
      <c r="DU149" s="321"/>
      <c r="DV149" s="321"/>
      <c r="DW149" s="321"/>
      <c r="DX149" s="321"/>
      <c r="DY149" s="321"/>
      <c r="DZ149" s="321"/>
      <c r="EA149" s="321"/>
      <c r="EB149" s="321"/>
      <c r="EC149" s="321"/>
      <c r="ED149" s="321"/>
      <c r="EE149" s="321"/>
      <c r="EF149" s="321"/>
      <c r="EG149" s="321"/>
      <c r="EH149" s="321"/>
      <c r="EI149" s="321"/>
      <c r="EJ149" s="321"/>
      <c r="EK149" s="321"/>
      <c r="EL149" s="321"/>
      <c r="EM149" s="321"/>
      <c r="EN149" s="321"/>
      <c r="EO149" s="321"/>
      <c r="EP149" s="321"/>
      <c r="EQ149" s="321"/>
      <c r="ER149" s="321"/>
      <c r="ES149" s="321"/>
      <c r="ET149" s="321"/>
      <c r="EU149" s="321"/>
      <c r="EV149" s="321"/>
      <c r="EW149" s="321"/>
      <c r="EX149" s="321"/>
      <c r="EY149" s="321"/>
      <c r="EZ149" s="321"/>
      <c r="FA149" s="321"/>
      <c r="FB149" s="321"/>
      <c r="FC149" s="321"/>
      <c r="FD149" s="321"/>
      <c r="FE149" s="321"/>
      <c r="FF149" s="321"/>
      <c r="FG149" s="321"/>
      <c r="FH149" s="321"/>
      <c r="FI149" s="321"/>
      <c r="FJ149" s="321"/>
      <c r="FK149" s="321"/>
      <c r="FL149" s="321"/>
      <c r="FM149" s="321"/>
      <c r="FN149" s="321"/>
      <c r="FO149" s="321"/>
      <c r="FP149" s="321"/>
      <c r="FQ149" s="321"/>
      <c r="FR149" s="321"/>
      <c r="FS149" s="321"/>
      <c r="FT149" s="321"/>
      <c r="FU149" s="321"/>
      <c r="FV149" s="321"/>
      <c r="FW149" s="321"/>
      <c r="FX149" s="321"/>
      <c r="FY149" s="321"/>
      <c r="FZ149" s="321"/>
      <c r="GA149" s="321"/>
      <c r="GB149" s="321"/>
      <c r="GC149" s="321"/>
      <c r="GD149" s="321"/>
      <c r="GE149" s="321"/>
      <c r="GF149" s="321"/>
      <c r="GG149" s="321"/>
      <c r="GH149" s="321"/>
      <c r="GI149" s="321"/>
      <c r="GJ149" s="321"/>
      <c r="GK149" s="321"/>
      <c r="GL149" s="321"/>
      <c r="GM149" s="321"/>
      <c r="GN149" s="321"/>
      <c r="GO149" s="321"/>
      <c r="GP149" s="321"/>
      <c r="GQ149" s="321"/>
      <c r="GR149" s="321"/>
      <c r="GS149" s="321"/>
      <c r="GT149" s="321"/>
      <c r="GU149" s="321"/>
      <c r="GV149" s="321"/>
      <c r="GW149" s="321"/>
      <c r="GX149" s="321"/>
      <c r="GY149" s="321"/>
      <c r="GZ149" s="321"/>
      <c r="HA149" s="321"/>
      <c r="HB149" s="321"/>
      <c r="HC149" s="321"/>
      <c r="HD149" s="321"/>
      <c r="HE149" s="321"/>
      <c r="HF149" s="321"/>
      <c r="HG149" s="321"/>
      <c r="HH149" s="321"/>
      <c r="HI149" s="321"/>
      <c r="HJ149" s="321"/>
      <c r="HK149" s="321"/>
      <c r="HL149" s="321"/>
      <c r="HM149" s="321"/>
      <c r="HN149" s="321"/>
      <c r="HO149" s="321"/>
      <c r="HP149" s="321"/>
      <c r="HQ149" s="321"/>
      <c r="HR149" s="321"/>
      <c r="HS149" s="321"/>
      <c r="HT149" s="321"/>
      <c r="HU149" s="321"/>
      <c r="HV149" s="321"/>
      <c r="HW149" s="321"/>
      <c r="HX149" s="321"/>
      <c r="HY149" s="321"/>
      <c r="HZ149" s="321"/>
      <c r="IA149" s="321"/>
      <c r="IB149" s="321"/>
      <c r="IC149" s="321"/>
      <c r="ID149" s="321"/>
      <c r="IE149" s="321"/>
      <c r="IF149" s="321"/>
      <c r="IG149" s="321"/>
      <c r="IH149" s="321"/>
      <c r="II149" s="321"/>
      <c r="IJ149" s="321"/>
      <c r="IK149" s="321"/>
      <c r="IL149" s="321"/>
      <c r="IM149" s="321"/>
      <c r="IN149" s="321"/>
      <c r="IO149" s="321"/>
      <c r="IP149" s="321"/>
      <c r="IQ149" s="321"/>
      <c r="IR149" s="321"/>
      <c r="IS149" s="321"/>
      <c r="IT149" s="321"/>
      <c r="IU149" s="321"/>
      <c r="IV149" s="321"/>
    </row>
    <row r="150" spans="1:256" s="546" customFormat="1" ht="21.75" customHeight="1" thickTop="1">
      <c r="A150" s="561">
        <v>142</v>
      </c>
      <c r="B150" s="1437"/>
      <c r="C150" s="1977"/>
      <c r="D150" s="1975" t="s">
        <v>978</v>
      </c>
      <c r="E150" s="1978">
        <f>E147+E144</f>
        <v>97341</v>
      </c>
      <c r="F150" s="1978"/>
      <c r="G150" s="1983"/>
      <c r="H150" s="1979"/>
      <c r="I150" s="1980"/>
      <c r="J150" s="1980"/>
      <c r="K150" s="1980"/>
      <c r="L150" s="1980"/>
      <c r="M150" s="1980"/>
      <c r="N150" s="1980"/>
      <c r="O150" s="1980"/>
      <c r="P150" s="1984"/>
      <c r="Q150" s="1985"/>
      <c r="R150" s="321"/>
      <c r="S150" s="321"/>
      <c r="T150" s="321"/>
      <c r="U150" s="321"/>
      <c r="V150" s="321"/>
      <c r="W150" s="321"/>
      <c r="X150" s="321"/>
      <c r="Y150" s="321"/>
      <c r="Z150" s="321"/>
      <c r="AA150" s="321"/>
      <c r="AB150" s="321"/>
      <c r="AC150" s="321"/>
      <c r="AD150" s="321"/>
      <c r="AE150" s="321"/>
      <c r="AF150" s="321"/>
      <c r="AG150" s="321"/>
      <c r="AH150" s="321"/>
      <c r="AI150" s="321"/>
      <c r="AJ150" s="321"/>
      <c r="AK150" s="321"/>
      <c r="AL150" s="321"/>
      <c r="AM150" s="321"/>
      <c r="AN150" s="321"/>
      <c r="AO150" s="321"/>
      <c r="AP150" s="321"/>
      <c r="AQ150" s="321"/>
      <c r="AR150" s="321"/>
      <c r="AS150" s="321"/>
      <c r="AT150" s="321"/>
      <c r="AU150" s="321"/>
      <c r="AV150" s="321"/>
      <c r="AW150" s="321"/>
      <c r="AX150" s="321"/>
      <c r="AY150" s="321"/>
      <c r="AZ150" s="321"/>
      <c r="BA150" s="321"/>
      <c r="BB150" s="321"/>
      <c r="BC150" s="321"/>
      <c r="BD150" s="321"/>
      <c r="BE150" s="321"/>
      <c r="BF150" s="321"/>
      <c r="BG150" s="321"/>
      <c r="BH150" s="321"/>
      <c r="BI150" s="321"/>
      <c r="BJ150" s="321"/>
      <c r="BK150" s="321"/>
      <c r="BL150" s="321"/>
      <c r="BM150" s="321"/>
      <c r="BN150" s="321"/>
      <c r="BO150" s="321"/>
      <c r="BP150" s="321"/>
      <c r="BQ150" s="321"/>
      <c r="BR150" s="321"/>
      <c r="BS150" s="321"/>
      <c r="BT150" s="321"/>
      <c r="BU150" s="321"/>
      <c r="BV150" s="321"/>
      <c r="BW150" s="321"/>
      <c r="BX150" s="321"/>
      <c r="BY150" s="321"/>
      <c r="BZ150" s="321"/>
      <c r="CA150" s="321"/>
      <c r="CB150" s="321"/>
      <c r="CC150" s="321"/>
      <c r="CD150" s="321"/>
      <c r="CE150" s="321"/>
      <c r="CF150" s="321"/>
      <c r="CG150" s="321"/>
      <c r="CH150" s="321"/>
      <c r="CI150" s="321"/>
      <c r="CJ150" s="321"/>
      <c r="CK150" s="321"/>
      <c r="CL150" s="321"/>
      <c r="CM150" s="321"/>
      <c r="CN150" s="321"/>
      <c r="CO150" s="321"/>
      <c r="CP150" s="321"/>
      <c r="CQ150" s="321"/>
      <c r="CR150" s="321"/>
      <c r="CS150" s="321"/>
      <c r="CT150" s="321"/>
      <c r="CU150" s="321"/>
      <c r="CV150" s="321"/>
      <c r="CW150" s="321"/>
      <c r="CX150" s="321"/>
      <c r="CY150" s="321"/>
      <c r="CZ150" s="321"/>
      <c r="DA150" s="321"/>
      <c r="DB150" s="321"/>
      <c r="DC150" s="321"/>
      <c r="DD150" s="321"/>
      <c r="DE150" s="321"/>
      <c r="DF150" s="321"/>
      <c r="DG150" s="321"/>
      <c r="DH150" s="321"/>
      <c r="DI150" s="321"/>
      <c r="DJ150" s="321"/>
      <c r="DK150" s="321"/>
      <c r="DL150" s="321"/>
      <c r="DM150" s="321"/>
      <c r="DN150" s="321"/>
      <c r="DO150" s="321"/>
      <c r="DP150" s="321"/>
      <c r="DQ150" s="321"/>
      <c r="DR150" s="321"/>
      <c r="DS150" s="321"/>
      <c r="DT150" s="321"/>
      <c r="DU150" s="321"/>
      <c r="DV150" s="321"/>
      <c r="DW150" s="321"/>
      <c r="DX150" s="321"/>
      <c r="DY150" s="321"/>
      <c r="DZ150" s="321"/>
      <c r="EA150" s="321"/>
      <c r="EB150" s="321"/>
      <c r="EC150" s="321"/>
      <c r="ED150" s="321"/>
      <c r="EE150" s="321"/>
      <c r="EF150" s="321"/>
      <c r="EG150" s="321"/>
      <c r="EH150" s="321"/>
      <c r="EI150" s="321"/>
      <c r="EJ150" s="321"/>
      <c r="EK150" s="321"/>
      <c r="EL150" s="321"/>
      <c r="EM150" s="321"/>
      <c r="EN150" s="321"/>
      <c r="EO150" s="321"/>
      <c r="EP150" s="321"/>
      <c r="EQ150" s="321"/>
      <c r="ER150" s="321"/>
      <c r="ES150" s="321"/>
      <c r="ET150" s="321"/>
      <c r="EU150" s="321"/>
      <c r="EV150" s="321"/>
      <c r="EW150" s="321"/>
      <c r="EX150" s="321"/>
      <c r="EY150" s="321"/>
      <c r="EZ150" s="321"/>
      <c r="FA150" s="321"/>
      <c r="FB150" s="321"/>
      <c r="FC150" s="321"/>
      <c r="FD150" s="321"/>
      <c r="FE150" s="321"/>
      <c r="FF150" s="321"/>
      <c r="FG150" s="321"/>
      <c r="FH150" s="321"/>
      <c r="FI150" s="321"/>
      <c r="FJ150" s="321"/>
      <c r="FK150" s="321"/>
      <c r="FL150" s="321"/>
      <c r="FM150" s="321"/>
      <c r="FN150" s="321"/>
      <c r="FO150" s="321"/>
      <c r="FP150" s="321"/>
      <c r="FQ150" s="321"/>
      <c r="FR150" s="321"/>
      <c r="FS150" s="321"/>
      <c r="FT150" s="321"/>
      <c r="FU150" s="321"/>
      <c r="FV150" s="321"/>
      <c r="FW150" s="321"/>
      <c r="FX150" s="321"/>
      <c r="FY150" s="321"/>
      <c r="FZ150" s="321"/>
      <c r="GA150" s="321"/>
      <c r="GB150" s="321"/>
      <c r="GC150" s="321"/>
      <c r="GD150" s="321"/>
      <c r="GE150" s="321"/>
      <c r="GF150" s="321"/>
      <c r="GG150" s="321"/>
      <c r="GH150" s="321"/>
      <c r="GI150" s="321"/>
      <c r="GJ150" s="321"/>
      <c r="GK150" s="321"/>
      <c r="GL150" s="321"/>
      <c r="GM150" s="321"/>
      <c r="GN150" s="321"/>
      <c r="GO150" s="321"/>
      <c r="GP150" s="321"/>
      <c r="GQ150" s="321"/>
      <c r="GR150" s="321"/>
      <c r="GS150" s="321"/>
      <c r="GT150" s="321"/>
      <c r="GU150" s="321"/>
      <c r="GV150" s="321"/>
      <c r="GW150" s="321"/>
      <c r="GX150" s="321"/>
      <c r="GY150" s="321"/>
      <c r="GZ150" s="321"/>
      <c r="HA150" s="321"/>
      <c r="HB150" s="321"/>
      <c r="HC150" s="321"/>
      <c r="HD150" s="321"/>
      <c r="HE150" s="321"/>
      <c r="HF150" s="321"/>
      <c r="HG150" s="321"/>
      <c r="HH150" s="321"/>
      <c r="HI150" s="321"/>
      <c r="HJ150" s="321"/>
      <c r="HK150" s="321"/>
      <c r="HL150" s="321"/>
      <c r="HM150" s="321"/>
      <c r="HN150" s="321"/>
      <c r="HO150" s="321"/>
      <c r="HP150" s="321"/>
      <c r="HQ150" s="321"/>
      <c r="HR150" s="321"/>
      <c r="HS150" s="321"/>
      <c r="HT150" s="321"/>
      <c r="HU150" s="321"/>
      <c r="HV150" s="321"/>
      <c r="HW150" s="321"/>
      <c r="HX150" s="321"/>
      <c r="HY150" s="321"/>
      <c r="HZ150" s="321"/>
      <c r="IA150" s="321"/>
      <c r="IB150" s="321"/>
      <c r="IC150" s="321"/>
      <c r="ID150" s="321"/>
      <c r="IE150" s="321"/>
      <c r="IF150" s="321"/>
      <c r="IG150" s="321"/>
      <c r="IH150" s="321"/>
      <c r="II150" s="321"/>
      <c r="IJ150" s="321"/>
      <c r="IK150" s="321"/>
      <c r="IL150" s="321"/>
      <c r="IM150" s="321"/>
      <c r="IN150" s="321"/>
      <c r="IO150" s="321"/>
      <c r="IP150" s="321"/>
      <c r="IQ150" s="321"/>
      <c r="IR150" s="321"/>
      <c r="IS150" s="321"/>
      <c r="IT150" s="321"/>
      <c r="IU150" s="321"/>
      <c r="IV150" s="321"/>
    </row>
    <row r="151" spans="1:256" s="546" customFormat="1" ht="21.75" customHeight="1">
      <c r="A151" s="561">
        <v>143</v>
      </c>
      <c r="B151" s="1437"/>
      <c r="C151" s="1141"/>
      <c r="D151" s="436" t="s">
        <v>994</v>
      </c>
      <c r="E151" s="328"/>
      <c r="F151" s="1130"/>
      <c r="G151" s="782"/>
      <c r="H151" s="1116"/>
      <c r="I151" s="1431">
        <f>I145</f>
        <v>12374</v>
      </c>
      <c r="J151" s="1431">
        <f>J145</f>
        <v>1851</v>
      </c>
      <c r="K151" s="1431">
        <f>K145</f>
        <v>80616</v>
      </c>
      <c r="L151" s="1431">
        <f>L145</f>
        <v>0</v>
      </c>
      <c r="M151" s="1431">
        <f>M145</f>
        <v>0</v>
      </c>
      <c r="N151" s="1431">
        <f>N145+N148</f>
        <v>2500</v>
      </c>
      <c r="O151" s="1431">
        <f>O145</f>
        <v>0</v>
      </c>
      <c r="P151" s="1982">
        <f>SUM(I151:O151)</f>
        <v>97341</v>
      </c>
      <c r="Q151" s="1432"/>
      <c r="R151" s="321"/>
      <c r="S151" s="321"/>
      <c r="T151" s="321"/>
      <c r="U151" s="321"/>
      <c r="V151" s="321"/>
      <c r="W151" s="321"/>
      <c r="X151" s="321"/>
      <c r="Y151" s="321"/>
      <c r="Z151" s="321"/>
      <c r="AA151" s="321"/>
      <c r="AB151" s="321"/>
      <c r="AC151" s="321"/>
      <c r="AD151" s="321"/>
      <c r="AE151" s="321"/>
      <c r="AF151" s="321"/>
      <c r="AG151" s="321"/>
      <c r="AH151" s="321"/>
      <c r="AI151" s="321"/>
      <c r="AJ151" s="321"/>
      <c r="AK151" s="321"/>
      <c r="AL151" s="321"/>
      <c r="AM151" s="321"/>
      <c r="AN151" s="321"/>
      <c r="AO151" s="321"/>
      <c r="AP151" s="321"/>
      <c r="AQ151" s="321"/>
      <c r="AR151" s="321"/>
      <c r="AS151" s="321"/>
      <c r="AT151" s="321"/>
      <c r="AU151" s="321"/>
      <c r="AV151" s="321"/>
      <c r="AW151" s="321"/>
      <c r="AX151" s="321"/>
      <c r="AY151" s="321"/>
      <c r="AZ151" s="321"/>
      <c r="BA151" s="321"/>
      <c r="BB151" s="321"/>
      <c r="BC151" s="321"/>
      <c r="BD151" s="321"/>
      <c r="BE151" s="321"/>
      <c r="BF151" s="321"/>
      <c r="BG151" s="321"/>
      <c r="BH151" s="321"/>
      <c r="BI151" s="321"/>
      <c r="BJ151" s="321"/>
      <c r="BK151" s="321"/>
      <c r="BL151" s="321"/>
      <c r="BM151" s="321"/>
      <c r="BN151" s="321"/>
      <c r="BO151" s="321"/>
      <c r="BP151" s="321"/>
      <c r="BQ151" s="321"/>
      <c r="BR151" s="321"/>
      <c r="BS151" s="321"/>
      <c r="BT151" s="321"/>
      <c r="BU151" s="321"/>
      <c r="BV151" s="321"/>
      <c r="BW151" s="321"/>
      <c r="BX151" s="321"/>
      <c r="BY151" s="321"/>
      <c r="BZ151" s="321"/>
      <c r="CA151" s="321"/>
      <c r="CB151" s="321"/>
      <c r="CC151" s="321"/>
      <c r="CD151" s="321"/>
      <c r="CE151" s="321"/>
      <c r="CF151" s="321"/>
      <c r="CG151" s="321"/>
      <c r="CH151" s="321"/>
      <c r="CI151" s="321"/>
      <c r="CJ151" s="321"/>
      <c r="CK151" s="321"/>
      <c r="CL151" s="321"/>
      <c r="CM151" s="321"/>
      <c r="CN151" s="321"/>
      <c r="CO151" s="321"/>
      <c r="CP151" s="321"/>
      <c r="CQ151" s="321"/>
      <c r="CR151" s="321"/>
      <c r="CS151" s="321"/>
      <c r="CT151" s="321"/>
      <c r="CU151" s="321"/>
      <c r="CV151" s="321"/>
      <c r="CW151" s="321"/>
      <c r="CX151" s="321"/>
      <c r="CY151" s="321"/>
      <c r="CZ151" s="321"/>
      <c r="DA151" s="321"/>
      <c r="DB151" s="321"/>
      <c r="DC151" s="321"/>
      <c r="DD151" s="321"/>
      <c r="DE151" s="321"/>
      <c r="DF151" s="321"/>
      <c r="DG151" s="321"/>
      <c r="DH151" s="321"/>
      <c r="DI151" s="321"/>
      <c r="DJ151" s="321"/>
      <c r="DK151" s="321"/>
      <c r="DL151" s="321"/>
      <c r="DM151" s="321"/>
      <c r="DN151" s="321"/>
      <c r="DO151" s="321"/>
      <c r="DP151" s="321"/>
      <c r="DQ151" s="321"/>
      <c r="DR151" s="321"/>
      <c r="DS151" s="321"/>
      <c r="DT151" s="321"/>
      <c r="DU151" s="321"/>
      <c r="DV151" s="321"/>
      <c r="DW151" s="321"/>
      <c r="DX151" s="321"/>
      <c r="DY151" s="321"/>
      <c r="DZ151" s="321"/>
      <c r="EA151" s="321"/>
      <c r="EB151" s="321"/>
      <c r="EC151" s="321"/>
      <c r="ED151" s="321"/>
      <c r="EE151" s="321"/>
      <c r="EF151" s="321"/>
      <c r="EG151" s="321"/>
      <c r="EH151" s="321"/>
      <c r="EI151" s="321"/>
      <c r="EJ151" s="321"/>
      <c r="EK151" s="321"/>
      <c r="EL151" s="321"/>
      <c r="EM151" s="321"/>
      <c r="EN151" s="321"/>
      <c r="EO151" s="321"/>
      <c r="EP151" s="321"/>
      <c r="EQ151" s="321"/>
      <c r="ER151" s="321"/>
      <c r="ES151" s="321"/>
      <c r="ET151" s="321"/>
      <c r="EU151" s="321"/>
      <c r="EV151" s="321"/>
      <c r="EW151" s="321"/>
      <c r="EX151" s="321"/>
      <c r="EY151" s="321"/>
      <c r="EZ151" s="321"/>
      <c r="FA151" s="321"/>
      <c r="FB151" s="321"/>
      <c r="FC151" s="321"/>
      <c r="FD151" s="321"/>
      <c r="FE151" s="321"/>
      <c r="FF151" s="321"/>
      <c r="FG151" s="321"/>
      <c r="FH151" s="321"/>
      <c r="FI151" s="321"/>
      <c r="FJ151" s="321"/>
      <c r="FK151" s="321"/>
      <c r="FL151" s="321"/>
      <c r="FM151" s="321"/>
      <c r="FN151" s="321"/>
      <c r="FO151" s="321"/>
      <c r="FP151" s="321"/>
      <c r="FQ151" s="321"/>
      <c r="FR151" s="321"/>
      <c r="FS151" s="321"/>
      <c r="FT151" s="321"/>
      <c r="FU151" s="321"/>
      <c r="FV151" s="321"/>
      <c r="FW151" s="321"/>
      <c r="FX151" s="321"/>
      <c r="FY151" s="321"/>
      <c r="FZ151" s="321"/>
      <c r="GA151" s="321"/>
      <c r="GB151" s="321"/>
      <c r="GC151" s="321"/>
      <c r="GD151" s="321"/>
      <c r="GE151" s="321"/>
      <c r="GF151" s="321"/>
      <c r="GG151" s="321"/>
      <c r="GH151" s="321"/>
      <c r="GI151" s="321"/>
      <c r="GJ151" s="321"/>
      <c r="GK151" s="321"/>
      <c r="GL151" s="321"/>
      <c r="GM151" s="321"/>
      <c r="GN151" s="321"/>
      <c r="GO151" s="321"/>
      <c r="GP151" s="321"/>
      <c r="GQ151" s="321"/>
      <c r="GR151" s="321"/>
      <c r="GS151" s="321"/>
      <c r="GT151" s="321"/>
      <c r="GU151" s="321"/>
      <c r="GV151" s="321"/>
      <c r="GW151" s="321"/>
      <c r="GX151" s="321"/>
      <c r="GY151" s="321"/>
      <c r="GZ151" s="321"/>
      <c r="HA151" s="321"/>
      <c r="HB151" s="321"/>
      <c r="HC151" s="321"/>
      <c r="HD151" s="321"/>
      <c r="HE151" s="321"/>
      <c r="HF151" s="321"/>
      <c r="HG151" s="321"/>
      <c r="HH151" s="321"/>
      <c r="HI151" s="321"/>
      <c r="HJ151" s="321"/>
      <c r="HK151" s="321"/>
      <c r="HL151" s="321"/>
      <c r="HM151" s="321"/>
      <c r="HN151" s="321"/>
      <c r="HO151" s="321"/>
      <c r="HP151" s="321"/>
      <c r="HQ151" s="321"/>
      <c r="HR151" s="321"/>
      <c r="HS151" s="321"/>
      <c r="HT151" s="321"/>
      <c r="HU151" s="321"/>
      <c r="HV151" s="321"/>
      <c r="HW151" s="321"/>
      <c r="HX151" s="321"/>
      <c r="HY151" s="321"/>
      <c r="HZ151" s="321"/>
      <c r="IA151" s="321"/>
      <c r="IB151" s="321"/>
      <c r="IC151" s="321"/>
      <c r="ID151" s="321"/>
      <c r="IE151" s="321"/>
      <c r="IF151" s="321"/>
      <c r="IG151" s="321"/>
      <c r="IH151" s="321"/>
      <c r="II151" s="321"/>
      <c r="IJ151" s="321"/>
      <c r="IK151" s="321"/>
      <c r="IL151" s="321"/>
      <c r="IM151" s="321"/>
      <c r="IN151" s="321"/>
      <c r="IO151" s="321"/>
      <c r="IP151" s="321"/>
      <c r="IQ151" s="321"/>
      <c r="IR151" s="321"/>
      <c r="IS151" s="321"/>
      <c r="IT151" s="321"/>
      <c r="IU151" s="321"/>
      <c r="IV151" s="321"/>
    </row>
    <row r="152" spans="1:256" s="546" customFormat="1" ht="21.75" customHeight="1" thickBot="1">
      <c r="A152" s="561">
        <v>144</v>
      </c>
      <c r="B152" s="1437"/>
      <c r="C152" s="1118"/>
      <c r="D152" s="1548" t="s">
        <v>1036</v>
      </c>
      <c r="E152" s="1119"/>
      <c r="F152" s="1119"/>
      <c r="G152" s="1555"/>
      <c r="H152" s="1122"/>
      <c r="I152" s="1556">
        <f>I146+I149</f>
        <v>9948</v>
      </c>
      <c r="J152" s="1556">
        <f>J146+J149</f>
        <v>1507</v>
      </c>
      <c r="K152" s="1556">
        <f>K146+K149</f>
        <v>41177</v>
      </c>
      <c r="L152" s="1556">
        <f>L146+L149</f>
        <v>0</v>
      </c>
      <c r="M152" s="1556">
        <f>M146+M149</f>
        <v>0</v>
      </c>
      <c r="N152" s="1556">
        <f>N146+N149</f>
        <v>0</v>
      </c>
      <c r="O152" s="1556">
        <f>O146+O149</f>
        <v>0</v>
      </c>
      <c r="P152" s="1989">
        <f>SUM(I152:O152)</f>
        <v>52632</v>
      </c>
      <c r="Q152" s="1145"/>
      <c r="R152" s="321"/>
      <c r="S152" s="321"/>
      <c r="T152" s="321"/>
      <c r="U152" s="321"/>
      <c r="V152" s="321"/>
      <c r="W152" s="321"/>
      <c r="X152" s="321"/>
      <c r="Y152" s="321"/>
      <c r="Z152" s="321"/>
      <c r="AA152" s="321"/>
      <c r="AB152" s="321"/>
      <c r="AC152" s="321"/>
      <c r="AD152" s="321"/>
      <c r="AE152" s="321"/>
      <c r="AF152" s="321"/>
      <c r="AG152" s="321"/>
      <c r="AH152" s="321"/>
      <c r="AI152" s="321"/>
      <c r="AJ152" s="321"/>
      <c r="AK152" s="321"/>
      <c r="AL152" s="321"/>
      <c r="AM152" s="321"/>
      <c r="AN152" s="321"/>
      <c r="AO152" s="321"/>
      <c r="AP152" s="321"/>
      <c r="AQ152" s="321"/>
      <c r="AR152" s="321"/>
      <c r="AS152" s="321"/>
      <c r="AT152" s="321"/>
      <c r="AU152" s="321"/>
      <c r="AV152" s="321"/>
      <c r="AW152" s="321"/>
      <c r="AX152" s="321"/>
      <c r="AY152" s="321"/>
      <c r="AZ152" s="321"/>
      <c r="BA152" s="321"/>
      <c r="BB152" s="321"/>
      <c r="BC152" s="321"/>
      <c r="BD152" s="321"/>
      <c r="BE152" s="321"/>
      <c r="BF152" s="321"/>
      <c r="BG152" s="321"/>
      <c r="BH152" s="321"/>
      <c r="BI152" s="321"/>
      <c r="BJ152" s="321"/>
      <c r="BK152" s="321"/>
      <c r="BL152" s="321"/>
      <c r="BM152" s="321"/>
      <c r="BN152" s="321"/>
      <c r="BO152" s="321"/>
      <c r="BP152" s="321"/>
      <c r="BQ152" s="321"/>
      <c r="BR152" s="321"/>
      <c r="BS152" s="321"/>
      <c r="BT152" s="321"/>
      <c r="BU152" s="321"/>
      <c r="BV152" s="321"/>
      <c r="BW152" s="321"/>
      <c r="BX152" s="321"/>
      <c r="BY152" s="321"/>
      <c r="BZ152" s="321"/>
      <c r="CA152" s="321"/>
      <c r="CB152" s="321"/>
      <c r="CC152" s="321"/>
      <c r="CD152" s="321"/>
      <c r="CE152" s="321"/>
      <c r="CF152" s="321"/>
      <c r="CG152" s="321"/>
      <c r="CH152" s="321"/>
      <c r="CI152" s="321"/>
      <c r="CJ152" s="321"/>
      <c r="CK152" s="321"/>
      <c r="CL152" s="321"/>
      <c r="CM152" s="321"/>
      <c r="CN152" s="321"/>
      <c r="CO152" s="321"/>
      <c r="CP152" s="321"/>
      <c r="CQ152" s="321"/>
      <c r="CR152" s="321"/>
      <c r="CS152" s="321"/>
      <c r="CT152" s="321"/>
      <c r="CU152" s="321"/>
      <c r="CV152" s="321"/>
      <c r="CW152" s="321"/>
      <c r="CX152" s="321"/>
      <c r="CY152" s="321"/>
      <c r="CZ152" s="321"/>
      <c r="DA152" s="321"/>
      <c r="DB152" s="321"/>
      <c r="DC152" s="321"/>
      <c r="DD152" s="321"/>
      <c r="DE152" s="321"/>
      <c r="DF152" s="321"/>
      <c r="DG152" s="321"/>
      <c r="DH152" s="321"/>
      <c r="DI152" s="321"/>
      <c r="DJ152" s="321"/>
      <c r="DK152" s="321"/>
      <c r="DL152" s="321"/>
      <c r="DM152" s="321"/>
      <c r="DN152" s="321"/>
      <c r="DO152" s="321"/>
      <c r="DP152" s="321"/>
      <c r="DQ152" s="321"/>
      <c r="DR152" s="321"/>
      <c r="DS152" s="321"/>
      <c r="DT152" s="321"/>
      <c r="DU152" s="321"/>
      <c r="DV152" s="321"/>
      <c r="DW152" s="321"/>
      <c r="DX152" s="321"/>
      <c r="DY152" s="321"/>
      <c r="DZ152" s="321"/>
      <c r="EA152" s="321"/>
      <c r="EB152" s="321"/>
      <c r="EC152" s="321"/>
      <c r="ED152" s="321"/>
      <c r="EE152" s="321"/>
      <c r="EF152" s="321"/>
      <c r="EG152" s="321"/>
      <c r="EH152" s="321"/>
      <c r="EI152" s="321"/>
      <c r="EJ152" s="321"/>
      <c r="EK152" s="321"/>
      <c r="EL152" s="321"/>
      <c r="EM152" s="321"/>
      <c r="EN152" s="321"/>
      <c r="EO152" s="321"/>
      <c r="EP152" s="321"/>
      <c r="EQ152" s="321"/>
      <c r="ER152" s="321"/>
      <c r="ES152" s="321"/>
      <c r="ET152" s="321"/>
      <c r="EU152" s="321"/>
      <c r="EV152" s="321"/>
      <c r="EW152" s="321"/>
      <c r="EX152" s="321"/>
      <c r="EY152" s="321"/>
      <c r="EZ152" s="321"/>
      <c r="FA152" s="321"/>
      <c r="FB152" s="321"/>
      <c r="FC152" s="321"/>
      <c r="FD152" s="321"/>
      <c r="FE152" s="321"/>
      <c r="FF152" s="321"/>
      <c r="FG152" s="321"/>
      <c r="FH152" s="321"/>
      <c r="FI152" s="321"/>
      <c r="FJ152" s="321"/>
      <c r="FK152" s="321"/>
      <c r="FL152" s="321"/>
      <c r="FM152" s="321"/>
      <c r="FN152" s="321"/>
      <c r="FO152" s="321"/>
      <c r="FP152" s="321"/>
      <c r="FQ152" s="321"/>
      <c r="FR152" s="321"/>
      <c r="FS152" s="321"/>
      <c r="FT152" s="321"/>
      <c r="FU152" s="321"/>
      <c r="FV152" s="321"/>
      <c r="FW152" s="321"/>
      <c r="FX152" s="321"/>
      <c r="FY152" s="321"/>
      <c r="FZ152" s="321"/>
      <c r="GA152" s="321"/>
      <c r="GB152" s="321"/>
      <c r="GC152" s="321"/>
      <c r="GD152" s="321"/>
      <c r="GE152" s="321"/>
      <c r="GF152" s="321"/>
      <c r="GG152" s="321"/>
      <c r="GH152" s="321"/>
      <c r="GI152" s="321"/>
      <c r="GJ152" s="321"/>
      <c r="GK152" s="321"/>
      <c r="GL152" s="321"/>
      <c r="GM152" s="321"/>
      <c r="GN152" s="321"/>
      <c r="GO152" s="321"/>
      <c r="GP152" s="321"/>
      <c r="GQ152" s="321"/>
      <c r="GR152" s="321"/>
      <c r="GS152" s="321"/>
      <c r="GT152" s="321"/>
      <c r="GU152" s="321"/>
      <c r="GV152" s="321"/>
      <c r="GW152" s="321"/>
      <c r="GX152" s="321"/>
      <c r="GY152" s="321"/>
      <c r="GZ152" s="321"/>
      <c r="HA152" s="321"/>
      <c r="HB152" s="321"/>
      <c r="HC152" s="321"/>
      <c r="HD152" s="321"/>
      <c r="HE152" s="321"/>
      <c r="HF152" s="321"/>
      <c r="HG152" s="321"/>
      <c r="HH152" s="321"/>
      <c r="HI152" s="321"/>
      <c r="HJ152" s="321"/>
      <c r="HK152" s="321"/>
      <c r="HL152" s="321"/>
      <c r="HM152" s="321"/>
      <c r="HN152" s="321"/>
      <c r="HO152" s="321"/>
      <c r="HP152" s="321"/>
      <c r="HQ152" s="321"/>
      <c r="HR152" s="321"/>
      <c r="HS152" s="321"/>
      <c r="HT152" s="321"/>
      <c r="HU152" s="321"/>
      <c r="HV152" s="321"/>
      <c r="HW152" s="321"/>
      <c r="HX152" s="321"/>
      <c r="HY152" s="321"/>
      <c r="HZ152" s="321"/>
      <c r="IA152" s="321"/>
      <c r="IB152" s="321"/>
      <c r="IC152" s="321"/>
      <c r="ID152" s="321"/>
      <c r="IE152" s="321"/>
      <c r="IF152" s="321"/>
      <c r="IG152" s="321"/>
      <c r="IH152" s="321"/>
      <c r="II152" s="321"/>
      <c r="IJ152" s="321"/>
      <c r="IK152" s="321"/>
      <c r="IL152" s="321"/>
      <c r="IM152" s="321"/>
      <c r="IN152" s="321"/>
      <c r="IO152" s="321"/>
      <c r="IP152" s="321"/>
      <c r="IQ152" s="321"/>
      <c r="IR152" s="321"/>
      <c r="IS152" s="321"/>
      <c r="IT152" s="321"/>
      <c r="IU152" s="321"/>
      <c r="IV152" s="321"/>
    </row>
    <row r="153" spans="1:256" s="546" customFormat="1" ht="21.75" customHeight="1">
      <c r="A153" s="561">
        <v>145</v>
      </c>
      <c r="B153" s="1437"/>
      <c r="C153" s="1463">
        <v>4</v>
      </c>
      <c r="D153" s="818" t="s">
        <v>999</v>
      </c>
      <c r="E153" s="1130"/>
      <c r="F153" s="1130"/>
      <c r="G153" s="782"/>
      <c r="H153" s="1116"/>
      <c r="I153" s="1431"/>
      <c r="J153" s="1431"/>
      <c r="K153" s="1431"/>
      <c r="L153" s="1431"/>
      <c r="M153" s="1431"/>
      <c r="N153" s="1431"/>
      <c r="O153" s="1431"/>
      <c r="P153" s="1451"/>
      <c r="Q153" s="1432"/>
      <c r="R153" s="321"/>
      <c r="S153" s="321"/>
      <c r="T153" s="321"/>
      <c r="U153" s="321"/>
      <c r="V153" s="321"/>
      <c r="W153" s="321"/>
      <c r="X153" s="321"/>
      <c r="Y153" s="321"/>
      <c r="Z153" s="321"/>
      <c r="AA153" s="321"/>
      <c r="AB153" s="321"/>
      <c r="AC153" s="321"/>
      <c r="AD153" s="321"/>
      <c r="AE153" s="321"/>
      <c r="AF153" s="321"/>
      <c r="AG153" s="321"/>
      <c r="AH153" s="321"/>
      <c r="AI153" s="321"/>
      <c r="AJ153" s="321"/>
      <c r="AK153" s="321"/>
      <c r="AL153" s="321"/>
      <c r="AM153" s="321"/>
      <c r="AN153" s="321"/>
      <c r="AO153" s="321"/>
      <c r="AP153" s="321"/>
      <c r="AQ153" s="321"/>
      <c r="AR153" s="321"/>
      <c r="AS153" s="321"/>
      <c r="AT153" s="321"/>
      <c r="AU153" s="321"/>
      <c r="AV153" s="321"/>
      <c r="AW153" s="321"/>
      <c r="AX153" s="321"/>
      <c r="AY153" s="321"/>
      <c r="AZ153" s="321"/>
      <c r="BA153" s="321"/>
      <c r="BB153" s="321"/>
      <c r="BC153" s="321"/>
      <c r="BD153" s="321"/>
      <c r="BE153" s="321"/>
      <c r="BF153" s="321"/>
      <c r="BG153" s="321"/>
      <c r="BH153" s="321"/>
      <c r="BI153" s="321"/>
      <c r="BJ153" s="321"/>
      <c r="BK153" s="321"/>
      <c r="BL153" s="321"/>
      <c r="BM153" s="321"/>
      <c r="BN153" s="321"/>
      <c r="BO153" s="321"/>
      <c r="BP153" s="321"/>
      <c r="BQ153" s="321"/>
      <c r="BR153" s="321"/>
      <c r="BS153" s="321"/>
      <c r="BT153" s="321"/>
      <c r="BU153" s="321"/>
      <c r="BV153" s="321"/>
      <c r="BW153" s="321"/>
      <c r="BX153" s="321"/>
      <c r="BY153" s="321"/>
      <c r="BZ153" s="321"/>
      <c r="CA153" s="321"/>
      <c r="CB153" s="321"/>
      <c r="CC153" s="321"/>
      <c r="CD153" s="321"/>
      <c r="CE153" s="321"/>
      <c r="CF153" s="321"/>
      <c r="CG153" s="321"/>
      <c r="CH153" s="321"/>
      <c r="CI153" s="321"/>
      <c r="CJ153" s="321"/>
      <c r="CK153" s="321"/>
      <c r="CL153" s="321"/>
      <c r="CM153" s="321"/>
      <c r="CN153" s="321"/>
      <c r="CO153" s="321"/>
      <c r="CP153" s="321"/>
      <c r="CQ153" s="321"/>
      <c r="CR153" s="321"/>
      <c r="CS153" s="321"/>
      <c r="CT153" s="321"/>
      <c r="CU153" s="321"/>
      <c r="CV153" s="321"/>
      <c r="CW153" s="321"/>
      <c r="CX153" s="321"/>
      <c r="CY153" s="321"/>
      <c r="CZ153" s="321"/>
      <c r="DA153" s="321"/>
      <c r="DB153" s="321"/>
      <c r="DC153" s="321"/>
      <c r="DD153" s="321"/>
      <c r="DE153" s="321"/>
      <c r="DF153" s="321"/>
      <c r="DG153" s="321"/>
      <c r="DH153" s="321"/>
      <c r="DI153" s="321"/>
      <c r="DJ153" s="321"/>
      <c r="DK153" s="321"/>
      <c r="DL153" s="321"/>
      <c r="DM153" s="321"/>
      <c r="DN153" s="321"/>
      <c r="DO153" s="321"/>
      <c r="DP153" s="321"/>
      <c r="DQ153" s="321"/>
      <c r="DR153" s="321"/>
      <c r="DS153" s="321"/>
      <c r="DT153" s="321"/>
      <c r="DU153" s="321"/>
      <c r="DV153" s="321"/>
      <c r="DW153" s="321"/>
      <c r="DX153" s="321"/>
      <c r="DY153" s="321"/>
      <c r="DZ153" s="321"/>
      <c r="EA153" s="321"/>
      <c r="EB153" s="321"/>
      <c r="EC153" s="321"/>
      <c r="ED153" s="321"/>
      <c r="EE153" s="321"/>
      <c r="EF153" s="321"/>
      <c r="EG153" s="321"/>
      <c r="EH153" s="321"/>
      <c r="EI153" s="321"/>
      <c r="EJ153" s="321"/>
      <c r="EK153" s="321"/>
      <c r="EL153" s="321"/>
      <c r="EM153" s="321"/>
      <c r="EN153" s="321"/>
      <c r="EO153" s="321"/>
      <c r="EP153" s="321"/>
      <c r="EQ153" s="321"/>
      <c r="ER153" s="321"/>
      <c r="ES153" s="321"/>
      <c r="ET153" s="321"/>
      <c r="EU153" s="321"/>
      <c r="EV153" s="321"/>
      <c r="EW153" s="321"/>
      <c r="EX153" s="321"/>
      <c r="EY153" s="321"/>
      <c r="EZ153" s="321"/>
      <c r="FA153" s="321"/>
      <c r="FB153" s="321"/>
      <c r="FC153" s="321"/>
      <c r="FD153" s="321"/>
      <c r="FE153" s="321"/>
      <c r="FF153" s="321"/>
      <c r="FG153" s="321"/>
      <c r="FH153" s="321"/>
      <c r="FI153" s="321"/>
      <c r="FJ153" s="321"/>
      <c r="FK153" s="321"/>
      <c r="FL153" s="321"/>
      <c r="FM153" s="321"/>
      <c r="FN153" s="321"/>
      <c r="FO153" s="321"/>
      <c r="FP153" s="321"/>
      <c r="FQ153" s="321"/>
      <c r="FR153" s="321"/>
      <c r="FS153" s="321"/>
      <c r="FT153" s="321"/>
      <c r="FU153" s="321"/>
      <c r="FV153" s="321"/>
      <c r="FW153" s="321"/>
      <c r="FX153" s="321"/>
      <c r="FY153" s="321"/>
      <c r="FZ153" s="321"/>
      <c r="GA153" s="321"/>
      <c r="GB153" s="321"/>
      <c r="GC153" s="321"/>
      <c r="GD153" s="321"/>
      <c r="GE153" s="321"/>
      <c r="GF153" s="321"/>
      <c r="GG153" s="321"/>
      <c r="GH153" s="321"/>
      <c r="GI153" s="321"/>
      <c r="GJ153" s="321"/>
      <c r="GK153" s="321"/>
      <c r="GL153" s="321"/>
      <c r="GM153" s="321"/>
      <c r="GN153" s="321"/>
      <c r="GO153" s="321"/>
      <c r="GP153" s="321"/>
      <c r="GQ153" s="321"/>
      <c r="GR153" s="321"/>
      <c r="GS153" s="321"/>
      <c r="GT153" s="321"/>
      <c r="GU153" s="321"/>
      <c r="GV153" s="321"/>
      <c r="GW153" s="321"/>
      <c r="GX153" s="321"/>
      <c r="GY153" s="321"/>
      <c r="GZ153" s="321"/>
      <c r="HA153" s="321"/>
      <c r="HB153" s="321"/>
      <c r="HC153" s="321"/>
      <c r="HD153" s="321"/>
      <c r="HE153" s="321"/>
      <c r="HF153" s="321"/>
      <c r="HG153" s="321"/>
      <c r="HH153" s="321"/>
      <c r="HI153" s="321"/>
      <c r="HJ153" s="321"/>
      <c r="HK153" s="321"/>
      <c r="HL153" s="321"/>
      <c r="HM153" s="321"/>
      <c r="HN153" s="321"/>
      <c r="HO153" s="321"/>
      <c r="HP153" s="321"/>
      <c r="HQ153" s="321"/>
      <c r="HR153" s="321"/>
      <c r="HS153" s="321"/>
      <c r="HT153" s="321"/>
      <c r="HU153" s="321"/>
      <c r="HV153" s="321"/>
      <c r="HW153" s="321"/>
      <c r="HX153" s="321"/>
      <c r="HY153" s="321"/>
      <c r="HZ153" s="321"/>
      <c r="IA153" s="321"/>
      <c r="IB153" s="321"/>
      <c r="IC153" s="321"/>
      <c r="ID153" s="321"/>
      <c r="IE153" s="321"/>
      <c r="IF153" s="321"/>
      <c r="IG153" s="321"/>
      <c r="IH153" s="321"/>
      <c r="II153" s="321"/>
      <c r="IJ153" s="321"/>
      <c r="IK153" s="321"/>
      <c r="IL153" s="321"/>
      <c r="IM153" s="321"/>
      <c r="IN153" s="321"/>
      <c r="IO153" s="321"/>
      <c r="IP153" s="321"/>
      <c r="IQ153" s="321"/>
      <c r="IR153" s="321"/>
      <c r="IS153" s="321"/>
      <c r="IT153" s="321"/>
      <c r="IU153" s="321"/>
      <c r="IV153" s="321"/>
    </row>
    <row r="154" spans="1:256" s="546" customFormat="1" ht="39" customHeight="1">
      <c r="A154" s="561">
        <v>146</v>
      </c>
      <c r="B154" s="1437"/>
      <c r="C154" s="322"/>
      <c r="D154" s="2255" t="s">
        <v>1011</v>
      </c>
      <c r="E154" s="2256"/>
      <c r="F154" s="2256"/>
      <c r="G154" s="2257"/>
      <c r="H154" s="762"/>
      <c r="I154" s="1302"/>
      <c r="J154" s="1302"/>
      <c r="K154" s="1302"/>
      <c r="L154" s="1302"/>
      <c r="M154" s="1302"/>
      <c r="N154" s="1302"/>
      <c r="O154" s="1302"/>
      <c r="P154" s="560"/>
      <c r="Q154" s="1144"/>
      <c r="R154" s="321"/>
      <c r="S154" s="321"/>
      <c r="T154" s="321"/>
      <c r="U154" s="321"/>
      <c r="V154" s="321"/>
      <c r="W154" s="321"/>
      <c r="X154" s="321"/>
      <c r="Y154" s="321"/>
      <c r="Z154" s="321"/>
      <c r="AA154" s="321"/>
      <c r="AB154" s="321"/>
      <c r="AC154" s="321"/>
      <c r="AD154" s="321"/>
      <c r="AE154" s="321"/>
      <c r="AF154" s="321"/>
      <c r="AG154" s="321"/>
      <c r="AH154" s="321"/>
      <c r="AI154" s="321"/>
      <c r="AJ154" s="321"/>
      <c r="AK154" s="321"/>
      <c r="AL154" s="321"/>
      <c r="AM154" s="321"/>
      <c r="AN154" s="321"/>
      <c r="AO154" s="321"/>
      <c r="AP154" s="321"/>
      <c r="AQ154" s="321"/>
      <c r="AR154" s="321"/>
      <c r="AS154" s="321"/>
      <c r="AT154" s="321"/>
      <c r="AU154" s="321"/>
      <c r="AV154" s="321"/>
      <c r="AW154" s="321"/>
      <c r="AX154" s="321"/>
      <c r="AY154" s="321"/>
      <c r="AZ154" s="321"/>
      <c r="BA154" s="321"/>
      <c r="BB154" s="321"/>
      <c r="BC154" s="321"/>
      <c r="BD154" s="321"/>
      <c r="BE154" s="321"/>
      <c r="BF154" s="321"/>
      <c r="BG154" s="321"/>
      <c r="BH154" s="321"/>
      <c r="BI154" s="321"/>
      <c r="BJ154" s="321"/>
      <c r="BK154" s="321"/>
      <c r="BL154" s="321"/>
      <c r="BM154" s="321"/>
      <c r="BN154" s="321"/>
      <c r="BO154" s="321"/>
      <c r="BP154" s="321"/>
      <c r="BQ154" s="321"/>
      <c r="BR154" s="321"/>
      <c r="BS154" s="321"/>
      <c r="BT154" s="321"/>
      <c r="BU154" s="321"/>
      <c r="BV154" s="321"/>
      <c r="BW154" s="321"/>
      <c r="BX154" s="321"/>
      <c r="BY154" s="321"/>
      <c r="BZ154" s="321"/>
      <c r="CA154" s="321"/>
      <c r="CB154" s="321"/>
      <c r="CC154" s="321"/>
      <c r="CD154" s="321"/>
      <c r="CE154" s="321"/>
      <c r="CF154" s="321"/>
      <c r="CG154" s="321"/>
      <c r="CH154" s="321"/>
      <c r="CI154" s="321"/>
      <c r="CJ154" s="321"/>
      <c r="CK154" s="321"/>
      <c r="CL154" s="321"/>
      <c r="CM154" s="321"/>
      <c r="CN154" s="321"/>
      <c r="CO154" s="321"/>
      <c r="CP154" s="321"/>
      <c r="CQ154" s="321"/>
      <c r="CR154" s="321"/>
      <c r="CS154" s="321"/>
      <c r="CT154" s="321"/>
      <c r="CU154" s="321"/>
      <c r="CV154" s="321"/>
      <c r="CW154" s="321"/>
      <c r="CX154" s="321"/>
      <c r="CY154" s="321"/>
      <c r="CZ154" s="321"/>
      <c r="DA154" s="321"/>
      <c r="DB154" s="321"/>
      <c r="DC154" s="321"/>
      <c r="DD154" s="321"/>
      <c r="DE154" s="321"/>
      <c r="DF154" s="321"/>
      <c r="DG154" s="321"/>
      <c r="DH154" s="321"/>
      <c r="DI154" s="321"/>
      <c r="DJ154" s="321"/>
      <c r="DK154" s="321"/>
      <c r="DL154" s="321"/>
      <c r="DM154" s="321"/>
      <c r="DN154" s="321"/>
      <c r="DO154" s="321"/>
      <c r="DP154" s="321"/>
      <c r="DQ154" s="321"/>
      <c r="DR154" s="321"/>
      <c r="DS154" s="321"/>
      <c r="DT154" s="321"/>
      <c r="DU154" s="321"/>
      <c r="DV154" s="321"/>
      <c r="DW154" s="321"/>
      <c r="DX154" s="321"/>
      <c r="DY154" s="321"/>
      <c r="DZ154" s="321"/>
      <c r="EA154" s="321"/>
      <c r="EB154" s="321"/>
      <c r="EC154" s="321"/>
      <c r="ED154" s="321"/>
      <c r="EE154" s="321"/>
      <c r="EF154" s="321"/>
      <c r="EG154" s="321"/>
      <c r="EH154" s="321"/>
      <c r="EI154" s="321"/>
      <c r="EJ154" s="321"/>
      <c r="EK154" s="321"/>
      <c r="EL154" s="321"/>
      <c r="EM154" s="321"/>
      <c r="EN154" s="321"/>
      <c r="EO154" s="321"/>
      <c r="EP154" s="321"/>
      <c r="EQ154" s="321"/>
      <c r="ER154" s="321"/>
      <c r="ES154" s="321"/>
      <c r="ET154" s="321"/>
      <c r="EU154" s="321"/>
      <c r="EV154" s="321"/>
      <c r="EW154" s="321"/>
      <c r="EX154" s="321"/>
      <c r="EY154" s="321"/>
      <c r="EZ154" s="321"/>
      <c r="FA154" s="321"/>
      <c r="FB154" s="321"/>
      <c r="FC154" s="321"/>
      <c r="FD154" s="321"/>
      <c r="FE154" s="321"/>
      <c r="FF154" s="321"/>
      <c r="FG154" s="321"/>
      <c r="FH154" s="321"/>
      <c r="FI154" s="321"/>
      <c r="FJ154" s="321"/>
      <c r="FK154" s="321"/>
      <c r="FL154" s="321"/>
      <c r="FM154" s="321"/>
      <c r="FN154" s="321"/>
      <c r="FO154" s="321"/>
      <c r="FP154" s="321"/>
      <c r="FQ154" s="321"/>
      <c r="FR154" s="321"/>
      <c r="FS154" s="321"/>
      <c r="FT154" s="321"/>
      <c r="FU154" s="321"/>
      <c r="FV154" s="321"/>
      <c r="FW154" s="321"/>
      <c r="FX154" s="321"/>
      <c r="FY154" s="321"/>
      <c r="FZ154" s="321"/>
      <c r="GA154" s="321"/>
      <c r="GB154" s="321"/>
      <c r="GC154" s="321"/>
      <c r="GD154" s="321"/>
      <c r="GE154" s="321"/>
      <c r="GF154" s="321"/>
      <c r="GG154" s="321"/>
      <c r="GH154" s="321"/>
      <c r="GI154" s="321"/>
      <c r="GJ154" s="321"/>
      <c r="GK154" s="321"/>
      <c r="GL154" s="321"/>
      <c r="GM154" s="321"/>
      <c r="GN154" s="321"/>
      <c r="GO154" s="321"/>
      <c r="GP154" s="321"/>
      <c r="GQ154" s="321"/>
      <c r="GR154" s="321"/>
      <c r="GS154" s="321"/>
      <c r="GT154" s="321"/>
      <c r="GU154" s="321"/>
      <c r="GV154" s="321"/>
      <c r="GW154" s="321"/>
      <c r="GX154" s="321"/>
      <c r="GY154" s="321"/>
      <c r="GZ154" s="321"/>
      <c r="HA154" s="321"/>
      <c r="HB154" s="321"/>
      <c r="HC154" s="321"/>
      <c r="HD154" s="321"/>
      <c r="HE154" s="321"/>
      <c r="HF154" s="321"/>
      <c r="HG154" s="321"/>
      <c r="HH154" s="321"/>
      <c r="HI154" s="321"/>
      <c r="HJ154" s="321"/>
      <c r="HK154" s="321"/>
      <c r="HL154" s="321"/>
      <c r="HM154" s="321"/>
      <c r="HN154" s="321"/>
      <c r="HO154" s="321"/>
      <c r="HP154" s="321"/>
      <c r="HQ154" s="321"/>
      <c r="HR154" s="321"/>
      <c r="HS154" s="321"/>
      <c r="HT154" s="321"/>
      <c r="HU154" s="321"/>
      <c r="HV154" s="321"/>
      <c r="HW154" s="321"/>
      <c r="HX154" s="321"/>
      <c r="HY154" s="321"/>
      <c r="HZ154" s="321"/>
      <c r="IA154" s="321"/>
      <c r="IB154" s="321"/>
      <c r="IC154" s="321"/>
      <c r="ID154" s="321"/>
      <c r="IE154" s="321"/>
      <c r="IF154" s="321"/>
      <c r="IG154" s="321"/>
      <c r="IH154" s="321"/>
      <c r="II154" s="321"/>
      <c r="IJ154" s="321"/>
      <c r="IK154" s="321"/>
      <c r="IL154" s="321"/>
      <c r="IM154" s="321"/>
      <c r="IN154" s="321"/>
      <c r="IO154" s="321"/>
      <c r="IP154" s="321"/>
      <c r="IQ154" s="321"/>
      <c r="IR154" s="321"/>
      <c r="IS154" s="321"/>
      <c r="IT154" s="321"/>
      <c r="IU154" s="321"/>
      <c r="IV154" s="321"/>
    </row>
    <row r="155" spans="1:256" s="546" customFormat="1" ht="19.5" customHeight="1">
      <c r="A155" s="561">
        <v>147</v>
      </c>
      <c r="B155" s="1437"/>
      <c r="C155" s="322"/>
      <c r="D155" s="436" t="s">
        <v>994</v>
      </c>
      <c r="E155" s="328">
        <f>P155+Q155</f>
        <v>3302000</v>
      </c>
      <c r="F155" s="1530"/>
      <c r="G155" s="1530"/>
      <c r="H155" s="762"/>
      <c r="I155" s="1302"/>
      <c r="J155" s="1302"/>
      <c r="K155" s="1302"/>
      <c r="L155" s="1302"/>
      <c r="M155" s="1302">
        <v>3302000</v>
      </c>
      <c r="N155" s="1302"/>
      <c r="O155" s="1302"/>
      <c r="P155" s="560">
        <f>SUM(I155:O155)</f>
        <v>3302000</v>
      </c>
      <c r="Q155" s="1144"/>
      <c r="R155" s="321"/>
      <c r="S155" s="321"/>
      <c r="T155" s="321"/>
      <c r="U155" s="321"/>
      <c r="V155" s="321"/>
      <c r="W155" s="321"/>
      <c r="X155" s="321"/>
      <c r="Y155" s="321"/>
      <c r="Z155" s="321"/>
      <c r="AA155" s="321"/>
      <c r="AB155" s="321"/>
      <c r="AC155" s="321"/>
      <c r="AD155" s="321"/>
      <c r="AE155" s="321"/>
      <c r="AF155" s="321"/>
      <c r="AG155" s="321"/>
      <c r="AH155" s="321"/>
      <c r="AI155" s="321"/>
      <c r="AJ155" s="321"/>
      <c r="AK155" s="321"/>
      <c r="AL155" s="321"/>
      <c r="AM155" s="321"/>
      <c r="AN155" s="321"/>
      <c r="AO155" s="321"/>
      <c r="AP155" s="321"/>
      <c r="AQ155" s="321"/>
      <c r="AR155" s="321"/>
      <c r="AS155" s="321"/>
      <c r="AT155" s="321"/>
      <c r="AU155" s="321"/>
      <c r="AV155" s="321"/>
      <c r="AW155" s="321"/>
      <c r="AX155" s="321"/>
      <c r="AY155" s="321"/>
      <c r="AZ155" s="321"/>
      <c r="BA155" s="321"/>
      <c r="BB155" s="321"/>
      <c r="BC155" s="321"/>
      <c r="BD155" s="321"/>
      <c r="BE155" s="321"/>
      <c r="BF155" s="321"/>
      <c r="BG155" s="321"/>
      <c r="BH155" s="321"/>
      <c r="BI155" s="321"/>
      <c r="BJ155" s="321"/>
      <c r="BK155" s="321"/>
      <c r="BL155" s="321"/>
      <c r="BM155" s="321"/>
      <c r="BN155" s="321"/>
      <c r="BO155" s="321"/>
      <c r="BP155" s="321"/>
      <c r="BQ155" s="321"/>
      <c r="BR155" s="321"/>
      <c r="BS155" s="321"/>
      <c r="BT155" s="321"/>
      <c r="BU155" s="321"/>
      <c r="BV155" s="321"/>
      <c r="BW155" s="321"/>
      <c r="BX155" s="321"/>
      <c r="BY155" s="321"/>
      <c r="BZ155" s="321"/>
      <c r="CA155" s="321"/>
      <c r="CB155" s="321"/>
      <c r="CC155" s="321"/>
      <c r="CD155" s="321"/>
      <c r="CE155" s="321"/>
      <c r="CF155" s="321"/>
      <c r="CG155" s="321"/>
      <c r="CH155" s="321"/>
      <c r="CI155" s="321"/>
      <c r="CJ155" s="321"/>
      <c r="CK155" s="321"/>
      <c r="CL155" s="321"/>
      <c r="CM155" s="321"/>
      <c r="CN155" s="321"/>
      <c r="CO155" s="321"/>
      <c r="CP155" s="321"/>
      <c r="CQ155" s="321"/>
      <c r="CR155" s="321"/>
      <c r="CS155" s="321"/>
      <c r="CT155" s="321"/>
      <c r="CU155" s="321"/>
      <c r="CV155" s="321"/>
      <c r="CW155" s="321"/>
      <c r="CX155" s="321"/>
      <c r="CY155" s="321"/>
      <c r="CZ155" s="321"/>
      <c r="DA155" s="321"/>
      <c r="DB155" s="321"/>
      <c r="DC155" s="321"/>
      <c r="DD155" s="321"/>
      <c r="DE155" s="321"/>
      <c r="DF155" s="321"/>
      <c r="DG155" s="321"/>
      <c r="DH155" s="321"/>
      <c r="DI155" s="321"/>
      <c r="DJ155" s="321"/>
      <c r="DK155" s="321"/>
      <c r="DL155" s="321"/>
      <c r="DM155" s="321"/>
      <c r="DN155" s="321"/>
      <c r="DO155" s="321"/>
      <c r="DP155" s="321"/>
      <c r="DQ155" s="321"/>
      <c r="DR155" s="321"/>
      <c r="DS155" s="321"/>
      <c r="DT155" s="321"/>
      <c r="DU155" s="321"/>
      <c r="DV155" s="321"/>
      <c r="DW155" s="321"/>
      <c r="DX155" s="321"/>
      <c r="DY155" s="321"/>
      <c r="DZ155" s="321"/>
      <c r="EA155" s="321"/>
      <c r="EB155" s="321"/>
      <c r="EC155" s="321"/>
      <c r="ED155" s="321"/>
      <c r="EE155" s="321"/>
      <c r="EF155" s="321"/>
      <c r="EG155" s="321"/>
      <c r="EH155" s="321"/>
      <c r="EI155" s="321"/>
      <c r="EJ155" s="321"/>
      <c r="EK155" s="321"/>
      <c r="EL155" s="321"/>
      <c r="EM155" s="321"/>
      <c r="EN155" s="321"/>
      <c r="EO155" s="321"/>
      <c r="EP155" s="321"/>
      <c r="EQ155" s="321"/>
      <c r="ER155" s="321"/>
      <c r="ES155" s="321"/>
      <c r="ET155" s="321"/>
      <c r="EU155" s="321"/>
      <c r="EV155" s="321"/>
      <c r="EW155" s="321"/>
      <c r="EX155" s="321"/>
      <c r="EY155" s="321"/>
      <c r="EZ155" s="321"/>
      <c r="FA155" s="321"/>
      <c r="FB155" s="321"/>
      <c r="FC155" s="321"/>
      <c r="FD155" s="321"/>
      <c r="FE155" s="321"/>
      <c r="FF155" s="321"/>
      <c r="FG155" s="321"/>
      <c r="FH155" s="321"/>
      <c r="FI155" s="321"/>
      <c r="FJ155" s="321"/>
      <c r="FK155" s="321"/>
      <c r="FL155" s="321"/>
      <c r="FM155" s="321"/>
      <c r="FN155" s="321"/>
      <c r="FO155" s="321"/>
      <c r="FP155" s="321"/>
      <c r="FQ155" s="321"/>
      <c r="FR155" s="321"/>
      <c r="FS155" s="321"/>
      <c r="FT155" s="321"/>
      <c r="FU155" s="321"/>
      <c r="FV155" s="321"/>
      <c r="FW155" s="321"/>
      <c r="FX155" s="321"/>
      <c r="FY155" s="321"/>
      <c r="FZ155" s="321"/>
      <c r="GA155" s="321"/>
      <c r="GB155" s="321"/>
      <c r="GC155" s="321"/>
      <c r="GD155" s="321"/>
      <c r="GE155" s="321"/>
      <c r="GF155" s="321"/>
      <c r="GG155" s="321"/>
      <c r="GH155" s="321"/>
      <c r="GI155" s="321"/>
      <c r="GJ155" s="321"/>
      <c r="GK155" s="321"/>
      <c r="GL155" s="321"/>
      <c r="GM155" s="321"/>
      <c r="GN155" s="321"/>
      <c r="GO155" s="321"/>
      <c r="GP155" s="321"/>
      <c r="GQ155" s="321"/>
      <c r="GR155" s="321"/>
      <c r="GS155" s="321"/>
      <c r="GT155" s="321"/>
      <c r="GU155" s="321"/>
      <c r="GV155" s="321"/>
      <c r="GW155" s="321"/>
      <c r="GX155" s="321"/>
      <c r="GY155" s="321"/>
      <c r="GZ155" s="321"/>
      <c r="HA155" s="321"/>
      <c r="HB155" s="321"/>
      <c r="HC155" s="321"/>
      <c r="HD155" s="321"/>
      <c r="HE155" s="321"/>
      <c r="HF155" s="321"/>
      <c r="HG155" s="321"/>
      <c r="HH155" s="321"/>
      <c r="HI155" s="321"/>
      <c r="HJ155" s="321"/>
      <c r="HK155" s="321"/>
      <c r="HL155" s="321"/>
      <c r="HM155" s="321"/>
      <c r="HN155" s="321"/>
      <c r="HO155" s="321"/>
      <c r="HP155" s="321"/>
      <c r="HQ155" s="321"/>
      <c r="HR155" s="321"/>
      <c r="HS155" s="321"/>
      <c r="HT155" s="321"/>
      <c r="HU155" s="321"/>
      <c r="HV155" s="321"/>
      <c r="HW155" s="321"/>
      <c r="HX155" s="321"/>
      <c r="HY155" s="321"/>
      <c r="HZ155" s="321"/>
      <c r="IA155" s="321"/>
      <c r="IB155" s="321"/>
      <c r="IC155" s="321"/>
      <c r="ID155" s="321"/>
      <c r="IE155" s="321"/>
      <c r="IF155" s="321"/>
      <c r="IG155" s="321"/>
      <c r="IH155" s="321"/>
      <c r="II155" s="321"/>
      <c r="IJ155" s="321"/>
      <c r="IK155" s="321"/>
      <c r="IL155" s="321"/>
      <c r="IM155" s="321"/>
      <c r="IN155" s="321"/>
      <c r="IO155" s="321"/>
      <c r="IP155" s="321"/>
      <c r="IQ155" s="321"/>
      <c r="IR155" s="321"/>
      <c r="IS155" s="321"/>
      <c r="IT155" s="321"/>
      <c r="IU155" s="321"/>
      <c r="IV155" s="321"/>
    </row>
    <row r="156" spans="1:256" s="546" customFormat="1" ht="21.75" customHeight="1" thickBot="1">
      <c r="A156" s="561">
        <v>148</v>
      </c>
      <c r="B156" s="1437"/>
      <c r="C156" s="1118"/>
      <c r="D156" s="1557" t="s">
        <v>1035</v>
      </c>
      <c r="E156" s="1119"/>
      <c r="F156" s="1119"/>
      <c r="G156" s="1121"/>
      <c r="H156" s="1122"/>
      <c r="I156" s="1142"/>
      <c r="J156" s="1142"/>
      <c r="K156" s="1142"/>
      <c r="L156" s="1142"/>
      <c r="M156" s="1554">
        <v>0</v>
      </c>
      <c r="N156" s="1142"/>
      <c r="O156" s="1142"/>
      <c r="P156" s="1989">
        <f>SUM(I156:O156)</f>
        <v>0</v>
      </c>
      <c r="Q156" s="1145"/>
      <c r="R156" s="321"/>
      <c r="S156" s="321"/>
      <c r="T156" s="321"/>
      <c r="U156" s="321"/>
      <c r="V156" s="321"/>
      <c r="W156" s="321"/>
      <c r="X156" s="321"/>
      <c r="Y156" s="321"/>
      <c r="Z156" s="321"/>
      <c r="AA156" s="321"/>
      <c r="AB156" s="321"/>
      <c r="AC156" s="321"/>
      <c r="AD156" s="321"/>
      <c r="AE156" s="321"/>
      <c r="AF156" s="321"/>
      <c r="AG156" s="321"/>
      <c r="AH156" s="321"/>
      <c r="AI156" s="321"/>
      <c r="AJ156" s="321"/>
      <c r="AK156" s="321"/>
      <c r="AL156" s="321"/>
      <c r="AM156" s="321"/>
      <c r="AN156" s="321"/>
      <c r="AO156" s="321"/>
      <c r="AP156" s="321"/>
      <c r="AQ156" s="321"/>
      <c r="AR156" s="321"/>
      <c r="AS156" s="321"/>
      <c r="AT156" s="321"/>
      <c r="AU156" s="321"/>
      <c r="AV156" s="321"/>
      <c r="AW156" s="321"/>
      <c r="AX156" s="321"/>
      <c r="AY156" s="321"/>
      <c r="AZ156" s="321"/>
      <c r="BA156" s="321"/>
      <c r="BB156" s="321"/>
      <c r="BC156" s="321"/>
      <c r="BD156" s="321"/>
      <c r="BE156" s="321"/>
      <c r="BF156" s="321"/>
      <c r="BG156" s="321"/>
      <c r="BH156" s="321"/>
      <c r="BI156" s="321"/>
      <c r="BJ156" s="321"/>
      <c r="BK156" s="321"/>
      <c r="BL156" s="321"/>
      <c r="BM156" s="321"/>
      <c r="BN156" s="321"/>
      <c r="BO156" s="321"/>
      <c r="BP156" s="321"/>
      <c r="BQ156" s="321"/>
      <c r="BR156" s="321"/>
      <c r="BS156" s="321"/>
      <c r="BT156" s="321"/>
      <c r="BU156" s="321"/>
      <c r="BV156" s="321"/>
      <c r="BW156" s="321"/>
      <c r="BX156" s="321"/>
      <c r="BY156" s="321"/>
      <c r="BZ156" s="321"/>
      <c r="CA156" s="321"/>
      <c r="CB156" s="321"/>
      <c r="CC156" s="321"/>
      <c r="CD156" s="321"/>
      <c r="CE156" s="321"/>
      <c r="CF156" s="321"/>
      <c r="CG156" s="321"/>
      <c r="CH156" s="321"/>
      <c r="CI156" s="321"/>
      <c r="CJ156" s="321"/>
      <c r="CK156" s="321"/>
      <c r="CL156" s="321"/>
      <c r="CM156" s="321"/>
      <c r="CN156" s="321"/>
      <c r="CO156" s="321"/>
      <c r="CP156" s="321"/>
      <c r="CQ156" s="321"/>
      <c r="CR156" s="321"/>
      <c r="CS156" s="321"/>
      <c r="CT156" s="321"/>
      <c r="CU156" s="321"/>
      <c r="CV156" s="321"/>
      <c r="CW156" s="321"/>
      <c r="CX156" s="321"/>
      <c r="CY156" s="321"/>
      <c r="CZ156" s="321"/>
      <c r="DA156" s="321"/>
      <c r="DB156" s="321"/>
      <c r="DC156" s="321"/>
      <c r="DD156" s="321"/>
      <c r="DE156" s="321"/>
      <c r="DF156" s="321"/>
      <c r="DG156" s="321"/>
      <c r="DH156" s="321"/>
      <c r="DI156" s="321"/>
      <c r="DJ156" s="321"/>
      <c r="DK156" s="321"/>
      <c r="DL156" s="321"/>
      <c r="DM156" s="321"/>
      <c r="DN156" s="321"/>
      <c r="DO156" s="321"/>
      <c r="DP156" s="321"/>
      <c r="DQ156" s="321"/>
      <c r="DR156" s="321"/>
      <c r="DS156" s="321"/>
      <c r="DT156" s="321"/>
      <c r="DU156" s="321"/>
      <c r="DV156" s="321"/>
      <c r="DW156" s="321"/>
      <c r="DX156" s="321"/>
      <c r="DY156" s="321"/>
      <c r="DZ156" s="321"/>
      <c r="EA156" s="321"/>
      <c r="EB156" s="321"/>
      <c r="EC156" s="321"/>
      <c r="ED156" s="321"/>
      <c r="EE156" s="321"/>
      <c r="EF156" s="321"/>
      <c r="EG156" s="321"/>
      <c r="EH156" s="321"/>
      <c r="EI156" s="321"/>
      <c r="EJ156" s="321"/>
      <c r="EK156" s="321"/>
      <c r="EL156" s="321"/>
      <c r="EM156" s="321"/>
      <c r="EN156" s="321"/>
      <c r="EO156" s="321"/>
      <c r="EP156" s="321"/>
      <c r="EQ156" s="321"/>
      <c r="ER156" s="321"/>
      <c r="ES156" s="321"/>
      <c r="ET156" s="321"/>
      <c r="EU156" s="321"/>
      <c r="EV156" s="321"/>
      <c r="EW156" s="321"/>
      <c r="EX156" s="321"/>
      <c r="EY156" s="321"/>
      <c r="EZ156" s="321"/>
      <c r="FA156" s="321"/>
      <c r="FB156" s="321"/>
      <c r="FC156" s="321"/>
      <c r="FD156" s="321"/>
      <c r="FE156" s="321"/>
      <c r="FF156" s="321"/>
      <c r="FG156" s="321"/>
      <c r="FH156" s="321"/>
      <c r="FI156" s="321"/>
      <c r="FJ156" s="321"/>
      <c r="FK156" s="321"/>
      <c r="FL156" s="321"/>
      <c r="FM156" s="321"/>
      <c r="FN156" s="321"/>
      <c r="FO156" s="321"/>
      <c r="FP156" s="321"/>
      <c r="FQ156" s="321"/>
      <c r="FR156" s="321"/>
      <c r="FS156" s="321"/>
      <c r="FT156" s="321"/>
      <c r="FU156" s="321"/>
      <c r="FV156" s="321"/>
      <c r="FW156" s="321"/>
      <c r="FX156" s="321"/>
      <c r="FY156" s="321"/>
      <c r="FZ156" s="321"/>
      <c r="GA156" s="321"/>
      <c r="GB156" s="321"/>
      <c r="GC156" s="321"/>
      <c r="GD156" s="321"/>
      <c r="GE156" s="321"/>
      <c r="GF156" s="321"/>
      <c r="GG156" s="321"/>
      <c r="GH156" s="321"/>
      <c r="GI156" s="321"/>
      <c r="GJ156" s="321"/>
      <c r="GK156" s="321"/>
      <c r="GL156" s="321"/>
      <c r="GM156" s="321"/>
      <c r="GN156" s="321"/>
      <c r="GO156" s="321"/>
      <c r="GP156" s="321"/>
      <c r="GQ156" s="321"/>
      <c r="GR156" s="321"/>
      <c r="GS156" s="321"/>
      <c r="GT156" s="321"/>
      <c r="GU156" s="321"/>
      <c r="GV156" s="321"/>
      <c r="GW156" s="321"/>
      <c r="GX156" s="321"/>
      <c r="GY156" s="321"/>
      <c r="GZ156" s="321"/>
      <c r="HA156" s="321"/>
      <c r="HB156" s="321"/>
      <c r="HC156" s="321"/>
      <c r="HD156" s="321"/>
      <c r="HE156" s="321"/>
      <c r="HF156" s="321"/>
      <c r="HG156" s="321"/>
      <c r="HH156" s="321"/>
      <c r="HI156" s="321"/>
      <c r="HJ156" s="321"/>
      <c r="HK156" s="321"/>
      <c r="HL156" s="321"/>
      <c r="HM156" s="321"/>
      <c r="HN156" s="321"/>
      <c r="HO156" s="321"/>
      <c r="HP156" s="321"/>
      <c r="HQ156" s="321"/>
      <c r="HR156" s="321"/>
      <c r="HS156" s="321"/>
      <c r="HT156" s="321"/>
      <c r="HU156" s="321"/>
      <c r="HV156" s="321"/>
      <c r="HW156" s="321"/>
      <c r="HX156" s="321"/>
      <c r="HY156" s="321"/>
      <c r="HZ156" s="321"/>
      <c r="IA156" s="321"/>
      <c r="IB156" s="321"/>
      <c r="IC156" s="321"/>
      <c r="ID156" s="321"/>
      <c r="IE156" s="321"/>
      <c r="IF156" s="321"/>
      <c r="IG156" s="321"/>
      <c r="IH156" s="321"/>
      <c r="II156" s="321"/>
      <c r="IJ156" s="321"/>
      <c r="IK156" s="321"/>
      <c r="IL156" s="321"/>
      <c r="IM156" s="321"/>
      <c r="IN156" s="321"/>
      <c r="IO156" s="321"/>
      <c r="IP156" s="321"/>
      <c r="IQ156" s="321"/>
      <c r="IR156" s="321"/>
      <c r="IS156" s="321"/>
      <c r="IT156" s="321"/>
      <c r="IU156" s="321"/>
      <c r="IV156" s="321"/>
    </row>
    <row r="157" spans="1:256" s="546" customFormat="1" ht="33.75" customHeight="1">
      <c r="A157" s="561">
        <v>149</v>
      </c>
      <c r="B157" s="554"/>
      <c r="C157" s="1129">
        <v>5</v>
      </c>
      <c r="D157" s="1452" t="s">
        <v>998</v>
      </c>
      <c r="E157" s="328">
        <f>F157+G157+P158+Q158</f>
        <v>2635</v>
      </c>
      <c r="F157" s="1130"/>
      <c r="G157" s="782"/>
      <c r="H157" s="1116" t="s">
        <v>24</v>
      </c>
      <c r="I157" s="1431"/>
      <c r="J157" s="1431"/>
      <c r="K157" s="1431"/>
      <c r="L157" s="1431"/>
      <c r="M157" s="1431"/>
      <c r="N157" s="1431"/>
      <c r="O157" s="1431"/>
      <c r="P157" s="1451"/>
      <c r="Q157" s="1432"/>
      <c r="R157" s="321"/>
      <c r="S157" s="321"/>
      <c r="T157" s="321"/>
      <c r="U157" s="321"/>
      <c r="V157" s="321"/>
      <c r="W157" s="321"/>
      <c r="X157" s="321"/>
      <c r="Y157" s="321"/>
      <c r="Z157" s="321"/>
      <c r="AA157" s="321"/>
      <c r="AB157" s="321"/>
      <c r="AC157" s="321"/>
      <c r="AD157" s="321"/>
      <c r="AE157" s="321"/>
      <c r="AF157" s="321"/>
      <c r="AG157" s="321"/>
      <c r="AH157" s="321"/>
      <c r="AI157" s="321"/>
      <c r="AJ157" s="321"/>
      <c r="AK157" s="321"/>
      <c r="AL157" s="321"/>
      <c r="AM157" s="321"/>
      <c r="AN157" s="321"/>
      <c r="AO157" s="321"/>
      <c r="AP157" s="321"/>
      <c r="AQ157" s="321"/>
      <c r="AR157" s="321"/>
      <c r="AS157" s="321"/>
      <c r="AT157" s="321"/>
      <c r="AU157" s="321"/>
      <c r="AV157" s="321"/>
      <c r="AW157" s="321"/>
      <c r="AX157" s="321"/>
      <c r="AY157" s="321"/>
      <c r="AZ157" s="321"/>
      <c r="BA157" s="321"/>
      <c r="BB157" s="321"/>
      <c r="BC157" s="321"/>
      <c r="BD157" s="321"/>
      <c r="BE157" s="321"/>
      <c r="BF157" s="321"/>
      <c r="BG157" s="321"/>
      <c r="BH157" s="321"/>
      <c r="BI157" s="321"/>
      <c r="BJ157" s="321"/>
      <c r="BK157" s="321"/>
      <c r="BL157" s="321"/>
      <c r="BM157" s="321"/>
      <c r="BN157" s="321"/>
      <c r="BO157" s="321"/>
      <c r="BP157" s="321"/>
      <c r="BQ157" s="321"/>
      <c r="BR157" s="321"/>
      <c r="BS157" s="321"/>
      <c r="BT157" s="321"/>
      <c r="BU157" s="321"/>
      <c r="BV157" s="321"/>
      <c r="BW157" s="321"/>
      <c r="BX157" s="321"/>
      <c r="BY157" s="321"/>
      <c r="BZ157" s="321"/>
      <c r="CA157" s="321"/>
      <c r="CB157" s="321"/>
      <c r="CC157" s="321"/>
      <c r="CD157" s="321"/>
      <c r="CE157" s="321"/>
      <c r="CF157" s="321"/>
      <c r="CG157" s="321"/>
      <c r="CH157" s="321"/>
      <c r="CI157" s="321"/>
      <c r="CJ157" s="321"/>
      <c r="CK157" s="321"/>
      <c r="CL157" s="321"/>
      <c r="CM157" s="321"/>
      <c r="CN157" s="321"/>
      <c r="CO157" s="321"/>
      <c r="CP157" s="321"/>
      <c r="CQ157" s="321"/>
      <c r="CR157" s="321"/>
      <c r="CS157" s="321"/>
      <c r="CT157" s="321"/>
      <c r="CU157" s="321"/>
      <c r="CV157" s="321"/>
      <c r="CW157" s="321"/>
      <c r="CX157" s="321"/>
      <c r="CY157" s="321"/>
      <c r="CZ157" s="321"/>
      <c r="DA157" s="321"/>
      <c r="DB157" s="321"/>
      <c r="DC157" s="321"/>
      <c r="DD157" s="321"/>
      <c r="DE157" s="321"/>
      <c r="DF157" s="321"/>
      <c r="DG157" s="321"/>
      <c r="DH157" s="321"/>
      <c r="DI157" s="321"/>
      <c r="DJ157" s="321"/>
      <c r="DK157" s="321"/>
      <c r="DL157" s="321"/>
      <c r="DM157" s="321"/>
      <c r="DN157" s="321"/>
      <c r="DO157" s="321"/>
      <c r="DP157" s="321"/>
      <c r="DQ157" s="321"/>
      <c r="DR157" s="321"/>
      <c r="DS157" s="321"/>
      <c r="DT157" s="321"/>
      <c r="DU157" s="321"/>
      <c r="DV157" s="321"/>
      <c r="DW157" s="321"/>
      <c r="DX157" s="321"/>
      <c r="DY157" s="321"/>
      <c r="DZ157" s="321"/>
      <c r="EA157" s="321"/>
      <c r="EB157" s="321"/>
      <c r="EC157" s="321"/>
      <c r="ED157" s="321"/>
      <c r="EE157" s="321"/>
      <c r="EF157" s="321"/>
      <c r="EG157" s="321"/>
      <c r="EH157" s="321"/>
      <c r="EI157" s="321"/>
      <c r="EJ157" s="321"/>
      <c r="EK157" s="321"/>
      <c r="EL157" s="321"/>
      <c r="EM157" s="321"/>
      <c r="EN157" s="321"/>
      <c r="EO157" s="321"/>
      <c r="EP157" s="321"/>
      <c r="EQ157" s="321"/>
      <c r="ER157" s="321"/>
      <c r="ES157" s="321"/>
      <c r="ET157" s="321"/>
      <c r="EU157" s="321"/>
      <c r="EV157" s="321"/>
      <c r="EW157" s="321"/>
      <c r="EX157" s="321"/>
      <c r="EY157" s="321"/>
      <c r="EZ157" s="321"/>
      <c r="FA157" s="321"/>
      <c r="FB157" s="321"/>
      <c r="FC157" s="321"/>
      <c r="FD157" s="321"/>
      <c r="FE157" s="321"/>
      <c r="FF157" s="321"/>
      <c r="FG157" s="321"/>
      <c r="FH157" s="321"/>
      <c r="FI157" s="321"/>
      <c r="FJ157" s="321"/>
      <c r="FK157" s="321"/>
      <c r="FL157" s="321"/>
      <c r="FM157" s="321"/>
      <c r="FN157" s="321"/>
      <c r="FO157" s="321"/>
      <c r="FP157" s="321"/>
      <c r="FQ157" s="321"/>
      <c r="FR157" s="321"/>
      <c r="FS157" s="321"/>
      <c r="FT157" s="321"/>
      <c r="FU157" s="321"/>
      <c r="FV157" s="321"/>
      <c r="FW157" s="321"/>
      <c r="FX157" s="321"/>
      <c r="FY157" s="321"/>
      <c r="FZ157" s="321"/>
      <c r="GA157" s="321"/>
      <c r="GB157" s="321"/>
      <c r="GC157" s="321"/>
      <c r="GD157" s="321"/>
      <c r="GE157" s="321"/>
      <c r="GF157" s="321"/>
      <c r="GG157" s="321"/>
      <c r="GH157" s="321"/>
      <c r="GI157" s="321"/>
      <c r="GJ157" s="321"/>
      <c r="GK157" s="321"/>
      <c r="GL157" s="321"/>
      <c r="GM157" s="321"/>
      <c r="GN157" s="321"/>
      <c r="GO157" s="321"/>
      <c r="GP157" s="321"/>
      <c r="GQ157" s="321"/>
      <c r="GR157" s="321"/>
      <c r="GS157" s="321"/>
      <c r="GT157" s="321"/>
      <c r="GU157" s="321"/>
      <c r="GV157" s="321"/>
      <c r="GW157" s="321"/>
      <c r="GX157" s="321"/>
      <c r="GY157" s="321"/>
      <c r="GZ157" s="321"/>
      <c r="HA157" s="321"/>
      <c r="HB157" s="321"/>
      <c r="HC157" s="321"/>
      <c r="HD157" s="321"/>
      <c r="HE157" s="321"/>
      <c r="HF157" s="321"/>
      <c r="HG157" s="321"/>
      <c r="HH157" s="321"/>
      <c r="HI157" s="321"/>
      <c r="HJ157" s="321"/>
      <c r="HK157" s="321"/>
      <c r="HL157" s="321"/>
      <c r="HM157" s="321"/>
      <c r="HN157" s="321"/>
      <c r="HO157" s="321"/>
      <c r="HP157" s="321"/>
      <c r="HQ157" s="321"/>
      <c r="HR157" s="321"/>
      <c r="HS157" s="321"/>
      <c r="HT157" s="321"/>
      <c r="HU157" s="321"/>
      <c r="HV157" s="321"/>
      <c r="HW157" s="321"/>
      <c r="HX157" s="321"/>
      <c r="HY157" s="321"/>
      <c r="HZ157" s="321"/>
      <c r="IA157" s="321"/>
      <c r="IB157" s="321"/>
      <c r="IC157" s="321"/>
      <c r="ID157" s="321"/>
      <c r="IE157" s="321"/>
      <c r="IF157" s="321"/>
      <c r="IG157" s="321"/>
      <c r="IH157" s="321"/>
      <c r="II157" s="321"/>
      <c r="IJ157" s="321"/>
      <c r="IK157" s="321"/>
      <c r="IL157" s="321"/>
      <c r="IM157" s="321"/>
      <c r="IN157" s="321"/>
      <c r="IO157" s="321"/>
      <c r="IP157" s="321"/>
      <c r="IQ157" s="321"/>
      <c r="IR157" s="321"/>
      <c r="IS157" s="321"/>
      <c r="IT157" s="321"/>
      <c r="IU157" s="321"/>
      <c r="IV157" s="321"/>
    </row>
    <row r="158" spans="1:256" s="546" customFormat="1" ht="19.5" customHeight="1">
      <c r="A158" s="561">
        <v>150</v>
      </c>
      <c r="B158" s="1433"/>
      <c r="C158" s="361"/>
      <c r="D158" s="436" t="s">
        <v>994</v>
      </c>
      <c r="E158" s="328"/>
      <c r="F158" s="330"/>
      <c r="G158" s="1434"/>
      <c r="H158" s="762"/>
      <c r="I158" s="1435"/>
      <c r="J158" s="1435"/>
      <c r="K158" s="1435"/>
      <c r="L158" s="1435"/>
      <c r="M158" s="1435">
        <v>2635</v>
      </c>
      <c r="N158" s="1435"/>
      <c r="O158" s="1435"/>
      <c r="P158" s="555">
        <f>SUM(I158:O158)</f>
        <v>2635</v>
      </c>
      <c r="Q158" s="551"/>
      <c r="R158" s="321"/>
      <c r="S158" s="321"/>
      <c r="T158" s="321"/>
      <c r="U158" s="321"/>
      <c r="V158" s="321"/>
      <c r="W158" s="321"/>
      <c r="X158" s="321"/>
      <c r="Y158" s="321"/>
      <c r="Z158" s="321"/>
      <c r="AA158" s="321"/>
      <c r="AB158" s="321"/>
      <c r="AC158" s="321"/>
      <c r="AD158" s="321"/>
      <c r="AE158" s="321"/>
      <c r="AF158" s="321"/>
      <c r="AG158" s="321"/>
      <c r="AH158" s="321"/>
      <c r="AI158" s="321"/>
      <c r="AJ158" s="321"/>
      <c r="AK158" s="321"/>
      <c r="AL158" s="321"/>
      <c r="AM158" s="321"/>
      <c r="AN158" s="321"/>
      <c r="AO158" s="321"/>
      <c r="AP158" s="321"/>
      <c r="AQ158" s="321"/>
      <c r="AR158" s="321"/>
      <c r="AS158" s="321"/>
      <c r="AT158" s="321"/>
      <c r="AU158" s="321"/>
      <c r="AV158" s="321"/>
      <c r="AW158" s="321"/>
      <c r="AX158" s="321"/>
      <c r="AY158" s="321"/>
      <c r="AZ158" s="321"/>
      <c r="BA158" s="321"/>
      <c r="BB158" s="321"/>
      <c r="BC158" s="321"/>
      <c r="BD158" s="321"/>
      <c r="BE158" s="321"/>
      <c r="BF158" s="321"/>
      <c r="BG158" s="321"/>
      <c r="BH158" s="321"/>
      <c r="BI158" s="321"/>
      <c r="BJ158" s="321"/>
      <c r="BK158" s="321"/>
      <c r="BL158" s="321"/>
      <c r="BM158" s="321"/>
      <c r="BN158" s="321"/>
      <c r="BO158" s="321"/>
      <c r="BP158" s="321"/>
      <c r="BQ158" s="321"/>
      <c r="BR158" s="321"/>
      <c r="BS158" s="321"/>
      <c r="BT158" s="321"/>
      <c r="BU158" s="321"/>
      <c r="BV158" s="321"/>
      <c r="BW158" s="321"/>
      <c r="BX158" s="321"/>
      <c r="BY158" s="321"/>
      <c r="BZ158" s="321"/>
      <c r="CA158" s="321"/>
      <c r="CB158" s="321"/>
      <c r="CC158" s="321"/>
      <c r="CD158" s="321"/>
      <c r="CE158" s="321"/>
      <c r="CF158" s="321"/>
      <c r="CG158" s="321"/>
      <c r="CH158" s="321"/>
      <c r="CI158" s="321"/>
      <c r="CJ158" s="321"/>
      <c r="CK158" s="321"/>
      <c r="CL158" s="321"/>
      <c r="CM158" s="321"/>
      <c r="CN158" s="321"/>
      <c r="CO158" s="321"/>
      <c r="CP158" s="321"/>
      <c r="CQ158" s="321"/>
      <c r="CR158" s="321"/>
      <c r="CS158" s="321"/>
      <c r="CT158" s="321"/>
      <c r="CU158" s="321"/>
      <c r="CV158" s="321"/>
      <c r="CW158" s="321"/>
      <c r="CX158" s="321"/>
      <c r="CY158" s="321"/>
      <c r="CZ158" s="321"/>
      <c r="DA158" s="321"/>
      <c r="DB158" s="321"/>
      <c r="DC158" s="321"/>
      <c r="DD158" s="321"/>
      <c r="DE158" s="321"/>
      <c r="DF158" s="321"/>
      <c r="DG158" s="321"/>
      <c r="DH158" s="321"/>
      <c r="DI158" s="321"/>
      <c r="DJ158" s="321"/>
      <c r="DK158" s="321"/>
      <c r="DL158" s="321"/>
      <c r="DM158" s="321"/>
      <c r="DN158" s="321"/>
      <c r="DO158" s="321"/>
      <c r="DP158" s="321"/>
      <c r="DQ158" s="321"/>
      <c r="DR158" s="321"/>
      <c r="DS158" s="321"/>
      <c r="DT158" s="321"/>
      <c r="DU158" s="321"/>
      <c r="DV158" s="321"/>
      <c r="DW158" s="321"/>
      <c r="DX158" s="321"/>
      <c r="DY158" s="321"/>
      <c r="DZ158" s="321"/>
      <c r="EA158" s="321"/>
      <c r="EB158" s="321"/>
      <c r="EC158" s="321"/>
      <c r="ED158" s="321"/>
      <c r="EE158" s="321"/>
      <c r="EF158" s="321"/>
      <c r="EG158" s="321"/>
      <c r="EH158" s="321"/>
      <c r="EI158" s="321"/>
      <c r="EJ158" s="321"/>
      <c r="EK158" s="321"/>
      <c r="EL158" s="321"/>
      <c r="EM158" s="321"/>
      <c r="EN158" s="321"/>
      <c r="EO158" s="321"/>
      <c r="EP158" s="321"/>
      <c r="EQ158" s="321"/>
      <c r="ER158" s="321"/>
      <c r="ES158" s="321"/>
      <c r="ET158" s="321"/>
      <c r="EU158" s="321"/>
      <c r="EV158" s="321"/>
      <c r="EW158" s="321"/>
      <c r="EX158" s="321"/>
      <c r="EY158" s="321"/>
      <c r="EZ158" s="321"/>
      <c r="FA158" s="321"/>
      <c r="FB158" s="321"/>
      <c r="FC158" s="321"/>
      <c r="FD158" s="321"/>
      <c r="FE158" s="321"/>
      <c r="FF158" s="321"/>
      <c r="FG158" s="321"/>
      <c r="FH158" s="321"/>
      <c r="FI158" s="321"/>
      <c r="FJ158" s="321"/>
      <c r="FK158" s="321"/>
      <c r="FL158" s="321"/>
      <c r="FM158" s="321"/>
      <c r="FN158" s="321"/>
      <c r="FO158" s="321"/>
      <c r="FP158" s="321"/>
      <c r="FQ158" s="321"/>
      <c r="FR158" s="321"/>
      <c r="FS158" s="321"/>
      <c r="FT158" s="321"/>
      <c r="FU158" s="321"/>
      <c r="FV158" s="321"/>
      <c r="FW158" s="321"/>
      <c r="FX158" s="321"/>
      <c r="FY158" s="321"/>
      <c r="FZ158" s="321"/>
      <c r="GA158" s="321"/>
      <c r="GB158" s="321"/>
      <c r="GC158" s="321"/>
      <c r="GD158" s="321"/>
      <c r="GE158" s="321"/>
      <c r="GF158" s="321"/>
      <c r="GG158" s="321"/>
      <c r="GH158" s="321"/>
      <c r="GI158" s="321"/>
      <c r="GJ158" s="321"/>
      <c r="GK158" s="321"/>
      <c r="GL158" s="321"/>
      <c r="GM158" s="321"/>
      <c r="GN158" s="321"/>
      <c r="GO158" s="321"/>
      <c r="GP158" s="321"/>
      <c r="GQ158" s="321"/>
      <c r="GR158" s="321"/>
      <c r="GS158" s="321"/>
      <c r="GT158" s="321"/>
      <c r="GU158" s="321"/>
      <c r="GV158" s="321"/>
      <c r="GW158" s="321"/>
      <c r="GX158" s="321"/>
      <c r="GY158" s="321"/>
      <c r="GZ158" s="321"/>
      <c r="HA158" s="321"/>
      <c r="HB158" s="321"/>
      <c r="HC158" s="321"/>
      <c r="HD158" s="321"/>
      <c r="HE158" s="321"/>
      <c r="HF158" s="321"/>
      <c r="HG158" s="321"/>
      <c r="HH158" s="321"/>
      <c r="HI158" s="321"/>
      <c r="HJ158" s="321"/>
      <c r="HK158" s="321"/>
      <c r="HL158" s="321"/>
      <c r="HM158" s="321"/>
      <c r="HN158" s="321"/>
      <c r="HO158" s="321"/>
      <c r="HP158" s="321"/>
      <c r="HQ158" s="321"/>
      <c r="HR158" s="321"/>
      <c r="HS158" s="321"/>
      <c r="HT158" s="321"/>
      <c r="HU158" s="321"/>
      <c r="HV158" s="321"/>
      <c r="HW158" s="321"/>
      <c r="HX158" s="321"/>
      <c r="HY158" s="321"/>
      <c r="HZ158" s="321"/>
      <c r="IA158" s="321"/>
      <c r="IB158" s="321"/>
      <c r="IC158" s="321"/>
      <c r="ID158" s="321"/>
      <c r="IE158" s="321"/>
      <c r="IF158" s="321"/>
      <c r="IG158" s="321"/>
      <c r="IH158" s="321"/>
      <c r="II158" s="321"/>
      <c r="IJ158" s="321"/>
      <c r="IK158" s="321"/>
      <c r="IL158" s="321"/>
      <c r="IM158" s="321"/>
      <c r="IN158" s="321"/>
      <c r="IO158" s="321"/>
      <c r="IP158" s="321"/>
      <c r="IQ158" s="321"/>
      <c r="IR158" s="321"/>
      <c r="IS158" s="321"/>
      <c r="IT158" s="321"/>
      <c r="IU158" s="321"/>
      <c r="IV158" s="321"/>
    </row>
    <row r="159" spans="1:256" s="546" customFormat="1" ht="21.75" customHeight="1" thickBot="1">
      <c r="A159" s="561">
        <v>151</v>
      </c>
      <c r="B159" s="1433"/>
      <c r="C159" s="322"/>
      <c r="D159" s="1436" t="s">
        <v>1035</v>
      </c>
      <c r="E159" s="330"/>
      <c r="F159" s="330"/>
      <c r="G159" s="1434"/>
      <c r="H159" s="762"/>
      <c r="I159" s="1435"/>
      <c r="J159" s="1435"/>
      <c r="K159" s="1267">
        <v>3</v>
      </c>
      <c r="L159" s="1435"/>
      <c r="M159" s="1267">
        <v>0</v>
      </c>
      <c r="N159" s="1435"/>
      <c r="O159" s="1435"/>
      <c r="P159" s="1175">
        <f>SUM(I159:O159)</f>
        <v>3</v>
      </c>
      <c r="Q159" s="1144"/>
      <c r="R159" s="321"/>
      <c r="S159" s="321"/>
      <c r="T159" s="321"/>
      <c r="U159" s="321"/>
      <c r="V159" s="321"/>
      <c r="W159" s="321"/>
      <c r="X159" s="321"/>
      <c r="Y159" s="321"/>
      <c r="Z159" s="321"/>
      <c r="AA159" s="321"/>
      <c r="AB159" s="321"/>
      <c r="AC159" s="321"/>
      <c r="AD159" s="321"/>
      <c r="AE159" s="321"/>
      <c r="AF159" s="321"/>
      <c r="AG159" s="321"/>
      <c r="AH159" s="321"/>
      <c r="AI159" s="321"/>
      <c r="AJ159" s="321"/>
      <c r="AK159" s="321"/>
      <c r="AL159" s="321"/>
      <c r="AM159" s="321"/>
      <c r="AN159" s="321"/>
      <c r="AO159" s="321"/>
      <c r="AP159" s="321"/>
      <c r="AQ159" s="321"/>
      <c r="AR159" s="321"/>
      <c r="AS159" s="321"/>
      <c r="AT159" s="321"/>
      <c r="AU159" s="321"/>
      <c r="AV159" s="321"/>
      <c r="AW159" s="321"/>
      <c r="AX159" s="321"/>
      <c r="AY159" s="321"/>
      <c r="AZ159" s="321"/>
      <c r="BA159" s="321"/>
      <c r="BB159" s="321"/>
      <c r="BC159" s="321"/>
      <c r="BD159" s="321"/>
      <c r="BE159" s="321"/>
      <c r="BF159" s="321"/>
      <c r="BG159" s="321"/>
      <c r="BH159" s="321"/>
      <c r="BI159" s="321"/>
      <c r="BJ159" s="321"/>
      <c r="BK159" s="321"/>
      <c r="BL159" s="321"/>
      <c r="BM159" s="321"/>
      <c r="BN159" s="321"/>
      <c r="BO159" s="321"/>
      <c r="BP159" s="321"/>
      <c r="BQ159" s="321"/>
      <c r="BR159" s="321"/>
      <c r="BS159" s="321"/>
      <c r="BT159" s="321"/>
      <c r="BU159" s="321"/>
      <c r="BV159" s="321"/>
      <c r="BW159" s="321"/>
      <c r="BX159" s="321"/>
      <c r="BY159" s="321"/>
      <c r="BZ159" s="321"/>
      <c r="CA159" s="321"/>
      <c r="CB159" s="321"/>
      <c r="CC159" s="321"/>
      <c r="CD159" s="321"/>
      <c r="CE159" s="321"/>
      <c r="CF159" s="321"/>
      <c r="CG159" s="321"/>
      <c r="CH159" s="321"/>
      <c r="CI159" s="321"/>
      <c r="CJ159" s="321"/>
      <c r="CK159" s="321"/>
      <c r="CL159" s="321"/>
      <c r="CM159" s="321"/>
      <c r="CN159" s="321"/>
      <c r="CO159" s="321"/>
      <c r="CP159" s="321"/>
      <c r="CQ159" s="321"/>
      <c r="CR159" s="321"/>
      <c r="CS159" s="321"/>
      <c r="CT159" s="321"/>
      <c r="CU159" s="321"/>
      <c r="CV159" s="321"/>
      <c r="CW159" s="321"/>
      <c r="CX159" s="321"/>
      <c r="CY159" s="321"/>
      <c r="CZ159" s="321"/>
      <c r="DA159" s="321"/>
      <c r="DB159" s="321"/>
      <c r="DC159" s="321"/>
      <c r="DD159" s="321"/>
      <c r="DE159" s="321"/>
      <c r="DF159" s="321"/>
      <c r="DG159" s="321"/>
      <c r="DH159" s="321"/>
      <c r="DI159" s="321"/>
      <c r="DJ159" s="321"/>
      <c r="DK159" s="321"/>
      <c r="DL159" s="321"/>
      <c r="DM159" s="321"/>
      <c r="DN159" s="321"/>
      <c r="DO159" s="321"/>
      <c r="DP159" s="321"/>
      <c r="DQ159" s="321"/>
      <c r="DR159" s="321"/>
      <c r="DS159" s="321"/>
      <c r="DT159" s="321"/>
      <c r="DU159" s="321"/>
      <c r="DV159" s="321"/>
      <c r="DW159" s="321"/>
      <c r="DX159" s="321"/>
      <c r="DY159" s="321"/>
      <c r="DZ159" s="321"/>
      <c r="EA159" s="321"/>
      <c r="EB159" s="321"/>
      <c r="EC159" s="321"/>
      <c r="ED159" s="321"/>
      <c r="EE159" s="321"/>
      <c r="EF159" s="321"/>
      <c r="EG159" s="321"/>
      <c r="EH159" s="321"/>
      <c r="EI159" s="321"/>
      <c r="EJ159" s="321"/>
      <c r="EK159" s="321"/>
      <c r="EL159" s="321"/>
      <c r="EM159" s="321"/>
      <c r="EN159" s="321"/>
      <c r="EO159" s="321"/>
      <c r="EP159" s="321"/>
      <c r="EQ159" s="321"/>
      <c r="ER159" s="321"/>
      <c r="ES159" s="321"/>
      <c r="ET159" s="321"/>
      <c r="EU159" s="321"/>
      <c r="EV159" s="321"/>
      <c r="EW159" s="321"/>
      <c r="EX159" s="321"/>
      <c r="EY159" s="321"/>
      <c r="EZ159" s="321"/>
      <c r="FA159" s="321"/>
      <c r="FB159" s="321"/>
      <c r="FC159" s="321"/>
      <c r="FD159" s="321"/>
      <c r="FE159" s="321"/>
      <c r="FF159" s="321"/>
      <c r="FG159" s="321"/>
      <c r="FH159" s="321"/>
      <c r="FI159" s="321"/>
      <c r="FJ159" s="321"/>
      <c r="FK159" s="321"/>
      <c r="FL159" s="321"/>
      <c r="FM159" s="321"/>
      <c r="FN159" s="321"/>
      <c r="FO159" s="321"/>
      <c r="FP159" s="321"/>
      <c r="FQ159" s="321"/>
      <c r="FR159" s="321"/>
      <c r="FS159" s="321"/>
      <c r="FT159" s="321"/>
      <c r="FU159" s="321"/>
      <c r="FV159" s="321"/>
      <c r="FW159" s="321"/>
      <c r="FX159" s="321"/>
      <c r="FY159" s="321"/>
      <c r="FZ159" s="321"/>
      <c r="GA159" s="321"/>
      <c r="GB159" s="321"/>
      <c r="GC159" s="321"/>
      <c r="GD159" s="321"/>
      <c r="GE159" s="321"/>
      <c r="GF159" s="321"/>
      <c r="GG159" s="321"/>
      <c r="GH159" s="321"/>
      <c r="GI159" s="321"/>
      <c r="GJ159" s="321"/>
      <c r="GK159" s="321"/>
      <c r="GL159" s="321"/>
      <c r="GM159" s="321"/>
      <c r="GN159" s="321"/>
      <c r="GO159" s="321"/>
      <c r="GP159" s="321"/>
      <c r="GQ159" s="321"/>
      <c r="GR159" s="321"/>
      <c r="GS159" s="321"/>
      <c r="GT159" s="321"/>
      <c r="GU159" s="321"/>
      <c r="GV159" s="321"/>
      <c r="GW159" s="321"/>
      <c r="GX159" s="321"/>
      <c r="GY159" s="321"/>
      <c r="GZ159" s="321"/>
      <c r="HA159" s="321"/>
      <c r="HB159" s="321"/>
      <c r="HC159" s="321"/>
      <c r="HD159" s="321"/>
      <c r="HE159" s="321"/>
      <c r="HF159" s="321"/>
      <c r="HG159" s="321"/>
      <c r="HH159" s="321"/>
      <c r="HI159" s="321"/>
      <c r="HJ159" s="321"/>
      <c r="HK159" s="321"/>
      <c r="HL159" s="321"/>
      <c r="HM159" s="321"/>
      <c r="HN159" s="321"/>
      <c r="HO159" s="321"/>
      <c r="HP159" s="321"/>
      <c r="HQ159" s="321"/>
      <c r="HR159" s="321"/>
      <c r="HS159" s="321"/>
      <c r="HT159" s="321"/>
      <c r="HU159" s="321"/>
      <c r="HV159" s="321"/>
      <c r="HW159" s="321"/>
      <c r="HX159" s="321"/>
      <c r="HY159" s="321"/>
      <c r="HZ159" s="321"/>
      <c r="IA159" s="321"/>
      <c r="IB159" s="321"/>
      <c r="IC159" s="321"/>
      <c r="ID159" s="321"/>
      <c r="IE159" s="321"/>
      <c r="IF159" s="321"/>
      <c r="IG159" s="321"/>
      <c r="IH159" s="321"/>
      <c r="II159" s="321"/>
      <c r="IJ159" s="321"/>
      <c r="IK159" s="321"/>
      <c r="IL159" s="321"/>
      <c r="IM159" s="321"/>
      <c r="IN159" s="321"/>
      <c r="IO159" s="321"/>
      <c r="IP159" s="321"/>
      <c r="IQ159" s="321"/>
      <c r="IR159" s="321"/>
      <c r="IS159" s="321"/>
      <c r="IT159" s="321"/>
      <c r="IU159" s="321"/>
      <c r="IV159" s="321"/>
    </row>
    <row r="160" spans="1:17" s="325" customFormat="1" ht="19.5" customHeight="1">
      <c r="A160" s="561">
        <v>152</v>
      </c>
      <c r="B160" s="2218" t="s">
        <v>13</v>
      </c>
      <c r="C160" s="2219"/>
      <c r="D160" s="2219"/>
      <c r="E160" s="2219"/>
      <c r="F160" s="2219"/>
      <c r="G160" s="2220"/>
      <c r="H160" s="1146"/>
      <c r="I160" s="1374"/>
      <c r="J160" s="1374"/>
      <c r="K160" s="1374"/>
      <c r="L160" s="1374"/>
      <c r="M160" s="1374"/>
      <c r="N160" s="1374"/>
      <c r="O160" s="1374"/>
      <c r="P160" s="1374"/>
      <c r="Q160" s="1147"/>
    </row>
    <row r="161" spans="1:17" s="325" customFormat="1" ht="19.5" customHeight="1">
      <c r="A161" s="561">
        <v>153</v>
      </c>
      <c r="B161" s="1297"/>
      <c r="C161" s="1298"/>
      <c r="D161" s="1376" t="s">
        <v>303</v>
      </c>
      <c r="E161" s="1298"/>
      <c r="F161" s="1298"/>
      <c r="G161" s="1299"/>
      <c r="H161" s="1300"/>
      <c r="I161" s="1372">
        <f aca="true" t="shared" si="5" ref="I161:P161">I140+I59</f>
        <v>1000</v>
      </c>
      <c r="J161" s="1372">
        <f t="shared" si="5"/>
        <v>500</v>
      </c>
      <c r="K161" s="1372">
        <f t="shared" si="5"/>
        <v>516546</v>
      </c>
      <c r="L161" s="1372">
        <f t="shared" si="5"/>
        <v>165075</v>
      </c>
      <c r="M161" s="1372">
        <f t="shared" si="5"/>
        <v>2703044</v>
      </c>
      <c r="N161" s="1372">
        <f t="shared" si="5"/>
        <v>68500</v>
      </c>
      <c r="O161" s="1372">
        <f t="shared" si="5"/>
        <v>0</v>
      </c>
      <c r="P161" s="1375">
        <f t="shared" si="5"/>
        <v>3454665</v>
      </c>
      <c r="Q161" s="1301"/>
    </row>
    <row r="162" spans="1:17" s="325" customFormat="1" ht="19.5" customHeight="1">
      <c r="A162" s="561">
        <v>154</v>
      </c>
      <c r="B162" s="1297"/>
      <c r="C162" s="1298"/>
      <c r="D162" s="436" t="s">
        <v>994</v>
      </c>
      <c r="E162" s="1298"/>
      <c r="F162" s="1298"/>
      <c r="G162" s="1299"/>
      <c r="H162" s="1300"/>
      <c r="I162" s="1304">
        <f aca="true" t="shared" si="6" ref="I162:O163">I141+I60+I158+I151+I155</f>
        <v>15974</v>
      </c>
      <c r="J162" s="1304">
        <f t="shared" si="6"/>
        <v>2386</v>
      </c>
      <c r="K162" s="1304">
        <f t="shared" si="6"/>
        <v>346988</v>
      </c>
      <c r="L162" s="1304">
        <f t="shared" si="6"/>
        <v>350</v>
      </c>
      <c r="M162" s="1304">
        <f t="shared" si="6"/>
        <v>3676365</v>
      </c>
      <c r="N162" s="1304">
        <f t="shared" si="6"/>
        <v>2500</v>
      </c>
      <c r="O162" s="1304">
        <f t="shared" si="6"/>
        <v>1150</v>
      </c>
      <c r="P162" s="555">
        <f>SUM(I162:O162)</f>
        <v>4045713</v>
      </c>
      <c r="Q162" s="1301"/>
    </row>
    <row r="163" spans="1:17" s="325" customFormat="1" ht="19.5" customHeight="1" thickBot="1">
      <c r="A163" s="561">
        <v>155</v>
      </c>
      <c r="B163" s="1125"/>
      <c r="C163" s="1126"/>
      <c r="D163" s="1548" t="s">
        <v>1036</v>
      </c>
      <c r="E163" s="1126"/>
      <c r="F163" s="1126"/>
      <c r="G163" s="1148"/>
      <c r="H163" s="1149"/>
      <c r="I163" s="1558">
        <f t="shared" si="6"/>
        <v>13248</v>
      </c>
      <c r="J163" s="1558">
        <f t="shared" si="6"/>
        <v>2000</v>
      </c>
      <c r="K163" s="1558">
        <f t="shared" si="6"/>
        <v>304178</v>
      </c>
      <c r="L163" s="1558">
        <f t="shared" si="6"/>
        <v>350</v>
      </c>
      <c r="M163" s="1558">
        <f t="shared" si="6"/>
        <v>209681</v>
      </c>
      <c r="N163" s="1558">
        <f t="shared" si="6"/>
        <v>0</v>
      </c>
      <c r="O163" s="1558">
        <f t="shared" si="6"/>
        <v>1150</v>
      </c>
      <c r="P163" s="1988">
        <f>I163+J163+K163+L163+M163+N163+O163</f>
        <v>530607</v>
      </c>
      <c r="Q163" s="1150"/>
    </row>
    <row r="164" spans="2:16" ht="18" customHeight="1">
      <c r="B164" s="552" t="s">
        <v>27</v>
      </c>
      <c r="C164" s="553"/>
      <c r="D164" s="552"/>
      <c r="E164" s="332"/>
      <c r="F164" s="333"/>
      <c r="G164" s="332"/>
      <c r="H164" s="539"/>
      <c r="I164" s="332"/>
      <c r="J164" s="332"/>
      <c r="K164" s="332"/>
      <c r="L164" s="332"/>
      <c r="M164" s="332"/>
      <c r="N164" s="332"/>
      <c r="O164" s="332"/>
      <c r="P164" s="563"/>
    </row>
    <row r="165" spans="2:16" ht="18" customHeight="1">
      <c r="B165" s="552" t="s">
        <v>28</v>
      </c>
      <c r="C165" s="553"/>
      <c r="D165" s="552"/>
      <c r="E165" s="466"/>
      <c r="F165" s="333"/>
      <c r="G165" s="332"/>
      <c r="H165" s="539"/>
      <c r="I165" s="332"/>
      <c r="J165" s="332"/>
      <c r="K165" s="332"/>
      <c r="L165" s="332"/>
      <c r="M165" s="332"/>
      <c r="N165" s="332"/>
      <c r="O165" s="332"/>
      <c r="P165" s="563"/>
    </row>
    <row r="166" spans="2:16" ht="18" customHeight="1">
      <c r="B166" s="552" t="s">
        <v>29</v>
      </c>
      <c r="C166" s="553"/>
      <c r="D166" s="552"/>
      <c r="E166" s="466"/>
      <c r="F166" s="333"/>
      <c r="G166" s="332"/>
      <c r="H166" s="539"/>
      <c r="I166" s="332"/>
      <c r="J166" s="332"/>
      <c r="K166" s="332"/>
      <c r="L166" s="332"/>
      <c r="M166" s="332"/>
      <c r="N166" s="332"/>
      <c r="O166" s="332"/>
      <c r="P166" s="563"/>
    </row>
    <row r="167" spans="2:3" ht="17.25">
      <c r="B167" s="329" t="s">
        <v>795</v>
      </c>
      <c r="C167" s="329"/>
    </row>
  </sheetData>
  <sheetProtection/>
  <mergeCells count="18">
    <mergeCell ref="R6:S6"/>
    <mergeCell ref="I7:L7"/>
    <mergeCell ref="M7:O7"/>
    <mergeCell ref="P7:P8"/>
    <mergeCell ref="B160:G160"/>
    <mergeCell ref="D154:G154"/>
    <mergeCell ref="B1:Q1"/>
    <mergeCell ref="A2:Q2"/>
    <mergeCell ref="A3:Q3"/>
    <mergeCell ref="B6:B8"/>
    <mergeCell ref="C6:C8"/>
    <mergeCell ref="D6:D8"/>
    <mergeCell ref="E6:E8"/>
    <mergeCell ref="F6:F8"/>
    <mergeCell ref="G6:G8"/>
    <mergeCell ref="H6:H8"/>
    <mergeCell ref="I6:P6"/>
    <mergeCell ref="Q6:Q8"/>
  </mergeCell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58" r:id="rId1"/>
  <headerFooter>
    <oddFooter>&amp;C- &amp;P -</oddFooter>
  </headerFooter>
</worksheet>
</file>

<file path=xl/worksheets/sheet14.xml><?xml version="1.0" encoding="utf-8"?>
<worksheet xmlns="http://schemas.openxmlformats.org/spreadsheetml/2006/main" xmlns:r="http://schemas.openxmlformats.org/officeDocument/2006/relationships">
  <dimension ref="A1:AN39"/>
  <sheetViews>
    <sheetView view="pageBreakPreview" zoomScale="75" zoomScaleNormal="75" zoomScaleSheetLayoutView="75" zoomScalePageLayoutView="0" workbookViewId="0" topLeftCell="A1">
      <selection activeCell="C1" sqref="C1"/>
    </sheetView>
  </sheetViews>
  <sheetFormatPr defaultColWidth="9.125" defaultRowHeight="12.75"/>
  <cols>
    <col min="1" max="1" width="5.75390625" style="104" customWidth="1"/>
    <col min="2" max="2" width="4.75390625" style="334" customWidth="1"/>
    <col min="3" max="3" width="63.75390625" style="106" customWidth="1"/>
    <col min="4" max="6" width="15.75390625" style="2" customWidth="1"/>
    <col min="7" max="7" width="5.75390625" style="334" customWidth="1"/>
    <col min="8" max="8" width="63.75390625" style="106" customWidth="1"/>
    <col min="9" max="11" width="15.75390625" style="2" customWidth="1"/>
    <col min="12" max="16384" width="9.125" style="106" customWidth="1"/>
  </cols>
  <sheetData>
    <row r="1" spans="2:12" ht="16.5" customHeight="1">
      <c r="B1" s="147"/>
      <c r="C1" s="24" t="s">
        <v>1470</v>
      </c>
      <c r="D1" s="147"/>
      <c r="E1" s="147"/>
      <c r="F1" s="147"/>
      <c r="G1" s="147"/>
      <c r="H1" s="147"/>
      <c r="I1" s="147"/>
      <c r="J1" s="147"/>
      <c r="K1" s="147"/>
      <c r="L1" s="147"/>
    </row>
    <row r="2" spans="1:11" s="1" customFormat="1" ht="24.75" customHeight="1">
      <c r="A2" s="178"/>
      <c r="B2" s="2013" t="s">
        <v>214</v>
      </c>
      <c r="C2" s="2013"/>
      <c r="D2" s="2013"/>
      <c r="E2" s="2013"/>
      <c r="F2" s="2013"/>
      <c r="G2" s="2013"/>
      <c r="H2" s="2013"/>
      <c r="I2" s="2013"/>
      <c r="J2" s="2013"/>
      <c r="K2" s="2013"/>
    </row>
    <row r="3" spans="1:11" s="1" customFormat="1" ht="24.75" customHeight="1">
      <c r="A3" s="178"/>
      <c r="B3" s="2013" t="s">
        <v>940</v>
      </c>
      <c r="C3" s="2013"/>
      <c r="D3" s="2013"/>
      <c r="E3" s="2013"/>
      <c r="F3" s="2013"/>
      <c r="G3" s="2013"/>
      <c r="H3" s="2013"/>
      <c r="I3" s="2013"/>
      <c r="J3" s="2013"/>
      <c r="K3" s="2013"/>
    </row>
    <row r="4" spans="1:11" s="767" customFormat="1" ht="18" customHeight="1">
      <c r="A4" s="765"/>
      <c r="B4" s="766"/>
      <c r="C4" s="766"/>
      <c r="D4" s="766"/>
      <c r="E4" s="766"/>
      <c r="F4" s="766"/>
      <c r="G4" s="766"/>
      <c r="H4" s="766"/>
      <c r="I4" s="113"/>
      <c r="J4" s="113"/>
      <c r="K4" s="113" t="s">
        <v>0</v>
      </c>
    </row>
    <row r="5" spans="2:11" s="764" customFormat="1" ht="18" customHeight="1" thickBot="1">
      <c r="B5" s="764" t="s">
        <v>1</v>
      </c>
      <c r="C5" s="764" t="s">
        <v>379</v>
      </c>
      <c r="D5" s="764" t="s">
        <v>2</v>
      </c>
      <c r="E5" s="764" t="s">
        <v>4</v>
      </c>
      <c r="F5" s="764" t="s">
        <v>5</v>
      </c>
      <c r="G5" s="764" t="s">
        <v>15</v>
      </c>
      <c r="H5" s="764" t="s">
        <v>16</v>
      </c>
      <c r="I5" s="98" t="s">
        <v>17</v>
      </c>
      <c r="J5" s="98" t="s">
        <v>36</v>
      </c>
      <c r="K5" s="98" t="s">
        <v>30</v>
      </c>
    </row>
    <row r="6" spans="1:11" ht="51.75">
      <c r="A6" s="104">
        <v>1</v>
      </c>
      <c r="B6" s="362"/>
      <c r="C6" s="363" t="s">
        <v>215</v>
      </c>
      <c r="D6" s="364" t="s">
        <v>796</v>
      </c>
      <c r="E6" s="364" t="s">
        <v>993</v>
      </c>
      <c r="F6" s="1562" t="s">
        <v>1039</v>
      </c>
      <c r="G6" s="365"/>
      <c r="H6" s="366" t="s">
        <v>216</v>
      </c>
      <c r="I6" s="364" t="s">
        <v>796</v>
      </c>
      <c r="J6" s="364" t="s">
        <v>993</v>
      </c>
      <c r="K6" s="1563" t="s">
        <v>1039</v>
      </c>
    </row>
    <row r="7" spans="1:11" ht="15" customHeight="1">
      <c r="A7" s="104">
        <v>2</v>
      </c>
      <c r="B7" s="97" t="s">
        <v>128</v>
      </c>
      <c r="C7" s="106" t="s">
        <v>217</v>
      </c>
      <c r="D7" s="367">
        <f>'1.Onbe'!J9+'1.Onbe'!J15</f>
        <v>4640257</v>
      </c>
      <c r="E7" s="367">
        <f>'1.Onbe'!K9+'1.Onbe'!K15</f>
        <v>7056478</v>
      </c>
      <c r="F7" s="367">
        <f>'1.Onbe'!L9+'1.Onbe'!L15</f>
        <v>6933252</v>
      </c>
      <c r="G7" s="368" t="s">
        <v>128</v>
      </c>
      <c r="H7" s="106" t="s">
        <v>40</v>
      </c>
      <c r="I7" s="1165">
        <f>'4.Inki'!K248+'6.Önk.műk.'!J817+'9.Projekt'!I167+'10.MVP és hazai'!I97+'11.EKF'!I161</f>
        <v>4606337</v>
      </c>
      <c r="J7" s="1165">
        <f>'4.Inki'!K249+'6.Önk.műk.'!J818+'9.Projekt'!I168+'10.MVP és hazai'!I98+'11.EKF'!I162</f>
        <v>5170550</v>
      </c>
      <c r="K7" s="1564">
        <f>'4.Inki'!K250+'6.Önk.műk.'!J819+'9.Projekt'!I169+'10.MVP és hazai'!I99+'11.EKF'!I163</f>
        <v>4738880</v>
      </c>
    </row>
    <row r="8" spans="1:11" ht="15" customHeight="1">
      <c r="A8" s="104">
        <v>3</v>
      </c>
      <c r="B8" s="97" t="s">
        <v>135</v>
      </c>
      <c r="C8" s="106" t="s">
        <v>176</v>
      </c>
      <c r="D8" s="367">
        <f>'1.Onbe'!J16</f>
        <v>7945120</v>
      </c>
      <c r="E8" s="367">
        <f>'1.Onbe'!K16</f>
        <v>8663683</v>
      </c>
      <c r="F8" s="367">
        <f>'1.Onbe'!L16</f>
        <v>8663683</v>
      </c>
      <c r="G8" s="368" t="s">
        <v>135</v>
      </c>
      <c r="H8" s="106" t="s">
        <v>218</v>
      </c>
      <c r="I8" s="1165">
        <f>'4.Inki'!L248+'6.Önk.műk.'!K817+'9.Projekt'!J167+'10.MVP és hazai'!J97+'11.EKF'!J161</f>
        <v>881200</v>
      </c>
      <c r="J8" s="1178">
        <f>'4.Inki'!L249+'6.Önk.műk.'!K818+'9.Projekt'!J168+'10.MVP és hazai'!J98+'11.EKF'!J162</f>
        <v>996138</v>
      </c>
      <c r="K8" s="1564">
        <f>'4.Inki'!L250+'6.Önk.műk.'!K819+'9.Projekt'!J169+'10.MVP és hazai'!J99+'11.EKF'!J163</f>
        <v>857177</v>
      </c>
    </row>
    <row r="9" spans="1:11" ht="16.5">
      <c r="A9" s="104">
        <v>4</v>
      </c>
      <c r="B9" s="97" t="s">
        <v>136</v>
      </c>
      <c r="C9" s="369" t="s">
        <v>144</v>
      </c>
      <c r="D9" s="367">
        <f>'1.Onbe'!J26+'1.Onbe'!J31</f>
        <v>2529882</v>
      </c>
      <c r="E9" s="367">
        <f>'1.Onbe'!K26+'1.Onbe'!K31</f>
        <v>1979689</v>
      </c>
      <c r="F9" s="367">
        <f>'1.Onbe'!L26+'1.Onbe'!L31</f>
        <v>1601206</v>
      </c>
      <c r="G9" s="368" t="s">
        <v>136</v>
      </c>
      <c r="H9" s="106" t="s">
        <v>42</v>
      </c>
      <c r="I9" s="1165">
        <f>'4.Inki'!M248+'6.Önk.műk.'!L817+'7.Beruh.'!I269+'8.Felúj.'!I113+'9.Projekt'!K167+'10.MVP és hazai'!K97+'11.EKF'!K161</f>
        <v>5506893</v>
      </c>
      <c r="J9" s="1178">
        <f>'4.Inki'!M249+'6.Önk.műk.'!L818+'7.Beruh.'!I270+'8.Felúj.'!I114+'9.Projekt'!K168+'10.MVP és hazai'!K98+'11.EKF'!K162</f>
        <v>5411197</v>
      </c>
      <c r="K9" s="1564">
        <f>'4.Inki'!M250+'6.Önk.műk.'!L819+'9.Projekt'!K169+'7.Beruh.'!I271+'8.Felúj.'!I115+'10.MVP és hazai'!K99+'11.EKF'!K163</f>
        <v>4018699</v>
      </c>
    </row>
    <row r="10" spans="1:11" ht="16.5">
      <c r="A10" s="104">
        <v>5</v>
      </c>
      <c r="B10" s="97" t="s">
        <v>137</v>
      </c>
      <c r="C10" s="106" t="s">
        <v>181</v>
      </c>
      <c r="D10" s="367">
        <f>'1.Onbe'!J32</f>
        <v>0</v>
      </c>
      <c r="E10" s="367">
        <f>'1.Onbe'!K32+'1.Onbe'!K34</f>
        <v>150710</v>
      </c>
      <c r="F10" s="367">
        <f>'1.Onbe'!L32+'1.Onbe'!L34</f>
        <v>79537</v>
      </c>
      <c r="G10" s="370" t="s">
        <v>137</v>
      </c>
      <c r="H10" s="106" t="s">
        <v>219</v>
      </c>
      <c r="I10" s="1165">
        <f>'4.Inki'!N248+'6.Önk.műk.'!M817</f>
        <v>23248</v>
      </c>
      <c r="J10" s="1178">
        <f>'4.Inki'!N249+'6.Önk.műk.'!M818</f>
        <v>32338</v>
      </c>
      <c r="K10" s="1564">
        <f>'4.Inki'!N250+'6.Önk.műk.'!M819</f>
        <v>20125</v>
      </c>
    </row>
    <row r="11" spans="1:11" ht="16.5">
      <c r="A11" s="104">
        <v>6</v>
      </c>
      <c r="B11" s="97"/>
      <c r="C11" s="369"/>
      <c r="D11" s="367"/>
      <c r="E11" s="367"/>
      <c r="F11" s="367"/>
      <c r="G11" s="370" t="s">
        <v>138</v>
      </c>
      <c r="H11" s="108" t="s">
        <v>220</v>
      </c>
      <c r="I11" s="1165">
        <f>'4.Inki'!O248+'6.Önk.műk.'!N817+'9.Projekt'!L167+'10.MVP és hazai'!L97+'11.EKF'!L161</f>
        <v>3609806</v>
      </c>
      <c r="J11" s="1178">
        <f>'4.Inki'!O249+'6.Önk.műk.'!N818+'9.Projekt'!L168+'10.MVP és hazai'!L98+'11.EKF'!L162</f>
        <v>3790663</v>
      </c>
      <c r="K11" s="1564">
        <f>'4.Inki'!O250+'6.Önk.műk.'!N819+'9.Projekt'!L169+'10.MVP és hazai'!L99+'11.EKF'!L163</f>
        <v>3460075</v>
      </c>
    </row>
    <row r="12" spans="1:11" ht="16.5">
      <c r="A12" s="104">
        <v>7</v>
      </c>
      <c r="B12" s="97"/>
      <c r="C12" s="369"/>
      <c r="D12" s="367"/>
      <c r="E12" s="367"/>
      <c r="F12" s="367"/>
      <c r="G12" s="370" t="s">
        <v>221</v>
      </c>
      <c r="H12" s="108" t="s">
        <v>547</v>
      </c>
      <c r="I12" s="1165">
        <f>'2.Onki'!J16+'2.Onki'!J26</f>
        <v>313087</v>
      </c>
      <c r="J12" s="1178">
        <f>'2.Onki'!K16+'2.Onki'!K26</f>
        <v>944577</v>
      </c>
      <c r="K12" s="1574">
        <f>'2.Onki'!L16+'2.Onki'!L26</f>
        <v>0</v>
      </c>
    </row>
    <row r="13" spans="1:11" s="1" customFormat="1" ht="24.75" customHeight="1">
      <c r="A13" s="104">
        <v>8</v>
      </c>
      <c r="B13" s="371"/>
      <c r="C13" s="372" t="s">
        <v>222</v>
      </c>
      <c r="D13" s="373">
        <f>SUM(D7:D12)</f>
        <v>15115259</v>
      </c>
      <c r="E13" s="373">
        <f>SUM(E7:E12)</f>
        <v>17850560</v>
      </c>
      <c r="F13" s="373">
        <f>SUM(F7:F12)</f>
        <v>17277678</v>
      </c>
      <c r="G13" s="374"/>
      <c r="H13" s="372" t="s">
        <v>223</v>
      </c>
      <c r="I13" s="1166">
        <f>SUM(I7:I12)</f>
        <v>14940571</v>
      </c>
      <c r="J13" s="1166">
        <f>SUM(J7:J12)</f>
        <v>16345463</v>
      </c>
      <c r="K13" s="1565">
        <f>SUM(K7:K12)</f>
        <v>13094956</v>
      </c>
    </row>
    <row r="14" spans="1:11" ht="24.75" customHeight="1">
      <c r="A14" s="104">
        <v>9</v>
      </c>
      <c r="B14" s="375"/>
      <c r="C14" s="146" t="s">
        <v>224</v>
      </c>
      <c r="D14" s="408"/>
      <c r="E14" s="408"/>
      <c r="F14" s="408"/>
      <c r="G14" s="376"/>
      <c r="H14" s="146" t="s">
        <v>225</v>
      </c>
      <c r="I14" s="1167"/>
      <c r="J14" s="1559"/>
      <c r="K14" s="1573"/>
    </row>
    <row r="15" spans="1:12" ht="16.5">
      <c r="A15" s="104">
        <v>10</v>
      </c>
      <c r="B15" s="96" t="s">
        <v>128</v>
      </c>
      <c r="C15" s="1531" t="s">
        <v>226</v>
      </c>
      <c r="D15" s="377">
        <f>'1.Onbe'!J36+'1.Onbe'!J39</f>
        <v>8166069</v>
      </c>
      <c r="E15" s="377">
        <f>'1.Onbe'!K36+'1.Onbe'!K39</f>
        <v>13399499</v>
      </c>
      <c r="F15" s="377">
        <f>'1.Onbe'!L36+'1.Onbe'!L39</f>
        <v>9111899</v>
      </c>
      <c r="G15" s="378" t="s">
        <v>128</v>
      </c>
      <c r="H15" s="1531" t="s">
        <v>227</v>
      </c>
      <c r="I15" s="1165">
        <f>'2.Onki'!J28+'2.Onki'!J11</f>
        <v>21289183</v>
      </c>
      <c r="J15" s="1178">
        <f>'2.Onki'!K11+'2.Onki'!K28</f>
        <v>26209596</v>
      </c>
      <c r="K15" s="1564">
        <f>'2.Onki'!L11+'2.Onki'!L28</f>
        <v>5810431</v>
      </c>
      <c r="L15" s="2"/>
    </row>
    <row r="16" spans="1:12" ht="16.5">
      <c r="A16" s="104">
        <v>11</v>
      </c>
      <c r="B16" s="96" t="s">
        <v>135</v>
      </c>
      <c r="C16" s="1531" t="s">
        <v>187</v>
      </c>
      <c r="D16" s="377">
        <f>'1.Onbe'!J40+'1.Onbe'!J42</f>
        <v>197543</v>
      </c>
      <c r="E16" s="377">
        <f>'1.Onbe'!K40+'1.Onbe'!K42</f>
        <v>42711</v>
      </c>
      <c r="F16" s="377">
        <f>'1.Onbe'!L40+'1.Onbe'!L42</f>
        <v>43188</v>
      </c>
      <c r="G16" s="378" t="s">
        <v>135</v>
      </c>
      <c r="H16" s="1531" t="s">
        <v>162</v>
      </c>
      <c r="I16" s="1165">
        <f>'2.Onki'!J29</f>
        <v>549493</v>
      </c>
      <c r="J16" s="1178">
        <f>'2.Onki'!K29</f>
        <v>2967533</v>
      </c>
      <c r="K16" s="1564">
        <f>'2.Onki'!L29</f>
        <v>2927040</v>
      </c>
      <c r="L16" s="2"/>
    </row>
    <row r="17" spans="1:12" ht="16.5">
      <c r="A17" s="104">
        <v>12</v>
      </c>
      <c r="B17" s="96" t="s">
        <v>136</v>
      </c>
      <c r="C17" s="106" t="s">
        <v>190</v>
      </c>
      <c r="D17" s="377">
        <f>'1.Onbe'!J43+'1.Onbe'!J44+'1.Onbe'!J45</f>
        <v>0</v>
      </c>
      <c r="E17" s="377">
        <f>'1.Onbe'!L43+'1.Onbe'!L44+'1.Onbe'!L45+'1.Onbe'!K43</f>
        <v>2756</v>
      </c>
      <c r="F17" s="377">
        <f>'1.Onbe'!L43+'1.Onbe'!L44+'1.Onbe'!L45</f>
        <v>256</v>
      </c>
      <c r="G17" s="378" t="s">
        <v>136</v>
      </c>
      <c r="H17" s="1531" t="s">
        <v>228</v>
      </c>
      <c r="I17" s="1165">
        <f>'2.Onki'!J30+'2.Onki'!J12</f>
        <v>388439</v>
      </c>
      <c r="J17" s="1178">
        <f>'2.Onki'!K30+'2.Onki'!K12</f>
        <v>163236</v>
      </c>
      <c r="K17" s="1564">
        <f>'2.Onki'!L30+'2.Onki'!L12</f>
        <v>134729</v>
      </c>
      <c r="L17" s="2"/>
    </row>
    <row r="18" spans="1:11" ht="16.5">
      <c r="A18" s="104">
        <v>13</v>
      </c>
      <c r="B18" s="96"/>
      <c r="D18" s="377"/>
      <c r="E18" s="377"/>
      <c r="F18" s="377"/>
      <c r="G18" s="378" t="s">
        <v>137</v>
      </c>
      <c r="H18" s="1531" t="s">
        <v>548</v>
      </c>
      <c r="I18" s="1165">
        <f>'2.Onki'!J22</f>
        <v>384588</v>
      </c>
      <c r="J18" s="1178">
        <f>'2.Onki'!K22</f>
        <v>642987</v>
      </c>
      <c r="K18" s="1574">
        <f>'2.Onki'!L22</f>
        <v>0</v>
      </c>
    </row>
    <row r="19" spans="1:11" s="1" customFormat="1" ht="24.75" customHeight="1" thickBot="1">
      <c r="A19" s="104">
        <v>14</v>
      </c>
      <c r="B19" s="379"/>
      <c r="C19" s="380" t="s">
        <v>229</v>
      </c>
      <c r="D19" s="409">
        <f>SUM(D15:D18)</f>
        <v>8363612</v>
      </c>
      <c r="E19" s="409">
        <f>SUM(E15:E18)</f>
        <v>13444966</v>
      </c>
      <c r="F19" s="409">
        <f>SUM(F15:F18)</f>
        <v>9155343</v>
      </c>
      <c r="G19" s="381"/>
      <c r="H19" s="380" t="s">
        <v>230</v>
      </c>
      <c r="I19" s="1168">
        <f>SUM(I15:I18)</f>
        <v>22611703</v>
      </c>
      <c r="J19" s="1168">
        <f>SUM(J15:J18)</f>
        <v>29983352</v>
      </c>
      <c r="K19" s="1566">
        <f>SUM(K15:K18)</f>
        <v>8872200</v>
      </c>
    </row>
    <row r="20" spans="1:11" s="1" customFormat="1" ht="24.75" customHeight="1" thickBot="1" thickTop="1">
      <c r="A20" s="104">
        <v>15</v>
      </c>
      <c r="B20" s="382"/>
      <c r="C20" s="383" t="s">
        <v>193</v>
      </c>
      <c r="D20" s="410">
        <f>SUM(D13,D19)</f>
        <v>23478871</v>
      </c>
      <c r="E20" s="410">
        <f>SUM(E13,E19)</f>
        <v>31295526</v>
      </c>
      <c r="F20" s="410">
        <f>SUM(F13,F19)</f>
        <v>26433021</v>
      </c>
      <c r="G20" s="384"/>
      <c r="H20" s="383" t="s">
        <v>207</v>
      </c>
      <c r="I20" s="1169">
        <f>SUM(I13,I19)</f>
        <v>37552274</v>
      </c>
      <c r="J20" s="1169">
        <f>SUM(J13,J19)</f>
        <v>46328815</v>
      </c>
      <c r="K20" s="1567">
        <f>SUM(K13,K19)</f>
        <v>21967156</v>
      </c>
    </row>
    <row r="21" spans="1:11" s="1" customFormat="1" ht="24.75" customHeight="1" thickTop="1">
      <c r="A21" s="104">
        <v>16</v>
      </c>
      <c r="B21" s="385"/>
      <c r="C21" s="146" t="s">
        <v>231</v>
      </c>
      <c r="D21" s="411"/>
      <c r="E21" s="411"/>
      <c r="F21" s="411"/>
      <c r="G21" s="386"/>
      <c r="H21" s="146" t="s">
        <v>232</v>
      </c>
      <c r="I21" s="1170"/>
      <c r="J21" s="1560"/>
      <c r="K21" s="1568"/>
    </row>
    <row r="22" spans="1:11" s="1" customFormat="1" ht="16.5">
      <c r="A22" s="104">
        <v>17</v>
      </c>
      <c r="B22" s="20" t="s">
        <v>128</v>
      </c>
      <c r="C22" s="1" t="s">
        <v>233</v>
      </c>
      <c r="D22" s="411"/>
      <c r="E22" s="411"/>
      <c r="F22" s="411"/>
      <c r="G22" s="386" t="s">
        <v>128</v>
      </c>
      <c r="H22" s="1" t="s">
        <v>234</v>
      </c>
      <c r="I22" s="1170"/>
      <c r="J22" s="1560"/>
      <c r="K22" s="1568"/>
    </row>
    <row r="23" spans="1:11" s="1" customFormat="1" ht="16.5">
      <c r="A23" s="104">
        <v>18</v>
      </c>
      <c r="B23" s="20" t="s">
        <v>135</v>
      </c>
      <c r="C23" s="1" t="s">
        <v>302</v>
      </c>
      <c r="D23" s="411">
        <f>'1.Onbe'!J52</f>
        <v>1081085</v>
      </c>
      <c r="E23" s="411">
        <f>'1.Onbe'!K52</f>
        <v>2162285</v>
      </c>
      <c r="F23" s="411">
        <f>'1.Onbe'!L52</f>
        <v>2162285</v>
      </c>
      <c r="G23" s="386" t="s">
        <v>135</v>
      </c>
      <c r="H23" s="1" t="s">
        <v>260</v>
      </c>
      <c r="I23" s="1170">
        <f>'2.Onki'!J37</f>
        <v>111267</v>
      </c>
      <c r="J23" s="1170">
        <f>'2.Onki'!K37</f>
        <v>439630</v>
      </c>
      <c r="K23" s="1568">
        <f>'2.Onki'!L37</f>
        <v>258768</v>
      </c>
    </row>
    <row r="24" spans="1:11" s="1" customFormat="1" ht="16.5">
      <c r="A24" s="104">
        <v>19</v>
      </c>
      <c r="B24" s="20" t="s">
        <v>136</v>
      </c>
      <c r="C24" s="1" t="s">
        <v>259</v>
      </c>
      <c r="D24" s="411">
        <f>'1.Onbe'!J50</f>
        <v>0</v>
      </c>
      <c r="E24" s="411">
        <f>'1.Onbe'!K50</f>
        <v>328363</v>
      </c>
      <c r="F24" s="411">
        <f>'1.Onbe'!L50</f>
        <v>328363</v>
      </c>
      <c r="G24" s="386"/>
      <c r="I24" s="1170"/>
      <c r="J24" s="1560"/>
      <c r="K24" s="1568"/>
    </row>
    <row r="25" spans="1:11" s="1" customFormat="1" ht="24" customHeight="1">
      <c r="A25" s="104">
        <v>20</v>
      </c>
      <c r="B25" s="385"/>
      <c r="C25" s="146" t="s">
        <v>235</v>
      </c>
      <c r="D25" s="411"/>
      <c r="E25" s="411"/>
      <c r="F25" s="411"/>
      <c r="G25" s="386"/>
      <c r="H25" s="146" t="s">
        <v>236</v>
      </c>
      <c r="I25" s="1170"/>
      <c r="J25" s="1560"/>
      <c r="K25" s="1568"/>
    </row>
    <row r="26" spans="1:11" s="1" customFormat="1" ht="16.5">
      <c r="A26" s="104">
        <v>21</v>
      </c>
      <c r="B26" s="20" t="s">
        <v>137</v>
      </c>
      <c r="C26" s="1" t="s">
        <v>237</v>
      </c>
      <c r="D26" s="411">
        <f>'1.Onbe'!J60</f>
        <v>1409800</v>
      </c>
      <c r="E26" s="411">
        <f>'1.Onbe'!K60</f>
        <v>1260000</v>
      </c>
      <c r="F26" s="411">
        <f>'1.Onbe'!L60</f>
        <v>645374</v>
      </c>
      <c r="G26" s="386" t="s">
        <v>136</v>
      </c>
      <c r="H26" s="1" t="s">
        <v>238</v>
      </c>
      <c r="I26" s="1170">
        <f>'2.Onki'!J39</f>
        <v>108504</v>
      </c>
      <c r="J26" s="1170">
        <f>'2.Onki'!K39</f>
        <v>108505</v>
      </c>
      <c r="K26" s="1568">
        <f>'2.Onki'!L39</f>
        <v>108504</v>
      </c>
    </row>
    <row r="27" spans="1:11" s="1" customFormat="1" ht="16.5">
      <c r="A27" s="104">
        <v>22</v>
      </c>
      <c r="B27" s="20" t="s">
        <v>138</v>
      </c>
      <c r="C27" s="1" t="s">
        <v>233</v>
      </c>
      <c r="D27" s="411"/>
      <c r="E27" s="411"/>
      <c r="F27" s="411"/>
      <c r="G27" s="386" t="s">
        <v>137</v>
      </c>
      <c r="H27" s="1" t="s">
        <v>234</v>
      </c>
      <c r="I27" s="1170"/>
      <c r="J27" s="1560"/>
      <c r="K27" s="1568"/>
    </row>
    <row r="28" spans="1:11" s="1" customFormat="1" ht="16.5">
      <c r="A28" s="104">
        <v>23</v>
      </c>
      <c r="B28" s="20" t="s">
        <v>221</v>
      </c>
      <c r="C28" s="1" t="s">
        <v>302</v>
      </c>
      <c r="D28" s="411">
        <f>'1.Onbe'!J56</f>
        <v>11802289</v>
      </c>
      <c r="E28" s="411">
        <f>'1.Onbe'!K56</f>
        <v>11831032</v>
      </c>
      <c r="F28" s="411">
        <f>'1.Onbe'!L56</f>
        <v>11831032</v>
      </c>
      <c r="G28" s="386"/>
      <c r="I28" s="1170"/>
      <c r="J28" s="1560"/>
      <c r="K28" s="1568"/>
    </row>
    <row r="29" spans="1:40" s="388" customFormat="1" ht="24.75" customHeight="1" thickBot="1">
      <c r="A29" s="104">
        <v>24</v>
      </c>
      <c r="B29" s="294"/>
      <c r="C29" s="199" t="s">
        <v>239</v>
      </c>
      <c r="D29" s="412">
        <f>SUM(D21:D28)</f>
        <v>14293174</v>
      </c>
      <c r="E29" s="412">
        <f>SUM(E21:E28)</f>
        <v>15581680</v>
      </c>
      <c r="F29" s="412">
        <f>SUM(F21:F28)</f>
        <v>14967054</v>
      </c>
      <c r="G29" s="387"/>
      <c r="H29" s="199" t="s">
        <v>240</v>
      </c>
      <c r="I29" s="1171">
        <f>SUM(I21:I28)</f>
        <v>219771</v>
      </c>
      <c r="J29" s="1171">
        <f>SUM(J21:J28)</f>
        <v>548135</v>
      </c>
      <c r="K29" s="1569">
        <f>SUM(K21:K28)</f>
        <v>367272</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1:11" s="1" customFormat="1" ht="30" customHeight="1" thickBot="1" thickTop="1">
      <c r="A30" s="104">
        <v>25</v>
      </c>
      <c r="B30" s="389"/>
      <c r="C30" s="199" t="s">
        <v>241</v>
      </c>
      <c r="D30" s="409">
        <f>SUM(D20,D29)</f>
        <v>37772045</v>
      </c>
      <c r="E30" s="409">
        <f>SUM(E20,E29)</f>
        <v>46877206</v>
      </c>
      <c r="F30" s="409">
        <f>SUM(F20,F29)</f>
        <v>41400075</v>
      </c>
      <c r="G30" s="390"/>
      <c r="H30" s="199" t="s">
        <v>242</v>
      </c>
      <c r="I30" s="1168">
        <f>SUM(I20,I29)</f>
        <v>37772045</v>
      </c>
      <c r="J30" s="1168">
        <f>SUM(J20,J29)</f>
        <v>46876950</v>
      </c>
      <c r="K30" s="1566">
        <f>SUM(K20,K29)</f>
        <v>22334428</v>
      </c>
    </row>
    <row r="31" spans="1:11" s="1" customFormat="1" ht="18" thickTop="1">
      <c r="A31" s="104">
        <v>26</v>
      </c>
      <c r="B31" s="391"/>
      <c r="C31" s="392" t="s">
        <v>194</v>
      </c>
      <c r="D31" s="413">
        <f>+D20-I20</f>
        <v>-14073403</v>
      </c>
      <c r="E31" s="413">
        <f>+E20-J20</f>
        <v>-15033289</v>
      </c>
      <c r="F31" s="413">
        <f>+F20-K20</f>
        <v>4465865</v>
      </c>
      <c r="G31" s="393"/>
      <c r="H31" s="394"/>
      <c r="I31" s="1170"/>
      <c r="J31" s="1560"/>
      <c r="K31" s="1568"/>
    </row>
    <row r="32" spans="1:11" s="1" customFormat="1" ht="17.25">
      <c r="A32" s="104">
        <v>27</v>
      </c>
      <c r="B32" s="395"/>
      <c r="C32" s="396" t="s">
        <v>243</v>
      </c>
      <c r="D32" s="414">
        <f>+D13-I13</f>
        <v>174688</v>
      </c>
      <c r="E32" s="414">
        <f>+E13-J13</f>
        <v>1505097</v>
      </c>
      <c r="F32" s="414">
        <f>+F13-K13</f>
        <v>4182722</v>
      </c>
      <c r="G32" s="393"/>
      <c r="H32" s="394"/>
      <c r="I32" s="1170"/>
      <c r="J32" s="1560"/>
      <c r="K32" s="1568"/>
    </row>
    <row r="33" spans="1:11" s="1" customFormat="1" ht="17.25">
      <c r="A33" s="104">
        <v>28</v>
      </c>
      <c r="B33" s="395"/>
      <c r="C33" s="396" t="s">
        <v>244</v>
      </c>
      <c r="D33" s="414">
        <f>+D19-I19</f>
        <v>-14248091</v>
      </c>
      <c r="E33" s="414">
        <f>+E19-J19</f>
        <v>-16538386</v>
      </c>
      <c r="F33" s="414">
        <f>+F19-K19</f>
        <v>283143</v>
      </c>
      <c r="G33" s="393"/>
      <c r="H33" s="394"/>
      <c r="I33" s="1170"/>
      <c r="J33" s="1560"/>
      <c r="K33" s="1568"/>
    </row>
    <row r="34" spans="1:11" s="1" customFormat="1" ht="17.25">
      <c r="A34" s="104">
        <v>29</v>
      </c>
      <c r="B34" s="395"/>
      <c r="C34" s="397" t="s">
        <v>245</v>
      </c>
      <c r="D34" s="414">
        <f>+D31-I29</f>
        <v>-14293174</v>
      </c>
      <c r="E34" s="414">
        <f>+E31-J29</f>
        <v>-15581424</v>
      </c>
      <c r="F34" s="414">
        <f>+F31-K29</f>
        <v>4098593</v>
      </c>
      <c r="G34" s="393"/>
      <c r="H34" s="394"/>
      <c r="I34" s="1170"/>
      <c r="J34" s="1560"/>
      <c r="K34" s="1568"/>
    </row>
    <row r="35" spans="1:11" s="1" customFormat="1" ht="32.25" customHeight="1">
      <c r="A35" s="104">
        <v>30</v>
      </c>
      <c r="B35" s="395"/>
      <c r="C35" s="398" t="s">
        <v>422</v>
      </c>
      <c r="D35" s="414">
        <f>D28+D23</f>
        <v>12883374</v>
      </c>
      <c r="E35" s="414">
        <f>E28+E23</f>
        <v>13993317</v>
      </c>
      <c r="F35" s="414">
        <f>F28+F23</f>
        <v>13993317</v>
      </c>
      <c r="G35" s="393"/>
      <c r="H35" s="394"/>
      <c r="I35" s="1170"/>
      <c r="J35" s="1560"/>
      <c r="K35" s="1568"/>
    </row>
    <row r="36" spans="1:11" s="1" customFormat="1" ht="33.75" customHeight="1">
      <c r="A36" s="104">
        <v>31</v>
      </c>
      <c r="B36" s="399"/>
      <c r="C36" s="400" t="s">
        <v>423</v>
      </c>
      <c r="D36" s="415">
        <f>D26</f>
        <v>1409800</v>
      </c>
      <c r="E36" s="415">
        <f>E26</f>
        <v>1260000</v>
      </c>
      <c r="F36" s="415">
        <f>F26</f>
        <v>645374</v>
      </c>
      <c r="G36" s="401"/>
      <c r="H36" s="402"/>
      <c r="I36" s="1172"/>
      <c r="J36" s="1561"/>
      <c r="K36" s="1570"/>
    </row>
    <row r="37" spans="1:11" ht="19.5" customHeight="1">
      <c r="A37" s="104">
        <v>32</v>
      </c>
      <c r="B37" s="403"/>
      <c r="C37" s="106" t="s">
        <v>246</v>
      </c>
      <c r="D37" s="416">
        <f>(D13+D22+D23+D24)/D30</f>
        <v>0.4287918221001802</v>
      </c>
      <c r="E37" s="416">
        <f>(E13+E22+E23+E24)/E30</f>
        <v>0.4339253495611492</v>
      </c>
      <c r="F37" s="416">
        <f>(F13+F22+F23+F24)/F30</f>
        <v>0.4774949320743984</v>
      </c>
      <c r="G37" s="404"/>
      <c r="H37" s="106" t="s">
        <v>247</v>
      </c>
      <c r="I37" s="1173">
        <f>(I13+I22+I23)/I30</f>
        <v>0.39849147696398224</v>
      </c>
      <c r="J37" s="1173">
        <f>(J13+J22+J23)/J30</f>
        <v>0.35806708840912216</v>
      </c>
      <c r="K37" s="1571">
        <f>(K13+K22+K23)/K30</f>
        <v>0.5978986343415645</v>
      </c>
    </row>
    <row r="38" spans="1:11" ht="19.5" customHeight="1" thickBot="1">
      <c r="A38" s="104">
        <v>33</v>
      </c>
      <c r="B38" s="405"/>
      <c r="C38" s="406" t="s">
        <v>248</v>
      </c>
      <c r="D38" s="417">
        <f>(D19+D26+D27+D28)/D30</f>
        <v>0.5712081778998198</v>
      </c>
      <c r="E38" s="417">
        <f>(E19+E26+E27+E28)/E30</f>
        <v>0.5660746504388509</v>
      </c>
      <c r="F38" s="417">
        <f>(F19+F26+F27+F28)/F30</f>
        <v>0.5225050679256016</v>
      </c>
      <c r="G38" s="407"/>
      <c r="H38" s="406" t="s">
        <v>249</v>
      </c>
      <c r="I38" s="1174">
        <f>(I19+I26+I27)/I30</f>
        <v>0.6015085230360178</v>
      </c>
      <c r="J38" s="1174">
        <f>(J19+J26+J27)/J30</f>
        <v>0.6419329115908778</v>
      </c>
      <c r="K38" s="1572">
        <f>(K19+K26+K27)/K30</f>
        <v>0.40210136565843546</v>
      </c>
    </row>
    <row r="39" ht="16.5">
      <c r="H39" s="106" t="s">
        <v>250</v>
      </c>
    </row>
  </sheetData>
  <sheetProtection/>
  <mergeCells count="2">
    <mergeCell ref="B2:K2"/>
    <mergeCell ref="B3:K3"/>
  </mergeCells>
  <printOptions horizontalCentered="1" verticalCentered="1"/>
  <pageMargins left="0.1968503937007874" right="0.1968503937007874" top="0.1968503937007874" bottom="0.31496062992125984" header="0.11811023622047245" footer="0.11811023622047245"/>
  <pageSetup horizontalDpi="600" verticalDpi="600" orientation="landscape" paperSize="9" scale="60" r:id="rId1"/>
  <headerFooter alignWithMargins="0">
    <oddFooter>&amp;C-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X50"/>
  <sheetViews>
    <sheetView view="pageBreakPreview" zoomScale="75" zoomScaleSheetLayoutView="75" zoomScalePageLayoutView="0" workbookViewId="0" topLeftCell="A1">
      <selection activeCell="B1" sqref="B1"/>
    </sheetView>
  </sheetViews>
  <sheetFormatPr defaultColWidth="10.375" defaultRowHeight="12.75"/>
  <cols>
    <col min="1" max="1" width="3.75390625" style="769" customWidth="1"/>
    <col min="2" max="3" width="5.75390625" style="229" customWidth="1"/>
    <col min="4" max="4" width="51.75390625" style="841" customWidth="1"/>
    <col min="5" max="5" width="19.75390625" style="230" customWidth="1"/>
    <col min="6" max="6" width="3.00390625" style="228" customWidth="1"/>
    <col min="7" max="8" width="13.75390625" style="228" customWidth="1"/>
    <col min="9" max="11" width="12.25390625" style="228" customWidth="1"/>
    <col min="12" max="14" width="13.75390625" style="228" customWidth="1"/>
    <col min="15" max="16" width="15.75390625" style="228" customWidth="1"/>
    <col min="17" max="19" width="12.25390625" style="228" customWidth="1"/>
    <col min="20" max="22" width="13.75390625" style="228" customWidth="1"/>
    <col min="23" max="24" width="15.75390625" style="228" customWidth="1"/>
    <col min="25" max="16384" width="10.375" style="228" customWidth="1"/>
  </cols>
  <sheetData>
    <row r="1" spans="1:23" ht="16.5" customHeight="1">
      <c r="A1" s="1410"/>
      <c r="B1" s="24" t="s">
        <v>1471</v>
      </c>
      <c r="C1" s="24"/>
      <c r="D1" s="24"/>
      <c r="E1" s="24"/>
      <c r="F1" s="24"/>
      <c r="G1" s="24"/>
      <c r="H1" s="2260"/>
      <c r="I1" s="2260"/>
      <c r="J1" s="2260"/>
      <c r="K1" s="2260"/>
      <c r="L1" s="2260"/>
      <c r="M1" s="2260"/>
      <c r="N1" s="2260"/>
      <c r="O1" s="2260"/>
      <c r="P1" s="2260"/>
      <c r="Q1" s="2260"/>
      <c r="R1" s="2260"/>
      <c r="S1" s="2260"/>
      <c r="T1" s="2260"/>
      <c r="U1" s="2260"/>
      <c r="V1" s="2260"/>
      <c r="W1" s="2260"/>
    </row>
    <row r="2" spans="2:23" ht="24.75" customHeight="1">
      <c r="B2" s="2261" t="s">
        <v>122</v>
      </c>
      <c r="C2" s="2261"/>
      <c r="D2" s="2261"/>
      <c r="E2" s="2261"/>
      <c r="F2" s="2261"/>
      <c r="G2" s="2261"/>
      <c r="H2" s="2261"/>
      <c r="I2" s="2261"/>
      <c r="J2" s="2261"/>
      <c r="K2" s="2261"/>
      <c r="L2" s="2261"/>
      <c r="M2" s="2261"/>
      <c r="N2" s="2261"/>
      <c r="O2" s="2261"/>
      <c r="P2" s="2261"/>
      <c r="Q2" s="2261"/>
      <c r="R2" s="2261"/>
      <c r="S2" s="2261"/>
      <c r="T2" s="2261"/>
      <c r="U2" s="2261"/>
      <c r="V2" s="2261"/>
      <c r="W2" s="2261"/>
    </row>
    <row r="3" spans="2:23" ht="24.75" customHeight="1">
      <c r="B3" s="2261" t="s">
        <v>389</v>
      </c>
      <c r="C3" s="2261"/>
      <c r="D3" s="2261"/>
      <c r="E3" s="2261"/>
      <c r="F3" s="2261"/>
      <c r="G3" s="2261"/>
      <c r="H3" s="2261"/>
      <c r="I3" s="2261"/>
      <c r="J3" s="2261"/>
      <c r="K3" s="2261"/>
      <c r="L3" s="2261"/>
      <c r="M3" s="2261"/>
      <c r="N3" s="2261"/>
      <c r="O3" s="2261"/>
      <c r="P3" s="2261"/>
      <c r="Q3" s="2261"/>
      <c r="R3" s="2261"/>
      <c r="S3" s="2261"/>
      <c r="T3" s="2261"/>
      <c r="U3" s="2261"/>
      <c r="V3" s="2261"/>
      <c r="W3" s="2261"/>
    </row>
    <row r="4" spans="2:23" ht="24.75" customHeight="1">
      <c r="B4" s="2261" t="s">
        <v>364</v>
      </c>
      <c r="C4" s="2261"/>
      <c r="D4" s="2261"/>
      <c r="E4" s="2261"/>
      <c r="F4" s="2261"/>
      <c r="G4" s="2261"/>
      <c r="H4" s="2261"/>
      <c r="I4" s="2261"/>
      <c r="J4" s="2261"/>
      <c r="K4" s="2261"/>
      <c r="L4" s="2261"/>
      <c r="M4" s="2261"/>
      <c r="N4" s="2261"/>
      <c r="O4" s="2261"/>
      <c r="P4" s="2261"/>
      <c r="Q4" s="2261"/>
      <c r="R4" s="2261"/>
      <c r="S4" s="2261"/>
      <c r="T4" s="2261"/>
      <c r="U4" s="2261"/>
      <c r="V4" s="2261"/>
      <c r="W4" s="2261"/>
    </row>
    <row r="5" spans="1:23" s="768" customFormat="1" ht="15">
      <c r="A5" s="769"/>
      <c r="B5" s="769"/>
      <c r="C5" s="769"/>
      <c r="D5" s="770"/>
      <c r="E5" s="771"/>
      <c r="V5" s="2262" t="s">
        <v>0</v>
      </c>
      <c r="W5" s="2262"/>
    </row>
    <row r="6" spans="2:23" s="769" customFormat="1" ht="15.75" thickBot="1">
      <c r="B6" s="769" t="s">
        <v>762</v>
      </c>
      <c r="C6" s="769" t="s">
        <v>3</v>
      </c>
      <c r="D6" s="842" t="s">
        <v>2</v>
      </c>
      <c r="E6" s="771" t="s">
        <v>4</v>
      </c>
      <c r="G6" s="769" t="s">
        <v>5</v>
      </c>
      <c r="H6" s="769" t="s">
        <v>15</v>
      </c>
      <c r="I6" s="769" t="s">
        <v>16</v>
      </c>
      <c r="J6" s="769" t="s">
        <v>17</v>
      </c>
      <c r="K6" s="769" t="s">
        <v>36</v>
      </c>
      <c r="L6" s="769" t="s">
        <v>30</v>
      </c>
      <c r="M6" s="769" t="s">
        <v>23</v>
      </c>
      <c r="N6" s="769" t="s">
        <v>37</v>
      </c>
      <c r="O6" s="769" t="s">
        <v>38</v>
      </c>
      <c r="Q6" s="769" t="s">
        <v>158</v>
      </c>
      <c r="R6" s="769" t="s">
        <v>159</v>
      </c>
      <c r="S6" s="769" t="s">
        <v>160</v>
      </c>
      <c r="T6" s="843" t="s">
        <v>337</v>
      </c>
      <c r="U6" s="843" t="s">
        <v>551</v>
      </c>
      <c r="V6" s="843" t="s">
        <v>552</v>
      </c>
      <c r="W6" s="843" t="s">
        <v>763</v>
      </c>
    </row>
    <row r="7" spans="1:24" s="231" customFormat="1" ht="24.75" customHeight="1">
      <c r="A7" s="844"/>
      <c r="B7" s="2279" t="s">
        <v>18</v>
      </c>
      <c r="C7" s="2282" t="s">
        <v>19</v>
      </c>
      <c r="D7" s="2285" t="s">
        <v>365</v>
      </c>
      <c r="E7" s="2288" t="s">
        <v>366</v>
      </c>
      <c r="F7" s="845"/>
      <c r="G7" s="2291" t="s">
        <v>380</v>
      </c>
      <c r="H7" s="2291"/>
      <c r="I7" s="2268"/>
      <c r="J7" s="2268"/>
      <c r="K7" s="2268"/>
      <c r="L7" s="2268"/>
      <c r="M7" s="2268"/>
      <c r="N7" s="2268"/>
      <c r="O7" s="2271"/>
      <c r="P7" s="2292" t="s">
        <v>1055</v>
      </c>
      <c r="Q7" s="2267" t="s">
        <v>381</v>
      </c>
      <c r="R7" s="2268"/>
      <c r="S7" s="2268"/>
      <c r="T7" s="2268"/>
      <c r="U7" s="2268"/>
      <c r="V7" s="2268"/>
      <c r="W7" s="2271" t="s">
        <v>557</v>
      </c>
      <c r="X7" s="2263" t="s">
        <v>1066</v>
      </c>
    </row>
    <row r="8" spans="1:24" s="231" customFormat="1" ht="24.75" customHeight="1">
      <c r="A8" s="844"/>
      <c r="B8" s="2280"/>
      <c r="C8" s="2283"/>
      <c r="D8" s="2286"/>
      <c r="E8" s="2289"/>
      <c r="F8" s="846"/>
      <c r="G8" s="2274" t="s">
        <v>367</v>
      </c>
      <c r="H8" s="2276" t="s">
        <v>783</v>
      </c>
      <c r="I8" s="2278" t="s">
        <v>369</v>
      </c>
      <c r="J8" s="2278"/>
      <c r="K8" s="2278"/>
      <c r="L8" s="2278"/>
      <c r="M8" s="2278"/>
      <c r="N8" s="2278"/>
      <c r="O8" s="2272" t="s">
        <v>368</v>
      </c>
      <c r="P8" s="2293"/>
      <c r="Q8" s="2269"/>
      <c r="R8" s="2270"/>
      <c r="S8" s="2270"/>
      <c r="T8" s="2270"/>
      <c r="U8" s="2270"/>
      <c r="V8" s="2270"/>
      <c r="W8" s="2272"/>
      <c r="X8" s="2264"/>
    </row>
    <row r="9" spans="1:24" s="231" customFormat="1" ht="60.75" customHeight="1" thickBot="1">
      <c r="A9" s="844"/>
      <c r="B9" s="2281"/>
      <c r="C9" s="2284"/>
      <c r="D9" s="2287"/>
      <c r="E9" s="2290"/>
      <c r="F9" s="846"/>
      <c r="G9" s="2275"/>
      <c r="H9" s="2277"/>
      <c r="I9" s="282" t="s">
        <v>382</v>
      </c>
      <c r="J9" s="282" t="s">
        <v>485</v>
      </c>
      <c r="K9" s="282" t="s">
        <v>568</v>
      </c>
      <c r="L9" s="282" t="s">
        <v>764</v>
      </c>
      <c r="M9" s="1575" t="s">
        <v>1056</v>
      </c>
      <c r="N9" s="282" t="s">
        <v>600</v>
      </c>
      <c r="O9" s="2273"/>
      <c r="P9" s="2294"/>
      <c r="Q9" s="283" t="s">
        <v>383</v>
      </c>
      <c r="R9" s="284" t="s">
        <v>485</v>
      </c>
      <c r="S9" s="284" t="s">
        <v>568</v>
      </c>
      <c r="T9" s="284" t="s">
        <v>764</v>
      </c>
      <c r="U9" s="1591" t="s">
        <v>599</v>
      </c>
      <c r="V9" s="284" t="s">
        <v>600</v>
      </c>
      <c r="W9" s="2273"/>
      <c r="X9" s="2265"/>
    </row>
    <row r="10" spans="1:24" s="231" customFormat="1" ht="33" customHeight="1">
      <c r="A10" s="847">
        <v>1</v>
      </c>
      <c r="B10" s="848">
        <v>18</v>
      </c>
      <c r="C10" s="849" t="s">
        <v>14</v>
      </c>
      <c r="D10" s="850"/>
      <c r="E10" s="851"/>
      <c r="F10" s="852"/>
      <c r="G10" s="853"/>
      <c r="H10" s="854"/>
      <c r="I10" s="855"/>
      <c r="J10" s="855"/>
      <c r="K10" s="855"/>
      <c r="L10" s="855"/>
      <c r="M10" s="1576"/>
      <c r="N10" s="855"/>
      <c r="O10" s="1584"/>
      <c r="P10" s="1589"/>
      <c r="Q10" s="853"/>
      <c r="R10" s="856"/>
      <c r="S10" s="856"/>
      <c r="T10" s="856"/>
      <c r="U10" s="1592"/>
      <c r="V10" s="856"/>
      <c r="W10" s="1584"/>
      <c r="X10" s="1596"/>
    </row>
    <row r="11" spans="1:24" s="231" customFormat="1" ht="33" customHeight="1">
      <c r="A11" s="857">
        <v>2</v>
      </c>
      <c r="B11" s="858"/>
      <c r="C11" s="859">
        <v>1</v>
      </c>
      <c r="D11" s="860" t="s">
        <v>554</v>
      </c>
      <c r="E11" s="861" t="s">
        <v>765</v>
      </c>
      <c r="F11" s="468"/>
      <c r="G11" s="862">
        <f>+W11-O11-H11</f>
        <v>187554</v>
      </c>
      <c r="H11" s="863"/>
      <c r="I11" s="864"/>
      <c r="J11" s="864"/>
      <c r="K11" s="864"/>
      <c r="L11" s="864">
        <v>917181</v>
      </c>
      <c r="M11" s="1577">
        <v>15000</v>
      </c>
      <c r="N11" s="864"/>
      <c r="O11" s="1585">
        <f>SUM(I11:N11)</f>
        <v>932181</v>
      </c>
      <c r="P11" s="1629">
        <v>15000</v>
      </c>
      <c r="Q11" s="862"/>
      <c r="R11" s="864"/>
      <c r="S11" s="864"/>
      <c r="T11" s="864">
        <v>237</v>
      </c>
      <c r="U11" s="1577">
        <v>1119498</v>
      </c>
      <c r="V11" s="864"/>
      <c r="W11" s="1594">
        <f>SUM(Q11:V11)</f>
        <v>1119735</v>
      </c>
      <c r="X11" s="1636">
        <v>1107093</v>
      </c>
    </row>
    <row r="12" spans="1:24" ht="33" customHeight="1">
      <c r="A12" s="847">
        <v>3</v>
      </c>
      <c r="B12" s="467"/>
      <c r="C12" s="865">
        <v>2</v>
      </c>
      <c r="D12" s="866" t="s">
        <v>464</v>
      </c>
      <c r="E12" s="861" t="s">
        <v>766</v>
      </c>
      <c r="F12" s="233"/>
      <c r="G12" s="867">
        <f aca="true" t="shared" si="0" ref="G12:G39">+W12-O12-H12</f>
        <v>0</v>
      </c>
      <c r="H12" s="868"/>
      <c r="I12" s="864"/>
      <c r="J12" s="864"/>
      <c r="K12" s="864">
        <v>17017</v>
      </c>
      <c r="L12" s="864">
        <v>8958</v>
      </c>
      <c r="M12" s="1578"/>
      <c r="N12" s="864"/>
      <c r="O12" s="1585">
        <f aca="true" t="shared" si="1" ref="O12:O26">SUM(I12:N12)</f>
        <v>25975</v>
      </c>
      <c r="P12" s="1629"/>
      <c r="Q12" s="869"/>
      <c r="R12" s="870"/>
      <c r="S12" s="870">
        <v>12413</v>
      </c>
      <c r="T12" s="870">
        <f>2345+10041</f>
        <v>12386</v>
      </c>
      <c r="U12" s="1577">
        <f>655+482+39</f>
        <v>1176</v>
      </c>
      <c r="V12" s="864"/>
      <c r="W12" s="1594">
        <f aca="true" t="shared" si="2" ref="W12:W39">SUM(Q12:V12)</f>
        <v>25975</v>
      </c>
      <c r="X12" s="1637">
        <v>416</v>
      </c>
    </row>
    <row r="13" spans="1:24" ht="33" customHeight="1">
      <c r="A13" s="847">
        <v>4</v>
      </c>
      <c r="B13" s="467"/>
      <c r="C13" s="865">
        <v>3</v>
      </c>
      <c r="D13" s="860" t="s">
        <v>602</v>
      </c>
      <c r="E13" s="861" t="s">
        <v>765</v>
      </c>
      <c r="F13" s="233"/>
      <c r="G13" s="867">
        <f t="shared" si="0"/>
        <v>59476</v>
      </c>
      <c r="H13" s="868"/>
      <c r="I13" s="864"/>
      <c r="J13" s="864"/>
      <c r="K13" s="864"/>
      <c r="L13" s="864"/>
      <c r="M13" s="1577">
        <v>223100</v>
      </c>
      <c r="N13" s="864"/>
      <c r="O13" s="1585">
        <f t="shared" si="1"/>
        <v>223100</v>
      </c>
      <c r="P13" s="1629">
        <v>223100</v>
      </c>
      <c r="Q13" s="869"/>
      <c r="R13" s="870">
        <v>6699</v>
      </c>
      <c r="S13" s="870"/>
      <c r="T13" s="870"/>
      <c r="U13" s="1577">
        <v>275877</v>
      </c>
      <c r="V13" s="864"/>
      <c r="W13" s="1594">
        <f t="shared" si="2"/>
        <v>282576</v>
      </c>
      <c r="X13" s="1635"/>
    </row>
    <row r="14" spans="1:24" ht="33" customHeight="1">
      <c r="A14" s="857">
        <v>5</v>
      </c>
      <c r="B14" s="467"/>
      <c r="C14" s="865">
        <v>4</v>
      </c>
      <c r="D14" s="860" t="s">
        <v>603</v>
      </c>
      <c r="E14" s="861" t="s">
        <v>766</v>
      </c>
      <c r="F14" s="233"/>
      <c r="G14" s="867">
        <f t="shared" si="0"/>
        <v>5021</v>
      </c>
      <c r="H14" s="868"/>
      <c r="I14" s="864"/>
      <c r="J14" s="864"/>
      <c r="K14" s="864">
        <v>58534</v>
      </c>
      <c r="L14" s="864"/>
      <c r="M14" s="1577">
        <v>3081</v>
      </c>
      <c r="N14" s="864"/>
      <c r="O14" s="1585">
        <f t="shared" si="1"/>
        <v>61615</v>
      </c>
      <c r="P14" s="1629">
        <v>3077</v>
      </c>
      <c r="Q14" s="869"/>
      <c r="R14" s="870"/>
      <c r="S14" s="870">
        <v>143</v>
      </c>
      <c r="T14" s="870">
        <v>64724</v>
      </c>
      <c r="U14" s="1577">
        <v>1769</v>
      </c>
      <c r="V14" s="864"/>
      <c r="W14" s="1594">
        <f t="shared" si="2"/>
        <v>66636</v>
      </c>
      <c r="X14" s="1635"/>
    </row>
    <row r="15" spans="1:24" s="231" customFormat="1" ht="33">
      <c r="A15" s="847">
        <v>6</v>
      </c>
      <c r="B15" s="467"/>
      <c r="C15" s="865">
        <v>5</v>
      </c>
      <c r="D15" s="323" t="s">
        <v>560</v>
      </c>
      <c r="E15" s="861" t="s">
        <v>765</v>
      </c>
      <c r="F15" s="468"/>
      <c r="G15" s="867">
        <f t="shared" si="0"/>
        <v>41474</v>
      </c>
      <c r="H15" s="868"/>
      <c r="I15" s="864"/>
      <c r="J15" s="864"/>
      <c r="K15" s="864"/>
      <c r="L15" s="864">
        <v>134273</v>
      </c>
      <c r="M15" s="1577">
        <v>0</v>
      </c>
      <c r="N15" s="864"/>
      <c r="O15" s="1585">
        <f t="shared" si="1"/>
        <v>134273</v>
      </c>
      <c r="P15" s="1629"/>
      <c r="Q15" s="862">
        <v>2921</v>
      </c>
      <c r="R15" s="864">
        <v>3620</v>
      </c>
      <c r="S15" s="864"/>
      <c r="T15" s="864"/>
      <c r="U15" s="1577">
        <f>165956+3250</f>
        <v>169206</v>
      </c>
      <c r="V15" s="864"/>
      <c r="W15" s="1594">
        <f t="shared" si="2"/>
        <v>175747</v>
      </c>
      <c r="X15" s="1636">
        <v>40</v>
      </c>
    </row>
    <row r="16" spans="1:24" ht="33" customHeight="1">
      <c r="A16" s="847">
        <v>7</v>
      </c>
      <c r="B16" s="467"/>
      <c r="C16" s="865">
        <v>6</v>
      </c>
      <c r="D16" s="860" t="s">
        <v>605</v>
      </c>
      <c r="E16" s="861" t="s">
        <v>767</v>
      </c>
      <c r="F16" s="233"/>
      <c r="G16" s="867">
        <f t="shared" si="0"/>
        <v>28154</v>
      </c>
      <c r="H16" s="868"/>
      <c r="I16" s="864"/>
      <c r="J16" s="864"/>
      <c r="K16" s="864"/>
      <c r="L16" s="864">
        <v>19069</v>
      </c>
      <c r="M16" s="1577">
        <f>20344-2775</f>
        <v>17569</v>
      </c>
      <c r="N16" s="864"/>
      <c r="O16" s="1585">
        <f t="shared" si="1"/>
        <v>36638</v>
      </c>
      <c r="P16" s="1629"/>
      <c r="Q16" s="862"/>
      <c r="R16" s="864"/>
      <c r="S16" s="864">
        <v>1956</v>
      </c>
      <c r="T16" s="864"/>
      <c r="U16" s="1577">
        <f>48836+14000</f>
        <v>62836</v>
      </c>
      <c r="V16" s="864"/>
      <c r="W16" s="1594">
        <f t="shared" si="2"/>
        <v>64792</v>
      </c>
      <c r="X16" s="1635"/>
    </row>
    <row r="17" spans="1:24" ht="33" customHeight="1">
      <c r="A17" s="857">
        <v>8</v>
      </c>
      <c r="B17" s="467"/>
      <c r="C17" s="865">
        <v>7</v>
      </c>
      <c r="D17" s="860" t="s">
        <v>606</v>
      </c>
      <c r="E17" s="861" t="s">
        <v>767</v>
      </c>
      <c r="F17" s="233"/>
      <c r="G17" s="867">
        <f>+W17-O17-H17</f>
        <v>25517</v>
      </c>
      <c r="H17" s="868"/>
      <c r="I17" s="864"/>
      <c r="J17" s="864"/>
      <c r="K17" s="864"/>
      <c r="L17" s="864">
        <v>27673</v>
      </c>
      <c r="M17" s="1577">
        <f>25819</f>
        <v>25819</v>
      </c>
      <c r="N17" s="864"/>
      <c r="O17" s="1585">
        <f t="shared" si="1"/>
        <v>53492</v>
      </c>
      <c r="P17" s="1629"/>
      <c r="Q17" s="862"/>
      <c r="R17" s="864"/>
      <c r="S17" s="864">
        <v>2459</v>
      </c>
      <c r="T17" s="864"/>
      <c r="U17" s="1577">
        <f>90550-14000</f>
        <v>76550</v>
      </c>
      <c r="V17" s="864"/>
      <c r="W17" s="1594">
        <f t="shared" si="2"/>
        <v>79009</v>
      </c>
      <c r="X17" s="1638">
        <v>140</v>
      </c>
    </row>
    <row r="18" spans="1:24" ht="33" customHeight="1">
      <c r="A18" s="847">
        <v>9</v>
      </c>
      <c r="B18" s="467"/>
      <c r="C18" s="865">
        <v>8</v>
      </c>
      <c r="D18" s="860" t="s">
        <v>768</v>
      </c>
      <c r="E18" s="861" t="s">
        <v>766</v>
      </c>
      <c r="F18" s="233"/>
      <c r="G18" s="867">
        <f t="shared" si="0"/>
        <v>1320</v>
      </c>
      <c r="H18" s="1590"/>
      <c r="I18" s="864"/>
      <c r="J18" s="864"/>
      <c r="K18" s="864">
        <v>71352</v>
      </c>
      <c r="L18" s="864"/>
      <c r="M18" s="1577">
        <v>-45</v>
      </c>
      <c r="N18" s="864"/>
      <c r="O18" s="1585">
        <f>SUM(I18:N18)</f>
        <v>71307</v>
      </c>
      <c r="P18" s="1629"/>
      <c r="Q18" s="869"/>
      <c r="R18" s="870"/>
      <c r="S18" s="870">
        <v>4926</v>
      </c>
      <c r="T18" s="870">
        <v>67701</v>
      </c>
      <c r="U18" s="1577"/>
      <c r="V18" s="864"/>
      <c r="W18" s="1594">
        <f t="shared" si="2"/>
        <v>72627</v>
      </c>
      <c r="X18" s="1635"/>
    </row>
    <row r="19" spans="1:24" s="231" customFormat="1" ht="66">
      <c r="A19" s="847">
        <v>10</v>
      </c>
      <c r="B19" s="467"/>
      <c r="C19" s="865">
        <v>9</v>
      </c>
      <c r="D19" s="860" t="s">
        <v>561</v>
      </c>
      <c r="E19" s="861" t="s">
        <v>765</v>
      </c>
      <c r="F19" s="468"/>
      <c r="G19" s="867">
        <f>+W19-O19-H19</f>
        <v>3810</v>
      </c>
      <c r="H19" s="868"/>
      <c r="I19" s="864"/>
      <c r="J19" s="864"/>
      <c r="K19" s="864"/>
      <c r="L19" s="864">
        <v>87086</v>
      </c>
      <c r="M19" s="1577">
        <v>-87086</v>
      </c>
      <c r="N19" s="864"/>
      <c r="O19" s="1585">
        <f t="shared" si="1"/>
        <v>0</v>
      </c>
      <c r="P19" s="1629"/>
      <c r="Q19" s="862"/>
      <c r="R19" s="864"/>
      <c r="S19" s="864">
        <f>4834-1024</f>
        <v>3810</v>
      </c>
      <c r="T19" s="864">
        <f>40-40</f>
        <v>0</v>
      </c>
      <c r="U19" s="1577">
        <f>195772-195772</f>
        <v>0</v>
      </c>
      <c r="V19" s="864"/>
      <c r="W19" s="1594">
        <f t="shared" si="2"/>
        <v>3810</v>
      </c>
      <c r="X19" s="1634"/>
    </row>
    <row r="20" spans="1:24" s="231" customFormat="1" ht="66">
      <c r="A20" s="857">
        <v>11</v>
      </c>
      <c r="B20" s="467"/>
      <c r="C20" s="865">
        <v>10</v>
      </c>
      <c r="D20" s="323" t="s">
        <v>848</v>
      </c>
      <c r="E20" s="861" t="s">
        <v>849</v>
      </c>
      <c r="F20" s="468"/>
      <c r="G20" s="867">
        <f>+W20-O20-H20</f>
        <v>750</v>
      </c>
      <c r="H20" s="868"/>
      <c r="I20" s="864"/>
      <c r="J20" s="864"/>
      <c r="K20" s="864"/>
      <c r="L20" s="864"/>
      <c r="M20" s="1577">
        <v>307086</v>
      </c>
      <c r="N20" s="864"/>
      <c r="O20" s="1585">
        <f t="shared" si="1"/>
        <v>307086</v>
      </c>
      <c r="P20" s="1629">
        <v>307086</v>
      </c>
      <c r="Q20" s="862"/>
      <c r="R20" s="864"/>
      <c r="S20" s="864">
        <f>984+40</f>
        <v>1024</v>
      </c>
      <c r="T20" s="864">
        <v>40</v>
      </c>
      <c r="U20" s="1577">
        <f>307086-1064+750</f>
        <v>306772</v>
      </c>
      <c r="V20" s="864"/>
      <c r="W20" s="1594">
        <f t="shared" si="2"/>
        <v>307836</v>
      </c>
      <c r="X20" s="1636">
        <v>908</v>
      </c>
    </row>
    <row r="21" spans="1:24" ht="33" customHeight="1">
      <c r="A21" s="847">
        <v>12</v>
      </c>
      <c r="B21" s="467"/>
      <c r="C21" s="865">
        <v>11</v>
      </c>
      <c r="D21" s="860" t="s">
        <v>604</v>
      </c>
      <c r="E21" s="861" t="s">
        <v>765</v>
      </c>
      <c r="F21" s="233"/>
      <c r="G21" s="867">
        <f t="shared" si="0"/>
        <v>161006</v>
      </c>
      <c r="H21" s="868"/>
      <c r="I21" s="864"/>
      <c r="J21" s="864"/>
      <c r="K21" s="864"/>
      <c r="L21" s="864">
        <v>173975</v>
      </c>
      <c r="M21" s="1577">
        <v>0</v>
      </c>
      <c r="N21" s="864"/>
      <c r="O21" s="1585">
        <f t="shared" si="1"/>
        <v>173975</v>
      </c>
      <c r="P21" s="1629"/>
      <c r="Q21" s="862"/>
      <c r="R21" s="864"/>
      <c r="S21" s="864">
        <v>6401</v>
      </c>
      <c r="T21" s="864">
        <v>100</v>
      </c>
      <c r="U21" s="1577">
        <v>328480</v>
      </c>
      <c r="V21" s="864"/>
      <c r="W21" s="1594">
        <f t="shared" si="2"/>
        <v>334981</v>
      </c>
      <c r="X21" s="1638">
        <v>128</v>
      </c>
    </row>
    <row r="22" spans="1:24" ht="33" customHeight="1">
      <c r="A22" s="847">
        <v>13</v>
      </c>
      <c r="B22" s="467"/>
      <c r="C22" s="865">
        <v>12</v>
      </c>
      <c r="D22" s="860" t="s">
        <v>607</v>
      </c>
      <c r="E22" s="861" t="s">
        <v>769</v>
      </c>
      <c r="F22" s="233"/>
      <c r="G22" s="867">
        <f t="shared" si="0"/>
        <v>397000</v>
      </c>
      <c r="H22" s="868"/>
      <c r="I22" s="864"/>
      <c r="J22" s="864"/>
      <c r="K22" s="864">
        <v>2092161</v>
      </c>
      <c r="L22" s="864"/>
      <c r="M22" s="1577">
        <v>1107839</v>
      </c>
      <c r="N22" s="864"/>
      <c r="O22" s="1585">
        <f t="shared" si="1"/>
        <v>3200000</v>
      </c>
      <c r="P22" s="1629">
        <v>500000</v>
      </c>
      <c r="Q22" s="862">
        <v>40063</v>
      </c>
      <c r="R22" s="864">
        <v>83854</v>
      </c>
      <c r="S22" s="864">
        <v>327034</v>
      </c>
      <c r="T22" s="864">
        <v>1231269</v>
      </c>
      <c r="U22" s="1577">
        <v>1914780</v>
      </c>
      <c r="V22" s="864"/>
      <c r="W22" s="1594">
        <f t="shared" si="2"/>
        <v>3597000</v>
      </c>
      <c r="X22" s="1638">
        <v>1173643</v>
      </c>
    </row>
    <row r="23" spans="1:24" ht="51" customHeight="1">
      <c r="A23" s="857">
        <v>14</v>
      </c>
      <c r="B23" s="467"/>
      <c r="C23" s="865">
        <v>13</v>
      </c>
      <c r="D23" s="860" t="s">
        <v>839</v>
      </c>
      <c r="E23" s="861" t="s">
        <v>770</v>
      </c>
      <c r="F23" s="233"/>
      <c r="G23" s="867">
        <f t="shared" si="0"/>
        <v>0</v>
      </c>
      <c r="H23" s="868"/>
      <c r="I23" s="864"/>
      <c r="J23" s="864"/>
      <c r="K23" s="864">
        <v>19671</v>
      </c>
      <c r="L23" s="864"/>
      <c r="M23" s="1577">
        <f>12000+208329</f>
        <v>220329</v>
      </c>
      <c r="N23" s="864"/>
      <c r="O23" s="1585">
        <f t="shared" si="1"/>
        <v>240000</v>
      </c>
      <c r="P23" s="1629"/>
      <c r="Q23" s="862"/>
      <c r="R23" s="864"/>
      <c r="S23" s="864">
        <v>9749</v>
      </c>
      <c r="T23" s="864">
        <v>3835</v>
      </c>
      <c r="U23" s="1577">
        <f>220416+6000</f>
        <v>226416</v>
      </c>
      <c r="V23" s="864"/>
      <c r="W23" s="1594">
        <f t="shared" si="2"/>
        <v>240000</v>
      </c>
      <c r="X23" s="1638">
        <v>7697</v>
      </c>
    </row>
    <row r="24" spans="1:24" s="231" customFormat="1" ht="33">
      <c r="A24" s="847">
        <v>15</v>
      </c>
      <c r="B24" s="467"/>
      <c r="C24" s="865">
        <v>14</v>
      </c>
      <c r="D24" s="860" t="s">
        <v>608</v>
      </c>
      <c r="E24" s="861" t="s">
        <v>771</v>
      </c>
      <c r="F24" s="468"/>
      <c r="G24" s="867">
        <f t="shared" si="0"/>
        <v>0</v>
      </c>
      <c r="H24" s="868"/>
      <c r="I24" s="864"/>
      <c r="J24" s="864"/>
      <c r="K24" s="864"/>
      <c r="L24" s="864">
        <v>480600</v>
      </c>
      <c r="M24" s="1577">
        <v>21000</v>
      </c>
      <c r="N24" s="864"/>
      <c r="O24" s="1585">
        <f t="shared" si="1"/>
        <v>501600</v>
      </c>
      <c r="P24" s="1629"/>
      <c r="Q24" s="862"/>
      <c r="R24" s="864"/>
      <c r="S24" s="864">
        <v>326</v>
      </c>
      <c r="T24" s="864">
        <v>17127</v>
      </c>
      <c r="U24" s="1577">
        <f>472147+12000</f>
        <v>484147</v>
      </c>
      <c r="V24" s="864"/>
      <c r="W24" s="1594">
        <f t="shared" si="2"/>
        <v>501600</v>
      </c>
      <c r="X24" s="1636">
        <v>3982</v>
      </c>
    </row>
    <row r="25" spans="1:24" s="231" customFormat="1" ht="55.5" customHeight="1">
      <c r="A25" s="847">
        <v>16</v>
      </c>
      <c r="B25" s="467"/>
      <c r="C25" s="865">
        <v>15</v>
      </c>
      <c r="D25" s="860" t="s">
        <v>493</v>
      </c>
      <c r="E25" s="861" t="s">
        <v>772</v>
      </c>
      <c r="F25" s="468"/>
      <c r="G25" s="867">
        <f>+W25-O25-H25</f>
        <v>143176</v>
      </c>
      <c r="H25" s="868"/>
      <c r="I25" s="864">
        <v>977327</v>
      </c>
      <c r="J25" s="864"/>
      <c r="K25" s="864"/>
      <c r="L25" s="864"/>
      <c r="M25" s="1577">
        <v>27091</v>
      </c>
      <c r="N25" s="864"/>
      <c r="O25" s="1585">
        <f t="shared" si="1"/>
        <v>1004418</v>
      </c>
      <c r="P25" s="1629">
        <v>27091</v>
      </c>
      <c r="Q25" s="862">
        <v>25062</v>
      </c>
      <c r="R25" s="864">
        <v>32060</v>
      </c>
      <c r="S25" s="864">
        <v>393153</v>
      </c>
      <c r="T25" s="864">
        <f>688437</f>
        <v>688437</v>
      </c>
      <c r="U25" s="1577">
        <f>8968-86</f>
        <v>8882</v>
      </c>
      <c r="V25" s="864"/>
      <c r="W25" s="1594">
        <f>SUM(Q25:V25)</f>
        <v>1147594</v>
      </c>
      <c r="X25" s="1636">
        <v>260</v>
      </c>
    </row>
    <row r="26" spans="1:24" s="231" customFormat="1" ht="55.5" customHeight="1">
      <c r="A26" s="857">
        <v>17</v>
      </c>
      <c r="B26" s="467"/>
      <c r="C26" s="865">
        <v>16</v>
      </c>
      <c r="D26" s="860" t="s">
        <v>1012</v>
      </c>
      <c r="E26" s="861" t="s">
        <v>773</v>
      </c>
      <c r="F26" s="468"/>
      <c r="G26" s="867">
        <f>+W26-O26-H26</f>
        <v>0</v>
      </c>
      <c r="H26" s="868"/>
      <c r="I26" s="864"/>
      <c r="J26" s="864"/>
      <c r="K26" s="864"/>
      <c r="L26" s="864"/>
      <c r="M26" s="1577">
        <v>906000</v>
      </c>
      <c r="N26" s="864"/>
      <c r="O26" s="1585">
        <f t="shared" si="1"/>
        <v>906000</v>
      </c>
      <c r="P26" s="1629"/>
      <c r="Q26" s="862"/>
      <c r="R26" s="864"/>
      <c r="S26" s="864"/>
      <c r="T26" s="864"/>
      <c r="U26" s="1577">
        <v>906000</v>
      </c>
      <c r="V26" s="864"/>
      <c r="W26" s="1594">
        <f>SUM(Q26:V26)</f>
        <v>906000</v>
      </c>
      <c r="X26" s="1636">
        <v>5906</v>
      </c>
    </row>
    <row r="27" spans="1:24" ht="34.5" customHeight="1">
      <c r="A27" s="847">
        <v>18</v>
      </c>
      <c r="B27" s="467"/>
      <c r="C27" s="865">
        <v>17</v>
      </c>
      <c r="D27" s="860" t="s">
        <v>461</v>
      </c>
      <c r="E27" s="861" t="s">
        <v>766</v>
      </c>
      <c r="F27" s="233"/>
      <c r="G27" s="867">
        <f t="shared" si="0"/>
        <v>62406</v>
      </c>
      <c r="H27" s="868"/>
      <c r="I27" s="864"/>
      <c r="J27" s="864"/>
      <c r="K27" s="864">
        <v>227554</v>
      </c>
      <c r="L27" s="864"/>
      <c r="M27" s="1577">
        <v>10916</v>
      </c>
      <c r="N27" s="864"/>
      <c r="O27" s="1585">
        <f aca="true" t="shared" si="3" ref="O27:O39">SUM(I27:N27)</f>
        <v>238470</v>
      </c>
      <c r="P27" s="1629">
        <v>10916</v>
      </c>
      <c r="Q27" s="862"/>
      <c r="R27" s="864"/>
      <c r="S27" s="864">
        <v>4460</v>
      </c>
      <c r="T27" s="870">
        <v>267453</v>
      </c>
      <c r="U27" s="1577">
        <f>23001+5962</f>
        <v>28963</v>
      </c>
      <c r="V27" s="864"/>
      <c r="W27" s="1594">
        <f t="shared" si="2"/>
        <v>300876</v>
      </c>
      <c r="X27" s="1637"/>
    </row>
    <row r="28" spans="1:24" s="231" customFormat="1" ht="33">
      <c r="A28" s="847">
        <v>19</v>
      </c>
      <c r="B28" s="467"/>
      <c r="C28" s="865">
        <v>18</v>
      </c>
      <c r="D28" s="323" t="s">
        <v>559</v>
      </c>
      <c r="E28" s="861" t="s">
        <v>765</v>
      </c>
      <c r="F28" s="468"/>
      <c r="G28" s="867">
        <f t="shared" si="0"/>
        <v>33060</v>
      </c>
      <c r="H28" s="868"/>
      <c r="I28" s="864"/>
      <c r="J28" s="864"/>
      <c r="K28" s="864"/>
      <c r="L28" s="864">
        <v>788115</v>
      </c>
      <c r="M28" s="1577">
        <f>41400-41400-788115</f>
        <v>-788115</v>
      </c>
      <c r="N28" s="864"/>
      <c r="O28" s="1585">
        <f t="shared" si="3"/>
        <v>0</v>
      </c>
      <c r="P28" s="1629"/>
      <c r="Q28" s="862"/>
      <c r="R28" s="864"/>
      <c r="S28" s="864">
        <v>6414</v>
      </c>
      <c r="T28" s="864">
        <v>26646</v>
      </c>
      <c r="U28" s="1577">
        <f>782603+13852-13852-10750-771853</f>
        <v>0</v>
      </c>
      <c r="V28" s="864"/>
      <c r="W28" s="1594">
        <f t="shared" si="2"/>
        <v>33060</v>
      </c>
      <c r="X28" s="1636"/>
    </row>
    <row r="29" spans="1:24" ht="33" customHeight="1">
      <c r="A29" s="857">
        <v>20</v>
      </c>
      <c r="B29" s="467"/>
      <c r="C29" s="865">
        <v>19</v>
      </c>
      <c r="D29" s="871" t="s">
        <v>576</v>
      </c>
      <c r="E29" s="861" t="s">
        <v>773</v>
      </c>
      <c r="F29" s="233"/>
      <c r="G29" s="867">
        <f t="shared" si="0"/>
        <v>96381</v>
      </c>
      <c r="H29" s="868"/>
      <c r="I29" s="864"/>
      <c r="J29" s="864"/>
      <c r="K29" s="864"/>
      <c r="L29" s="864">
        <v>1544000</v>
      </c>
      <c r="M29" s="1577">
        <f>76000-76000-1544000</f>
        <v>-1544000</v>
      </c>
      <c r="N29" s="864"/>
      <c r="O29" s="1585">
        <f t="shared" si="3"/>
        <v>0</v>
      </c>
      <c r="P29" s="1629"/>
      <c r="Q29" s="862"/>
      <c r="R29" s="864"/>
      <c r="S29" s="864">
        <v>16599</v>
      </c>
      <c r="T29" s="864">
        <v>79782</v>
      </c>
      <c r="U29" s="1577">
        <f>1561731+22278-1561731-22278</f>
        <v>0</v>
      </c>
      <c r="V29" s="864"/>
      <c r="W29" s="1594">
        <f t="shared" si="2"/>
        <v>96381</v>
      </c>
      <c r="X29" s="1637"/>
    </row>
    <row r="30" spans="1:24" ht="33" customHeight="1">
      <c r="A30" s="847">
        <v>21</v>
      </c>
      <c r="B30" s="467"/>
      <c r="C30" s="865">
        <v>20</v>
      </c>
      <c r="D30" s="860" t="s">
        <v>533</v>
      </c>
      <c r="E30" s="861" t="s">
        <v>771</v>
      </c>
      <c r="F30" s="233"/>
      <c r="G30" s="872">
        <f>+W30-O30-H30</f>
        <v>0</v>
      </c>
      <c r="H30" s="873">
        <v>277946</v>
      </c>
      <c r="I30" s="864"/>
      <c r="J30" s="864"/>
      <c r="K30" s="864">
        <v>558299</v>
      </c>
      <c r="L30" s="864"/>
      <c r="M30" s="1577">
        <v>793085</v>
      </c>
      <c r="N30" s="864"/>
      <c r="O30" s="1585">
        <f>SUM(I30:N30)</f>
        <v>1351384</v>
      </c>
      <c r="P30" s="1629"/>
      <c r="Q30" s="869"/>
      <c r="R30" s="870"/>
      <c r="S30" s="870">
        <v>28000</v>
      </c>
      <c r="T30" s="870">
        <v>26441</v>
      </c>
      <c r="U30" s="1577">
        <v>1574889</v>
      </c>
      <c r="V30" s="864"/>
      <c r="W30" s="1594">
        <f t="shared" si="2"/>
        <v>1629330</v>
      </c>
      <c r="X30" s="1637">
        <v>46228</v>
      </c>
    </row>
    <row r="31" spans="1:24" ht="33" customHeight="1">
      <c r="A31" s="847">
        <v>22</v>
      </c>
      <c r="B31" s="467"/>
      <c r="C31" s="865">
        <v>21</v>
      </c>
      <c r="D31" s="860" t="s">
        <v>609</v>
      </c>
      <c r="E31" s="947" t="s">
        <v>767</v>
      </c>
      <c r="F31" s="233"/>
      <c r="G31" s="867">
        <f t="shared" si="0"/>
        <v>0</v>
      </c>
      <c r="H31" s="868"/>
      <c r="I31" s="864"/>
      <c r="J31" s="864"/>
      <c r="K31" s="864"/>
      <c r="L31" s="870">
        <v>815</v>
      </c>
      <c r="M31" s="1577">
        <f>3977-3977</f>
        <v>0</v>
      </c>
      <c r="N31" s="864"/>
      <c r="O31" s="1585">
        <f t="shared" si="3"/>
        <v>815</v>
      </c>
      <c r="P31" s="1629"/>
      <c r="Q31" s="869"/>
      <c r="R31" s="870"/>
      <c r="S31" s="870"/>
      <c r="T31" s="870"/>
      <c r="U31" s="1577">
        <f>4792-3977</f>
        <v>815</v>
      </c>
      <c r="V31" s="864"/>
      <c r="W31" s="1594">
        <f t="shared" si="2"/>
        <v>815</v>
      </c>
      <c r="X31" s="1637">
        <v>815</v>
      </c>
    </row>
    <row r="32" spans="1:24" ht="49.5">
      <c r="A32" s="857">
        <v>23</v>
      </c>
      <c r="B32" s="467"/>
      <c r="C32" s="865">
        <v>22</v>
      </c>
      <c r="D32" s="874" t="s">
        <v>610</v>
      </c>
      <c r="E32" s="861" t="s">
        <v>773</v>
      </c>
      <c r="F32" s="233"/>
      <c r="G32" s="867">
        <f t="shared" si="0"/>
        <v>12126</v>
      </c>
      <c r="H32" s="868"/>
      <c r="I32" s="864"/>
      <c r="J32" s="864"/>
      <c r="K32" s="864"/>
      <c r="L32" s="864">
        <v>243150</v>
      </c>
      <c r="M32" s="1577">
        <v>11850</v>
      </c>
      <c r="N32" s="864"/>
      <c r="O32" s="1585">
        <f t="shared" si="3"/>
        <v>255000</v>
      </c>
      <c r="P32" s="1629"/>
      <c r="Q32" s="862"/>
      <c r="R32" s="864"/>
      <c r="S32" s="864">
        <v>4379</v>
      </c>
      <c r="T32" s="864">
        <v>12827</v>
      </c>
      <c r="U32" s="1577">
        <v>249920</v>
      </c>
      <c r="V32" s="864"/>
      <c r="W32" s="1594">
        <f t="shared" si="2"/>
        <v>267126</v>
      </c>
      <c r="X32" s="1637"/>
    </row>
    <row r="33" spans="1:24" ht="33" customHeight="1">
      <c r="A33" s="847">
        <v>24</v>
      </c>
      <c r="B33" s="467"/>
      <c r="C33" s="865">
        <v>23</v>
      </c>
      <c r="D33" s="866" t="s">
        <v>761</v>
      </c>
      <c r="E33" s="861" t="s">
        <v>774</v>
      </c>
      <c r="F33" s="233"/>
      <c r="G33" s="867">
        <f t="shared" si="0"/>
        <v>0</v>
      </c>
      <c r="H33" s="868"/>
      <c r="I33" s="864"/>
      <c r="J33" s="864"/>
      <c r="K33" s="864"/>
      <c r="L33" s="864">
        <f>23652+14397</f>
        <v>38049</v>
      </c>
      <c r="M33" s="1577">
        <f>31805+70955+43191</f>
        <v>145951</v>
      </c>
      <c r="N33" s="864"/>
      <c r="O33" s="1585">
        <f t="shared" si="3"/>
        <v>184000</v>
      </c>
      <c r="P33" s="1629">
        <f>29993+6342+15185</f>
        <v>51520</v>
      </c>
      <c r="Q33" s="862"/>
      <c r="R33" s="864"/>
      <c r="S33" s="864">
        <v>9200</v>
      </c>
      <c r="T33" s="864">
        <f>3350+5228+2097</f>
        <v>10675</v>
      </c>
      <c r="U33" s="1577">
        <f>19255+89379+55491</f>
        <v>164125</v>
      </c>
      <c r="V33" s="864"/>
      <c r="W33" s="1594">
        <f t="shared" si="2"/>
        <v>184000</v>
      </c>
      <c r="X33" s="1637">
        <f>5801+13739</f>
        <v>19540</v>
      </c>
    </row>
    <row r="34" spans="1:24" ht="49.5">
      <c r="A34" s="847">
        <v>25</v>
      </c>
      <c r="B34" s="467"/>
      <c r="C34" s="865">
        <v>24</v>
      </c>
      <c r="D34" s="860" t="s">
        <v>491</v>
      </c>
      <c r="E34" s="861" t="s">
        <v>771</v>
      </c>
      <c r="F34" s="233"/>
      <c r="G34" s="867">
        <f t="shared" si="0"/>
        <v>695</v>
      </c>
      <c r="H34" s="868"/>
      <c r="I34" s="864"/>
      <c r="J34" s="864"/>
      <c r="K34" s="864">
        <v>24175</v>
      </c>
      <c r="L34" s="864"/>
      <c r="M34" s="1577">
        <f>24175+2010</f>
        <v>26185</v>
      </c>
      <c r="N34" s="864"/>
      <c r="O34" s="1585">
        <f t="shared" si="3"/>
        <v>50360</v>
      </c>
      <c r="P34" s="1629">
        <v>26185</v>
      </c>
      <c r="Q34" s="869"/>
      <c r="R34" s="870"/>
      <c r="S34" s="870">
        <v>1176</v>
      </c>
      <c r="T34" s="870">
        <v>23808</v>
      </c>
      <c r="U34" s="1577">
        <f>24004+62-5+2010</f>
        <v>26071</v>
      </c>
      <c r="V34" s="864"/>
      <c r="W34" s="1594">
        <f t="shared" si="2"/>
        <v>51055</v>
      </c>
      <c r="X34" s="1637">
        <v>8922</v>
      </c>
    </row>
    <row r="35" spans="1:24" ht="33" customHeight="1">
      <c r="A35" s="857">
        <v>26</v>
      </c>
      <c r="B35" s="467"/>
      <c r="C35" s="865">
        <v>25</v>
      </c>
      <c r="D35" s="860" t="s">
        <v>601</v>
      </c>
      <c r="E35" s="861" t="s">
        <v>766</v>
      </c>
      <c r="F35" s="233"/>
      <c r="G35" s="867">
        <f t="shared" si="0"/>
        <v>0</v>
      </c>
      <c r="H35" s="868"/>
      <c r="I35" s="864"/>
      <c r="J35" s="864"/>
      <c r="K35" s="864">
        <v>9031</v>
      </c>
      <c r="L35" s="864">
        <v>8</v>
      </c>
      <c r="M35" s="1577">
        <v>0</v>
      </c>
      <c r="N35" s="864"/>
      <c r="O35" s="1585">
        <f t="shared" si="3"/>
        <v>9039</v>
      </c>
      <c r="P35" s="1629"/>
      <c r="Q35" s="862"/>
      <c r="R35" s="864"/>
      <c r="S35" s="864">
        <v>7830</v>
      </c>
      <c r="T35" s="864">
        <v>186</v>
      </c>
      <c r="U35" s="1577">
        <v>1023</v>
      </c>
      <c r="V35" s="864"/>
      <c r="W35" s="1594">
        <f t="shared" si="2"/>
        <v>9039</v>
      </c>
      <c r="X35" s="1637">
        <v>878</v>
      </c>
    </row>
    <row r="36" spans="1:24" ht="33" customHeight="1">
      <c r="A36" s="847">
        <v>27</v>
      </c>
      <c r="B36" s="467"/>
      <c r="C36" s="865">
        <v>26</v>
      </c>
      <c r="D36" s="860" t="s">
        <v>775</v>
      </c>
      <c r="E36" s="861" t="s">
        <v>773</v>
      </c>
      <c r="F36" s="233"/>
      <c r="G36" s="867">
        <f t="shared" si="0"/>
        <v>11302</v>
      </c>
      <c r="H36" s="868"/>
      <c r="I36" s="864"/>
      <c r="J36" s="864"/>
      <c r="K36" s="864"/>
      <c r="L36" s="864"/>
      <c r="M36" s="1577">
        <f>11175+5830</f>
        <v>17005</v>
      </c>
      <c r="N36" s="864"/>
      <c r="O36" s="1585">
        <f t="shared" si="3"/>
        <v>17005</v>
      </c>
      <c r="P36" s="1629">
        <v>4371</v>
      </c>
      <c r="Q36" s="862"/>
      <c r="R36" s="864"/>
      <c r="S36" s="864"/>
      <c r="T36" s="864">
        <v>8399</v>
      </c>
      <c r="U36" s="1577">
        <f>19581+327</f>
        <v>19908</v>
      </c>
      <c r="V36" s="864"/>
      <c r="W36" s="1594">
        <f t="shared" si="2"/>
        <v>28307</v>
      </c>
      <c r="X36" s="1637">
        <v>5041</v>
      </c>
    </row>
    <row r="37" spans="1:24" ht="49.5">
      <c r="A37" s="847">
        <v>28</v>
      </c>
      <c r="B37" s="467"/>
      <c r="C37" s="865">
        <v>27</v>
      </c>
      <c r="D37" s="860" t="s">
        <v>776</v>
      </c>
      <c r="E37" s="861" t="s">
        <v>777</v>
      </c>
      <c r="F37" s="233"/>
      <c r="G37" s="867">
        <f t="shared" si="0"/>
        <v>220</v>
      </c>
      <c r="H37" s="868"/>
      <c r="I37" s="864"/>
      <c r="J37" s="864">
        <v>9000</v>
      </c>
      <c r="K37" s="864">
        <v>-2700</v>
      </c>
      <c r="L37" s="864"/>
      <c r="M37" s="1577">
        <v>-325</v>
      </c>
      <c r="N37" s="864"/>
      <c r="O37" s="1585">
        <f t="shared" si="3"/>
        <v>5975</v>
      </c>
      <c r="P37" s="1629"/>
      <c r="Q37" s="862"/>
      <c r="R37" s="864"/>
      <c r="S37" s="864">
        <v>1582</v>
      </c>
      <c r="T37" s="864">
        <v>4613</v>
      </c>
      <c r="U37" s="1577">
        <f>239-239</f>
        <v>0</v>
      </c>
      <c r="V37" s="864"/>
      <c r="W37" s="1594">
        <f t="shared" si="2"/>
        <v>6195</v>
      </c>
      <c r="X37" s="1637"/>
    </row>
    <row r="38" spans="1:24" ht="33" customHeight="1">
      <c r="A38" s="857">
        <v>29</v>
      </c>
      <c r="B38" s="1240"/>
      <c r="C38" s="865">
        <v>28</v>
      </c>
      <c r="D38" s="1476" t="s">
        <v>615</v>
      </c>
      <c r="E38" s="947" t="s">
        <v>773</v>
      </c>
      <c r="F38" s="1196"/>
      <c r="G38" s="867">
        <f t="shared" si="0"/>
        <v>0</v>
      </c>
      <c r="H38" s="864"/>
      <c r="I38" s="864"/>
      <c r="J38" s="864"/>
      <c r="K38" s="864"/>
      <c r="L38" s="864"/>
      <c r="M38" s="1577">
        <v>40000</v>
      </c>
      <c r="N38" s="864"/>
      <c r="O38" s="1585">
        <f t="shared" si="3"/>
        <v>40000</v>
      </c>
      <c r="P38" s="1629"/>
      <c r="Q38" s="862"/>
      <c r="R38" s="864"/>
      <c r="S38" s="864"/>
      <c r="T38" s="864"/>
      <c r="U38" s="1577">
        <v>40000</v>
      </c>
      <c r="V38" s="864"/>
      <c r="W38" s="1594">
        <f t="shared" si="2"/>
        <v>40000</v>
      </c>
      <c r="X38" s="1637">
        <v>1680</v>
      </c>
    </row>
    <row r="39" spans="1:24" ht="53.25" customHeight="1">
      <c r="A39" s="847">
        <v>30</v>
      </c>
      <c r="B39" s="1240"/>
      <c r="C39" s="865">
        <v>29</v>
      </c>
      <c r="D39" s="780" t="s">
        <v>616</v>
      </c>
      <c r="E39" s="947" t="s">
        <v>773</v>
      </c>
      <c r="F39" s="1383"/>
      <c r="G39" s="867">
        <f t="shared" si="0"/>
        <v>0</v>
      </c>
      <c r="H39" s="868"/>
      <c r="I39" s="1384"/>
      <c r="J39" s="1384"/>
      <c r="K39" s="1384"/>
      <c r="L39" s="1384"/>
      <c r="M39" s="1579">
        <v>19985</v>
      </c>
      <c r="N39" s="1384"/>
      <c r="O39" s="1585">
        <f t="shared" si="3"/>
        <v>19985</v>
      </c>
      <c r="P39" s="1630">
        <v>19985</v>
      </c>
      <c r="Q39" s="867"/>
      <c r="R39" s="1384"/>
      <c r="S39" s="1384"/>
      <c r="T39" s="1384"/>
      <c r="U39" s="1579">
        <v>19985</v>
      </c>
      <c r="V39" s="1384"/>
      <c r="W39" s="1594">
        <f t="shared" si="2"/>
        <v>19985</v>
      </c>
      <c r="X39" s="1637"/>
    </row>
    <row r="40" spans="1:24" s="231" customFormat="1" ht="33" customHeight="1">
      <c r="A40" s="847">
        <v>31</v>
      </c>
      <c r="B40" s="848">
        <v>14</v>
      </c>
      <c r="C40" s="849" t="s">
        <v>481</v>
      </c>
      <c r="D40" s="850"/>
      <c r="E40" s="1382"/>
      <c r="F40" s="852"/>
      <c r="G40" s="877"/>
      <c r="H40" s="875"/>
      <c r="I40" s="876"/>
      <c r="J40" s="876"/>
      <c r="K40" s="876"/>
      <c r="L40" s="876"/>
      <c r="M40" s="1580"/>
      <c r="N40" s="876"/>
      <c r="O40" s="1586"/>
      <c r="P40" s="1631"/>
      <c r="Q40" s="877"/>
      <c r="R40" s="878"/>
      <c r="S40" s="878"/>
      <c r="T40" s="878"/>
      <c r="U40" s="1593"/>
      <c r="V40" s="878"/>
      <c r="W40" s="1595"/>
      <c r="X40" s="1636"/>
    </row>
    <row r="41" spans="1:24" ht="33" customHeight="1">
      <c r="A41" s="857">
        <v>32</v>
      </c>
      <c r="B41" s="1417"/>
      <c r="C41" s="865">
        <v>2</v>
      </c>
      <c r="D41" s="860" t="s">
        <v>778</v>
      </c>
      <c r="E41" s="1419" t="s">
        <v>766</v>
      </c>
      <c r="F41" s="1420"/>
      <c r="G41" s="1656">
        <f>+W41-O41-H41</f>
        <v>0</v>
      </c>
      <c r="H41" s="1422">
        <f>1926+228</f>
        <v>2154</v>
      </c>
      <c r="I41" s="1423"/>
      <c r="J41" s="1423"/>
      <c r="K41" s="1423">
        <v>27687</v>
      </c>
      <c r="L41" s="1423"/>
      <c r="M41" s="1581"/>
      <c r="N41" s="1423"/>
      <c r="O41" s="1587">
        <f>SUM(I41:N41)</f>
        <v>27687</v>
      </c>
      <c r="P41" s="1632"/>
      <c r="Q41" s="1421"/>
      <c r="R41" s="1423"/>
      <c r="S41" s="1423">
        <v>5105</v>
      </c>
      <c r="T41" s="1423">
        <v>19384</v>
      </c>
      <c r="U41" s="1581">
        <v>5352</v>
      </c>
      <c r="V41" s="1423"/>
      <c r="W41" s="1587">
        <f>SUM(Q41:V41)</f>
        <v>29841</v>
      </c>
      <c r="X41" s="1637">
        <v>6992</v>
      </c>
    </row>
    <row r="42" spans="1:24" ht="33" customHeight="1">
      <c r="A42" s="847">
        <v>33</v>
      </c>
      <c r="B42" s="1417"/>
      <c r="C42" s="865">
        <v>3</v>
      </c>
      <c r="D42" s="860" t="s">
        <v>955</v>
      </c>
      <c r="E42" s="1419" t="s">
        <v>1013</v>
      </c>
      <c r="F42" s="1420"/>
      <c r="G42" s="1421">
        <f>+W42-O42-H42</f>
        <v>0</v>
      </c>
      <c r="H42" s="1422"/>
      <c r="I42" s="1423"/>
      <c r="J42" s="1423"/>
      <c r="K42" s="1423"/>
      <c r="L42" s="1423"/>
      <c r="M42" s="1581">
        <v>2602</v>
      </c>
      <c r="N42" s="1423">
        <v>4241</v>
      </c>
      <c r="O42" s="1587">
        <f>SUM(I42:N42)</f>
        <v>6843</v>
      </c>
      <c r="P42" s="1632"/>
      <c r="Q42" s="1421"/>
      <c r="R42" s="1423"/>
      <c r="S42" s="1423"/>
      <c r="T42" s="1423"/>
      <c r="U42" s="1581">
        <v>2602</v>
      </c>
      <c r="V42" s="1423">
        <v>4241</v>
      </c>
      <c r="W42" s="1587">
        <f>SUM(Q42:V42)</f>
        <v>6843</v>
      </c>
      <c r="X42" s="1637"/>
    </row>
    <row r="43" spans="1:24" ht="33" customHeight="1">
      <c r="A43" s="847">
        <v>34</v>
      </c>
      <c r="B43" s="1417">
        <v>13</v>
      </c>
      <c r="C43" s="849" t="s">
        <v>34</v>
      </c>
      <c r="D43" s="1466"/>
      <c r="E43" s="1419"/>
      <c r="F43" s="1420"/>
      <c r="G43" s="1421"/>
      <c r="H43" s="1422"/>
      <c r="I43" s="1423"/>
      <c r="J43" s="1423"/>
      <c r="K43" s="1423"/>
      <c r="L43" s="1423"/>
      <c r="M43" s="1581"/>
      <c r="N43" s="1423"/>
      <c r="O43" s="1587"/>
      <c r="P43" s="1632"/>
      <c r="Q43" s="1421"/>
      <c r="R43" s="1423"/>
      <c r="S43" s="1423"/>
      <c r="T43" s="1423"/>
      <c r="U43" s="1581"/>
      <c r="V43" s="1423"/>
      <c r="W43" s="1587"/>
      <c r="X43" s="1637"/>
    </row>
    <row r="44" spans="1:24" ht="33" customHeight="1">
      <c r="A44" s="857">
        <v>35</v>
      </c>
      <c r="B44" s="1417"/>
      <c r="C44" s="865">
        <v>1</v>
      </c>
      <c r="D44" s="860" t="s">
        <v>955</v>
      </c>
      <c r="E44" s="1419" t="s">
        <v>1013</v>
      </c>
      <c r="F44" s="1420"/>
      <c r="G44" s="1421">
        <f>+W44-O44-H44</f>
        <v>0</v>
      </c>
      <c r="H44" s="1422"/>
      <c r="I44" s="1423"/>
      <c r="J44" s="1423"/>
      <c r="K44" s="1423"/>
      <c r="L44" s="1423"/>
      <c r="M44" s="1581">
        <v>8944</v>
      </c>
      <c r="N44" s="1423">
        <v>2236</v>
      </c>
      <c r="O44" s="1587">
        <f>SUM(I44:N44)</f>
        <v>11180</v>
      </c>
      <c r="P44" s="1632"/>
      <c r="Q44" s="1421"/>
      <c r="R44" s="1423"/>
      <c r="S44" s="1423"/>
      <c r="T44" s="1423"/>
      <c r="U44" s="1581">
        <v>8944</v>
      </c>
      <c r="V44" s="1423">
        <v>2236</v>
      </c>
      <c r="W44" s="1587">
        <f>SUM(Q44:V44)</f>
        <v>11180</v>
      </c>
      <c r="X44" s="1637"/>
    </row>
    <row r="45" spans="1:24" ht="33" customHeight="1">
      <c r="A45" s="847">
        <v>36</v>
      </c>
      <c r="B45" s="1426">
        <v>11</v>
      </c>
      <c r="C45" s="849" t="s">
        <v>480</v>
      </c>
      <c r="D45" s="850"/>
      <c r="E45" s="1419"/>
      <c r="F45" s="1420"/>
      <c r="G45" s="1421"/>
      <c r="H45" s="1422"/>
      <c r="I45" s="1423"/>
      <c r="J45" s="1423"/>
      <c r="K45" s="1423"/>
      <c r="L45" s="1423"/>
      <c r="M45" s="1581"/>
      <c r="N45" s="1423"/>
      <c r="O45" s="1587"/>
      <c r="P45" s="1632"/>
      <c r="Q45" s="1421"/>
      <c r="R45" s="1423"/>
      <c r="S45" s="1423"/>
      <c r="T45" s="1423"/>
      <c r="U45" s="1581"/>
      <c r="V45" s="1423"/>
      <c r="W45" s="1587"/>
      <c r="X45" s="1637"/>
    </row>
    <row r="46" spans="1:24" ht="33" customHeight="1" thickBot="1">
      <c r="A46" s="847">
        <v>37</v>
      </c>
      <c r="B46" s="1427"/>
      <c r="C46" s="1428">
        <v>1</v>
      </c>
      <c r="D46" s="1418" t="s">
        <v>955</v>
      </c>
      <c r="E46" s="879" t="s">
        <v>1013</v>
      </c>
      <c r="F46" s="1424"/>
      <c r="G46" s="1421">
        <f>+W46-O46-H46</f>
        <v>0</v>
      </c>
      <c r="H46" s="881"/>
      <c r="I46" s="1425"/>
      <c r="J46" s="1425"/>
      <c r="K46" s="1425"/>
      <c r="L46" s="1425"/>
      <c r="M46" s="1582">
        <v>1879</v>
      </c>
      <c r="N46" s="1425">
        <v>470</v>
      </c>
      <c r="O46" s="1587">
        <f>SUM(I46:N46)</f>
        <v>2349</v>
      </c>
      <c r="P46" s="1632"/>
      <c r="Q46" s="880"/>
      <c r="R46" s="1425"/>
      <c r="S46" s="1425"/>
      <c r="T46" s="1425"/>
      <c r="U46" s="1582">
        <v>1879</v>
      </c>
      <c r="V46" s="1425">
        <v>470</v>
      </c>
      <c r="W46" s="1587">
        <f>SUM(Q46:V46)</f>
        <v>2349</v>
      </c>
      <c r="X46" s="1639"/>
    </row>
    <row r="47" spans="1:24" ht="33" customHeight="1" thickBot="1">
      <c r="A47" s="857">
        <v>38</v>
      </c>
      <c r="B47" s="2258" t="s">
        <v>127</v>
      </c>
      <c r="C47" s="2259"/>
      <c r="D47" s="2259"/>
      <c r="E47" s="2259"/>
      <c r="F47" s="232"/>
      <c r="G47" s="882">
        <f>SUM(G11:G46)</f>
        <v>1270448</v>
      </c>
      <c r="H47" s="883">
        <f>SUM(H11:H46)</f>
        <v>280100</v>
      </c>
      <c r="I47" s="883">
        <f>SUM(I11:I46)</f>
        <v>977327</v>
      </c>
      <c r="J47" s="883">
        <f aca="true" t="shared" si="4" ref="J47:O47">SUM(J11:J46)</f>
        <v>9000</v>
      </c>
      <c r="K47" s="883">
        <f t="shared" si="4"/>
        <v>3102781</v>
      </c>
      <c r="L47" s="883">
        <f t="shared" si="4"/>
        <v>4462952</v>
      </c>
      <c r="M47" s="1583">
        <f t="shared" si="4"/>
        <v>1532745</v>
      </c>
      <c r="N47" s="883">
        <f t="shared" si="4"/>
        <v>6947</v>
      </c>
      <c r="O47" s="1588">
        <f t="shared" si="4"/>
        <v>10091752</v>
      </c>
      <c r="P47" s="1633">
        <f>SUM(P11:P46)</f>
        <v>1188331</v>
      </c>
      <c r="Q47" s="882">
        <f>SUM(Q11:Q46)</f>
        <v>68046</v>
      </c>
      <c r="R47" s="883">
        <f>SUM(R11:R46)</f>
        <v>126233</v>
      </c>
      <c r="S47" s="883">
        <f>SUM(S11:S46)</f>
        <v>848139</v>
      </c>
      <c r="T47" s="883">
        <f>SUM(T11:T46)</f>
        <v>2566070</v>
      </c>
      <c r="U47" s="1583">
        <f>SUM(U11:U46)</f>
        <v>8026865</v>
      </c>
      <c r="V47" s="883">
        <f>SUM(V11:V46)</f>
        <v>6947</v>
      </c>
      <c r="W47" s="1588">
        <f>SUM(W11:W46)</f>
        <v>11642300</v>
      </c>
      <c r="X47" s="1640">
        <f>SUM(X11:X46)</f>
        <v>2390309</v>
      </c>
    </row>
    <row r="48" spans="2:23" ht="24.75" customHeight="1">
      <c r="B48" s="2295" t="s">
        <v>779</v>
      </c>
      <c r="C48" s="2295"/>
      <c r="D48" s="2295"/>
      <c r="E48" s="2295"/>
      <c r="F48" s="2295"/>
      <c r="G48" s="2295"/>
      <c r="H48" s="2295"/>
      <c r="I48" s="2295"/>
      <c r="J48" s="2295"/>
      <c r="K48" s="2295"/>
      <c r="L48" s="2295"/>
      <c r="M48" s="2295"/>
      <c r="N48" s="2295"/>
      <c r="O48" s="2295"/>
      <c r="P48" s="2295"/>
      <c r="Q48" s="2295"/>
      <c r="R48" s="2295"/>
      <c r="S48" s="2295"/>
      <c r="T48" s="2295"/>
      <c r="U48" s="2295"/>
      <c r="V48" s="2295"/>
      <c r="W48" s="2295"/>
    </row>
    <row r="49" spans="2:23" ht="24.75" customHeight="1">
      <c r="B49" s="2266" t="s">
        <v>494</v>
      </c>
      <c r="C49" s="2266"/>
      <c r="D49" s="2266"/>
      <c r="E49" s="2266"/>
      <c r="F49" s="2266"/>
      <c r="G49" s="2266"/>
      <c r="H49" s="2266"/>
      <c r="I49" s="2266"/>
      <c r="J49" s="2266"/>
      <c r="K49" s="2266"/>
      <c r="L49" s="2266"/>
      <c r="M49" s="2266"/>
      <c r="N49" s="2266"/>
      <c r="O49" s="2266"/>
      <c r="P49" s="2266"/>
      <c r="Q49" s="2266"/>
      <c r="R49" s="2266"/>
      <c r="S49" s="2266"/>
      <c r="T49" s="2266"/>
      <c r="U49" s="2266"/>
      <c r="V49" s="2266"/>
      <c r="W49" s="2266"/>
    </row>
    <row r="50" spans="2:23" ht="24.75" customHeight="1">
      <c r="B50" s="2266" t="s">
        <v>806</v>
      </c>
      <c r="C50" s="2266"/>
      <c r="D50" s="2266"/>
      <c r="E50" s="2266"/>
      <c r="F50" s="2266"/>
      <c r="G50" s="2266"/>
      <c r="H50" s="2266"/>
      <c r="I50" s="2266"/>
      <c r="J50" s="2266"/>
      <c r="K50" s="2266"/>
      <c r="L50" s="2266"/>
      <c r="M50" s="2266"/>
      <c r="N50" s="2266"/>
      <c r="O50" s="2266"/>
      <c r="P50" s="2266"/>
      <c r="Q50" s="2266"/>
      <c r="R50" s="2266"/>
      <c r="S50" s="2266"/>
      <c r="T50" s="2266"/>
      <c r="U50" s="2266"/>
      <c r="V50" s="2266"/>
      <c r="W50" s="2266"/>
    </row>
    <row r="51" ht="24.75" customHeight="1"/>
    <row r="52" ht="24.75" customHeight="1"/>
    <row r="53" ht="24.75" customHeight="1"/>
    <row r="54" ht="24.75" customHeight="1"/>
    <row r="55" ht="24.75" customHeight="1"/>
    <row r="56" ht="24.75" customHeight="1"/>
  </sheetData>
  <sheetProtection/>
  <mergeCells count="29">
    <mergeCell ref="X7:X9"/>
    <mergeCell ref="B50:W50"/>
    <mergeCell ref="Q7:V8"/>
    <mergeCell ref="W7:W9"/>
    <mergeCell ref="G8:G9"/>
    <mergeCell ref="H8:H9"/>
    <mergeCell ref="I8:N8"/>
    <mergeCell ref="O8:O9"/>
    <mergeCell ref="B7:B9"/>
    <mergeCell ref="C7:C9"/>
    <mergeCell ref="D7:D9"/>
    <mergeCell ref="E7:E9"/>
    <mergeCell ref="G7:O7"/>
    <mergeCell ref="P7:P9"/>
    <mergeCell ref="B48:W48"/>
    <mergeCell ref="B49:W49"/>
    <mergeCell ref="B47:E47"/>
    <mergeCell ref="H1:I1"/>
    <mergeCell ref="J1:K1"/>
    <mergeCell ref="L1:M1"/>
    <mergeCell ref="N1:O1"/>
    <mergeCell ref="B2:W2"/>
    <mergeCell ref="B3:W3"/>
    <mergeCell ref="B4:W4"/>
    <mergeCell ref="V5:W5"/>
    <mergeCell ref="P1:Q1"/>
    <mergeCell ref="R1:S1"/>
    <mergeCell ref="T1:U1"/>
    <mergeCell ref="V1:W1"/>
  </mergeCell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scale="43" r:id="rId1"/>
  <headerFooter>
    <oddFooter>&amp;C-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136"/>
  <sheetViews>
    <sheetView view="pageBreakPreview" zoomScaleSheetLayoutView="100" zoomScalePageLayoutView="0" workbookViewId="0" topLeftCell="A1">
      <selection activeCell="B1" sqref="B1:C1"/>
    </sheetView>
  </sheetViews>
  <sheetFormatPr defaultColWidth="9.125" defaultRowHeight="12.75"/>
  <cols>
    <col min="1" max="1" width="3.75390625" style="1682" customWidth="1"/>
    <col min="2" max="2" width="85.75390625" style="1488" customWidth="1"/>
    <col min="3" max="5" width="15.75390625" style="23" customWidth="1"/>
    <col min="6" max="7" width="10.125" style="23" bestFit="1" customWidth="1"/>
    <col min="8" max="16384" width="9.125" style="23" customWidth="1"/>
  </cols>
  <sheetData>
    <row r="1" spans="2:3" ht="16.5" customHeight="1">
      <c r="B1" s="2260" t="s">
        <v>1472</v>
      </c>
      <c r="C1" s="2260"/>
    </row>
    <row r="2" spans="1:5" ht="24" customHeight="1">
      <c r="A2" s="1683"/>
      <c r="B2" s="2296" t="s">
        <v>170</v>
      </c>
      <c r="C2" s="2296"/>
      <c r="D2" s="2296"/>
      <c r="E2" s="2296"/>
    </row>
    <row r="3" spans="1:5" ht="24" customHeight="1">
      <c r="A3" s="1683"/>
      <c r="B3" s="2296" t="s">
        <v>1071</v>
      </c>
      <c r="C3" s="2296"/>
      <c r="D3" s="2296"/>
      <c r="E3" s="2296"/>
    </row>
    <row r="4" spans="4:5" ht="16.5" customHeight="1">
      <c r="D4" s="2297" t="s">
        <v>0</v>
      </c>
      <c r="E4" s="2297"/>
    </row>
    <row r="5" spans="1:5" ht="16.5" customHeight="1" thickBot="1">
      <c r="A5" s="1684"/>
      <c r="B5" s="1491" t="s">
        <v>1</v>
      </c>
      <c r="C5" s="318" t="s">
        <v>3</v>
      </c>
      <c r="D5" s="318" t="s">
        <v>2</v>
      </c>
      <c r="E5" s="318" t="s">
        <v>4</v>
      </c>
    </row>
    <row r="6" spans="1:5" ht="35.25" thickBot="1">
      <c r="A6" s="1685"/>
      <c r="B6" s="2011" t="s">
        <v>6</v>
      </c>
      <c r="C6" s="1686" t="s">
        <v>1072</v>
      </c>
      <c r="D6" s="1686" t="s">
        <v>1073</v>
      </c>
      <c r="E6" s="1687" t="s">
        <v>1074</v>
      </c>
    </row>
    <row r="7" spans="1:5" ht="24" customHeight="1">
      <c r="A7" s="1685">
        <v>1</v>
      </c>
      <c r="B7" s="1688" t="s">
        <v>1075</v>
      </c>
      <c r="C7" s="1689"/>
      <c r="D7" s="1689"/>
      <c r="E7" s="1690"/>
    </row>
    <row r="8" spans="1:5" ht="16.5" customHeight="1">
      <c r="A8" s="1685">
        <v>2</v>
      </c>
      <c r="B8" s="1691" t="s">
        <v>1076</v>
      </c>
      <c r="C8" s="1692">
        <v>14837</v>
      </c>
      <c r="D8" s="1692"/>
      <c r="E8" s="1693">
        <v>13652</v>
      </c>
    </row>
    <row r="9" spans="1:5" ht="16.5" customHeight="1">
      <c r="A9" s="1685">
        <v>3</v>
      </c>
      <c r="B9" s="1691" t="s">
        <v>1077</v>
      </c>
      <c r="C9" s="1692">
        <v>81351</v>
      </c>
      <c r="D9" s="1692"/>
      <c r="E9" s="1693">
        <v>67955</v>
      </c>
    </row>
    <row r="10" spans="1:5" ht="16.5" customHeight="1">
      <c r="A10" s="1685">
        <v>4</v>
      </c>
      <c r="B10" s="1691" t="s">
        <v>1078</v>
      </c>
      <c r="C10" s="1692"/>
      <c r="D10" s="1692"/>
      <c r="E10" s="1693"/>
    </row>
    <row r="11" spans="1:5" s="24" customFormat="1" ht="24.75" customHeight="1">
      <c r="A11" s="1685">
        <v>5</v>
      </c>
      <c r="B11" s="1694" t="s">
        <v>1079</v>
      </c>
      <c r="C11" s="1695">
        <f>SUM(C7:C10)</f>
        <v>96188</v>
      </c>
      <c r="D11" s="1695"/>
      <c r="E11" s="1696">
        <f>SUM(E7:E10)</f>
        <v>81607</v>
      </c>
    </row>
    <row r="12" spans="1:5" ht="16.5" customHeight="1">
      <c r="A12" s="1685">
        <v>6</v>
      </c>
      <c r="B12" s="1691" t="s">
        <v>1080</v>
      </c>
      <c r="C12" s="1692">
        <v>56276937</v>
      </c>
      <c r="D12" s="1692"/>
      <c r="E12" s="1693">
        <v>58304655</v>
      </c>
    </row>
    <row r="13" spans="1:5" ht="16.5" customHeight="1">
      <c r="A13" s="1685">
        <v>7</v>
      </c>
      <c r="B13" s="1691" t="s">
        <v>1081</v>
      </c>
      <c r="C13" s="1692">
        <v>379459</v>
      </c>
      <c r="D13" s="1692"/>
      <c r="E13" s="1693">
        <v>359794</v>
      </c>
    </row>
    <row r="14" spans="1:5" ht="16.5" customHeight="1">
      <c r="A14" s="1685">
        <v>8</v>
      </c>
      <c r="B14" s="1691" t="s">
        <v>1082</v>
      </c>
      <c r="C14" s="1692"/>
      <c r="D14" s="1692"/>
      <c r="E14" s="1693"/>
    </row>
    <row r="15" spans="1:5" ht="16.5" customHeight="1">
      <c r="A15" s="1685">
        <v>9</v>
      </c>
      <c r="B15" s="1691" t="s">
        <v>1083</v>
      </c>
      <c r="C15" s="1692">
        <v>4995993</v>
      </c>
      <c r="D15" s="1692"/>
      <c r="E15" s="1693">
        <v>5012437</v>
      </c>
    </row>
    <row r="16" spans="1:5" ht="16.5" customHeight="1">
      <c r="A16" s="1685">
        <v>10</v>
      </c>
      <c r="B16" s="1691" t="s">
        <v>1084</v>
      </c>
      <c r="C16" s="1692"/>
      <c r="D16" s="1692"/>
      <c r="E16" s="1693"/>
    </row>
    <row r="17" spans="1:5" s="24" customFormat="1" ht="24.75" customHeight="1">
      <c r="A17" s="1685">
        <v>11</v>
      </c>
      <c r="B17" s="1694" t="s">
        <v>1085</v>
      </c>
      <c r="C17" s="1695">
        <f>SUM(C12:C16)</f>
        <v>61652389</v>
      </c>
      <c r="D17" s="1695">
        <f>SUM(D12:D16)</f>
        <v>0</v>
      </c>
      <c r="E17" s="1696">
        <f>SUM(E12:E16)</f>
        <v>63676886</v>
      </c>
    </row>
    <row r="18" spans="1:6" ht="16.5" customHeight="1">
      <c r="A18" s="1685">
        <v>12</v>
      </c>
      <c r="B18" s="1691" t="s">
        <v>1086</v>
      </c>
      <c r="C18" s="1692">
        <v>5295465</v>
      </c>
      <c r="D18" s="1692"/>
      <c r="E18" s="1693">
        <v>6427085</v>
      </c>
      <c r="F18" s="22">
        <f>+E18-'18.Üzletrész'!H22</f>
        <v>0</v>
      </c>
    </row>
    <row r="19" spans="1:5" ht="16.5" customHeight="1">
      <c r="A19" s="1685">
        <v>13</v>
      </c>
      <c r="B19" s="1691" t="s">
        <v>1087</v>
      </c>
      <c r="C19" s="1692"/>
      <c r="D19" s="1692"/>
      <c r="E19" s="1693"/>
    </row>
    <row r="20" spans="1:5" ht="16.5" customHeight="1">
      <c r="A20" s="1685">
        <v>14</v>
      </c>
      <c r="B20" s="1691" t="s">
        <v>1088</v>
      </c>
      <c r="C20" s="1692"/>
      <c r="D20" s="1692"/>
      <c r="E20" s="1693"/>
    </row>
    <row r="21" spans="1:7" s="24" customFormat="1" ht="24.75" customHeight="1">
      <c r="A21" s="1685">
        <v>15</v>
      </c>
      <c r="B21" s="1694" t="s">
        <v>1089</v>
      </c>
      <c r="C21" s="1695">
        <f>SUM(C18:C20)</f>
        <v>5295465</v>
      </c>
      <c r="D21" s="1695">
        <f>SUM(D18:D20)</f>
        <v>0</v>
      </c>
      <c r="E21" s="1696">
        <f>SUM(E18:E20)</f>
        <v>6427085</v>
      </c>
      <c r="F21" s="1597"/>
      <c r="G21" s="1597"/>
    </row>
    <row r="22" spans="1:5" ht="16.5" customHeight="1">
      <c r="A22" s="1685">
        <v>16</v>
      </c>
      <c r="B22" s="1691" t="s">
        <v>1090</v>
      </c>
      <c r="C22" s="1692">
        <v>11681972</v>
      </c>
      <c r="D22" s="1692"/>
      <c r="E22" s="1693">
        <v>11914898</v>
      </c>
    </row>
    <row r="23" spans="1:5" ht="16.5" customHeight="1">
      <c r="A23" s="1685">
        <v>17</v>
      </c>
      <c r="B23" s="1691" t="s">
        <v>1091</v>
      </c>
      <c r="C23" s="1692"/>
      <c r="D23" s="1692"/>
      <c r="E23" s="1693"/>
    </row>
    <row r="24" spans="1:5" s="24" customFormat="1" ht="24.75" customHeight="1">
      <c r="A24" s="1685">
        <v>18</v>
      </c>
      <c r="B24" s="1694" t="s">
        <v>1092</v>
      </c>
      <c r="C24" s="1695">
        <f>SUM(C22:C23)</f>
        <v>11681972</v>
      </c>
      <c r="D24" s="1695"/>
      <c r="E24" s="1696">
        <f>SUM(E22:E23)</f>
        <v>11914898</v>
      </c>
    </row>
    <row r="25" spans="1:5" s="24" customFormat="1" ht="24.75" customHeight="1" thickBot="1">
      <c r="A25" s="1685">
        <v>19</v>
      </c>
      <c r="B25" s="1697" t="s">
        <v>1093</v>
      </c>
      <c r="C25" s="1698">
        <f>SUM(C11,C17,C21,C24)</f>
        <v>78726014</v>
      </c>
      <c r="D25" s="1698">
        <f>SUM(D11,D17,D21,D24)</f>
        <v>0</v>
      </c>
      <c r="E25" s="1699">
        <f>SUM(E11,E17,E21,E24)</f>
        <v>82100476</v>
      </c>
    </row>
    <row r="26" spans="1:5" ht="16.5" customHeight="1" thickTop="1">
      <c r="A26" s="1685">
        <v>20</v>
      </c>
      <c r="B26" s="1691" t="s">
        <v>1094</v>
      </c>
      <c r="C26" s="1692">
        <v>17460</v>
      </c>
      <c r="D26" s="1692"/>
      <c r="E26" s="1693">
        <f>17612-1</f>
        <v>17611</v>
      </c>
    </row>
    <row r="27" spans="1:5" ht="16.5" customHeight="1">
      <c r="A27" s="1685">
        <v>21</v>
      </c>
      <c r="B27" s="1691" t="s">
        <v>1095</v>
      </c>
      <c r="C27" s="1692">
        <v>567</v>
      </c>
      <c r="D27" s="1692"/>
      <c r="E27" s="1693">
        <v>567</v>
      </c>
    </row>
    <row r="28" spans="1:5" ht="16.5" customHeight="1">
      <c r="A28" s="1685">
        <v>22</v>
      </c>
      <c r="B28" s="1691" t="s">
        <v>1096</v>
      </c>
      <c r="C28" s="1692"/>
      <c r="D28" s="1692"/>
      <c r="E28" s="1693"/>
    </row>
    <row r="29" spans="1:5" ht="16.5" customHeight="1">
      <c r="A29" s="1685">
        <v>23</v>
      </c>
      <c r="B29" s="1691" t="s">
        <v>1097</v>
      </c>
      <c r="C29" s="1692">
        <v>79438</v>
      </c>
      <c r="D29" s="1692"/>
      <c r="E29" s="1693">
        <v>76346</v>
      </c>
    </row>
    <row r="30" spans="1:5" ht="16.5" customHeight="1">
      <c r="A30" s="1685">
        <v>24</v>
      </c>
      <c r="B30" s="1691" t="s">
        <v>1098</v>
      </c>
      <c r="C30" s="1692"/>
      <c r="D30" s="1692"/>
      <c r="E30" s="1693"/>
    </row>
    <row r="31" spans="1:5" s="24" customFormat="1" ht="24.75" customHeight="1">
      <c r="A31" s="1685">
        <v>25</v>
      </c>
      <c r="B31" s="1694" t="s">
        <v>1099</v>
      </c>
      <c r="C31" s="1695">
        <f>SUM(C26:C30)</f>
        <v>97465</v>
      </c>
      <c r="D31" s="1695"/>
      <c r="E31" s="1696">
        <f>SUM(E26:E30)</f>
        <v>94524</v>
      </c>
    </row>
    <row r="32" spans="1:5" ht="16.5" customHeight="1">
      <c r="A32" s="1685">
        <v>26</v>
      </c>
      <c r="B32" s="1691" t="s">
        <v>1100</v>
      </c>
      <c r="C32" s="1692"/>
      <c r="D32" s="1692"/>
      <c r="E32" s="1693"/>
    </row>
    <row r="33" spans="1:5" ht="16.5" customHeight="1">
      <c r="A33" s="1685">
        <v>27</v>
      </c>
      <c r="B33" s="1691" t="s">
        <v>1101</v>
      </c>
      <c r="C33" s="1692"/>
      <c r="D33" s="1692"/>
      <c r="E33" s="1693"/>
    </row>
    <row r="34" spans="1:5" s="24" customFormat="1" ht="24.75" customHeight="1">
      <c r="A34" s="1685">
        <v>28</v>
      </c>
      <c r="B34" s="1694" t="s">
        <v>1102</v>
      </c>
      <c r="C34" s="1695">
        <f>SUM(C32:C33)</f>
        <v>0</v>
      </c>
      <c r="D34" s="1695"/>
      <c r="E34" s="1696">
        <f>SUM(E32:E33)</f>
        <v>0</v>
      </c>
    </row>
    <row r="35" spans="1:5" s="24" customFormat="1" ht="24.75" customHeight="1" thickBot="1">
      <c r="A35" s="1685">
        <v>29</v>
      </c>
      <c r="B35" s="1700" t="s">
        <v>1103</v>
      </c>
      <c r="C35" s="1698">
        <f>SUM(C31,C34)</f>
        <v>97465</v>
      </c>
      <c r="D35" s="1698">
        <f>SUM(D31,D34)</f>
        <v>0</v>
      </c>
      <c r="E35" s="1699">
        <f>SUM(E31,E34)</f>
        <v>94524</v>
      </c>
    </row>
    <row r="36" spans="1:5" ht="16.5" customHeight="1" thickTop="1">
      <c r="A36" s="1685">
        <v>30</v>
      </c>
      <c r="B36" s="1691" t="s">
        <v>1104</v>
      </c>
      <c r="C36" s="1692"/>
      <c r="D36" s="1692"/>
      <c r="E36" s="1693"/>
    </row>
    <row r="37" spans="1:6" ht="16.5" customHeight="1">
      <c r="A37" s="1685">
        <v>31</v>
      </c>
      <c r="B37" s="1691" t="s">
        <v>1105</v>
      </c>
      <c r="C37" s="1692">
        <v>2215</v>
      </c>
      <c r="D37" s="1692"/>
      <c r="E37" s="1693">
        <v>2355</v>
      </c>
      <c r="F37" s="22">
        <f>+E37-'16.pe.vált.'!C19</f>
        <v>0</v>
      </c>
    </row>
    <row r="38" spans="1:6" ht="16.5" customHeight="1">
      <c r="A38" s="1685">
        <v>32</v>
      </c>
      <c r="B38" s="1691" t="s">
        <v>1106</v>
      </c>
      <c r="C38" s="1692">
        <v>14067493</v>
      </c>
      <c r="D38" s="1692"/>
      <c r="E38" s="1693">
        <f>18937051</f>
        <v>18937051</v>
      </c>
      <c r="F38" s="22">
        <f>+'14.Mérl.össz.'!E38+'14.Mérl.össz.'!E39-'16.pe.vált.'!C18</f>
        <v>0</v>
      </c>
    </row>
    <row r="39" spans="1:5" ht="16.5" customHeight="1">
      <c r="A39" s="1685">
        <v>33</v>
      </c>
      <c r="B39" s="1691" t="s">
        <v>1107</v>
      </c>
      <c r="C39" s="1692">
        <v>26766</v>
      </c>
      <c r="D39" s="1692"/>
      <c r="E39" s="1693">
        <v>37837</v>
      </c>
    </row>
    <row r="40" spans="1:7" s="24" customFormat="1" ht="24" customHeight="1" thickBot="1">
      <c r="A40" s="1685">
        <v>34</v>
      </c>
      <c r="B40" s="1700" t="s">
        <v>1108</v>
      </c>
      <c r="C40" s="1698">
        <f>SUM(C36:C39)</f>
        <v>14096474</v>
      </c>
      <c r="D40" s="1698">
        <f>SUM(D36:D39)</f>
        <v>0</v>
      </c>
      <c r="E40" s="1699">
        <f>SUM(E36:E39)</f>
        <v>18977243</v>
      </c>
      <c r="F40" s="1597">
        <f>+C40-'16.pe.vált.'!C9</f>
        <v>0</v>
      </c>
      <c r="G40" s="1597">
        <f>+E40-'16.pe.vált.'!C16</f>
        <v>0</v>
      </c>
    </row>
    <row r="41" spans="1:5" ht="16.5" customHeight="1" thickTop="1">
      <c r="A41" s="1685">
        <v>35</v>
      </c>
      <c r="B41" s="1701" t="s">
        <v>1109</v>
      </c>
      <c r="C41" s="1692"/>
      <c r="D41" s="1692"/>
      <c r="E41" s="1693"/>
    </row>
    <row r="42" spans="1:5" ht="16.5" customHeight="1">
      <c r="A42" s="1685">
        <v>36</v>
      </c>
      <c r="B42" s="1701" t="s">
        <v>1110</v>
      </c>
      <c r="C42" s="1692"/>
      <c r="D42" s="1692"/>
      <c r="E42" s="1693"/>
    </row>
    <row r="43" spans="1:5" ht="16.5" customHeight="1">
      <c r="A43" s="1685">
        <v>37</v>
      </c>
      <c r="B43" s="1702" t="s">
        <v>1111</v>
      </c>
      <c r="C43" s="1692">
        <v>103712</v>
      </c>
      <c r="D43" s="1692"/>
      <c r="E43" s="1693">
        <v>184874</v>
      </c>
    </row>
    <row r="44" spans="1:5" ht="16.5" customHeight="1">
      <c r="A44" s="1685">
        <v>38</v>
      </c>
      <c r="B44" s="1702" t="s">
        <v>1112</v>
      </c>
      <c r="C44" s="1692">
        <v>445192</v>
      </c>
      <c r="D44" s="1692"/>
      <c r="E44" s="1693">
        <v>430626</v>
      </c>
    </row>
    <row r="45" spans="1:5" ht="16.5" customHeight="1">
      <c r="A45" s="1685">
        <v>39</v>
      </c>
      <c r="B45" s="1702" t="s">
        <v>1113</v>
      </c>
      <c r="C45" s="1692">
        <f>604+1</f>
        <v>605</v>
      </c>
      <c r="D45" s="1692"/>
      <c r="E45" s="1693">
        <v>1330</v>
      </c>
    </row>
    <row r="46" spans="1:5" ht="16.5" customHeight="1">
      <c r="A46" s="1685">
        <v>40</v>
      </c>
      <c r="B46" s="1702" t="s">
        <v>1114</v>
      </c>
      <c r="C46" s="1692">
        <v>4140</v>
      </c>
      <c r="D46" s="1692"/>
      <c r="E46" s="1693">
        <v>3142</v>
      </c>
    </row>
    <row r="47" spans="1:5" ht="16.5" customHeight="1">
      <c r="A47" s="1685">
        <v>41</v>
      </c>
      <c r="B47" s="1702" t="s">
        <v>1115</v>
      </c>
      <c r="C47" s="1692">
        <v>236</v>
      </c>
      <c r="D47" s="1692"/>
      <c r="E47" s="1693">
        <v>209</v>
      </c>
    </row>
    <row r="48" spans="1:5" ht="16.5" customHeight="1">
      <c r="A48" s="1685">
        <v>42</v>
      </c>
      <c r="B48" s="1701" t="s">
        <v>1116</v>
      </c>
      <c r="C48" s="1692">
        <v>236</v>
      </c>
      <c r="D48" s="1692"/>
      <c r="E48" s="1693">
        <v>209</v>
      </c>
    </row>
    <row r="49" spans="1:5" ht="16.5" customHeight="1">
      <c r="A49" s="1685">
        <v>43</v>
      </c>
      <c r="B49" s="1702" t="s">
        <v>1117</v>
      </c>
      <c r="C49" s="1692"/>
      <c r="D49" s="1692"/>
      <c r="E49" s="1693"/>
    </row>
    <row r="50" spans="1:5" s="24" customFormat="1" ht="24" customHeight="1">
      <c r="A50" s="1685">
        <v>44</v>
      </c>
      <c r="B50" s="1694" t="s">
        <v>1118</v>
      </c>
      <c r="C50" s="1695">
        <f>SUM(C41:C49)-C48</f>
        <v>553885</v>
      </c>
      <c r="D50" s="1695">
        <f>SUM(D41:D49)-D48</f>
        <v>0</v>
      </c>
      <c r="E50" s="1696">
        <f>SUM(E41:E49)-E48</f>
        <v>620181</v>
      </c>
    </row>
    <row r="51" spans="1:5" ht="16.5" customHeight="1">
      <c r="A51" s="1685">
        <v>45</v>
      </c>
      <c r="B51" s="1701" t="s">
        <v>1119</v>
      </c>
      <c r="C51" s="1692">
        <v>1490</v>
      </c>
      <c r="D51" s="1692"/>
      <c r="E51" s="1693"/>
    </row>
    <row r="52" spans="1:5" ht="16.5" customHeight="1">
      <c r="A52" s="1685">
        <v>46</v>
      </c>
      <c r="B52" s="1701" t="s">
        <v>1120</v>
      </c>
      <c r="C52" s="1692"/>
      <c r="D52" s="1692"/>
      <c r="E52" s="1693"/>
    </row>
    <row r="53" spans="1:5" ht="16.5" customHeight="1">
      <c r="A53" s="1685">
        <v>47</v>
      </c>
      <c r="B53" s="1702" t="s">
        <v>1121</v>
      </c>
      <c r="C53" s="1692">
        <v>3156114</v>
      </c>
      <c r="D53" s="1692"/>
      <c r="E53" s="1693">
        <v>3485410</v>
      </c>
    </row>
    <row r="54" spans="1:5" ht="16.5" customHeight="1">
      <c r="A54" s="1685">
        <v>48</v>
      </c>
      <c r="B54" s="1702" t="s">
        <v>1122</v>
      </c>
      <c r="C54" s="1692">
        <f>125345-1</f>
        <v>125344</v>
      </c>
      <c r="D54" s="1692"/>
      <c r="E54" s="1693">
        <v>63679</v>
      </c>
    </row>
    <row r="55" spans="1:5" ht="16.5" customHeight="1">
      <c r="A55" s="1685">
        <v>49</v>
      </c>
      <c r="B55" s="1702" t="s">
        <v>1123</v>
      </c>
      <c r="C55" s="1692">
        <v>6450</v>
      </c>
      <c r="D55" s="1692"/>
      <c r="E55" s="1693">
        <v>4730</v>
      </c>
    </row>
    <row r="56" spans="1:5" ht="16.5" customHeight="1">
      <c r="A56" s="1685">
        <v>50</v>
      </c>
      <c r="B56" s="1701" t="s">
        <v>1124</v>
      </c>
      <c r="C56" s="1692"/>
      <c r="D56" s="1692"/>
      <c r="E56" s="1693"/>
    </row>
    <row r="57" spans="1:5" ht="16.5" customHeight="1">
      <c r="A57" s="1685">
        <v>51</v>
      </c>
      <c r="B57" s="1702" t="s">
        <v>1125</v>
      </c>
      <c r="C57" s="1692">
        <v>228</v>
      </c>
      <c r="D57" s="1692"/>
      <c r="E57" s="1693"/>
    </row>
    <row r="58" spans="1:5" ht="16.5" customHeight="1">
      <c r="A58" s="1685">
        <v>52</v>
      </c>
      <c r="B58" s="1701" t="s">
        <v>1126</v>
      </c>
      <c r="C58" s="1692">
        <v>228</v>
      </c>
      <c r="D58" s="1692"/>
      <c r="E58" s="1693"/>
    </row>
    <row r="59" spans="1:5" ht="16.5" customHeight="1">
      <c r="A59" s="1685">
        <v>53</v>
      </c>
      <c r="B59" s="1702" t="s">
        <v>1127</v>
      </c>
      <c r="C59" s="1692"/>
      <c r="D59" s="1692"/>
      <c r="E59" s="1693"/>
    </row>
    <row r="60" spans="1:5" s="24" customFormat="1" ht="24" customHeight="1">
      <c r="A60" s="1685">
        <v>54</v>
      </c>
      <c r="B60" s="1694" t="s">
        <v>1128</v>
      </c>
      <c r="C60" s="1695">
        <f>SUM(C51:C57,C59)</f>
        <v>3289626</v>
      </c>
      <c r="D60" s="1695"/>
      <c r="E60" s="1696">
        <f>SUM(E51:E57,E59)</f>
        <v>3553819</v>
      </c>
    </row>
    <row r="61" spans="1:5" ht="16.5" customHeight="1">
      <c r="A61" s="1685">
        <v>55</v>
      </c>
      <c r="B61" s="1702" t="s">
        <v>1129</v>
      </c>
      <c r="C61" s="1692">
        <f>SUM(C62:C67)</f>
        <v>300061</v>
      </c>
      <c r="D61" s="1692"/>
      <c r="E61" s="1693">
        <f>SUM(E62:E67)</f>
        <v>592831</v>
      </c>
    </row>
    <row r="62" spans="1:5" ht="16.5" customHeight="1">
      <c r="A62" s="1685">
        <v>56</v>
      </c>
      <c r="B62" s="1702" t="s">
        <v>1130</v>
      </c>
      <c r="C62" s="1692"/>
      <c r="D62" s="1692"/>
      <c r="E62" s="1693"/>
    </row>
    <row r="63" spans="1:5" ht="16.5" customHeight="1">
      <c r="A63" s="1685">
        <v>57</v>
      </c>
      <c r="B63" s="1702" t="s">
        <v>1131</v>
      </c>
      <c r="C63" s="1692">
        <v>293257</v>
      </c>
      <c r="D63" s="1692"/>
      <c r="E63" s="1693">
        <v>587760</v>
      </c>
    </row>
    <row r="64" spans="1:5" ht="16.5" customHeight="1">
      <c r="A64" s="1685">
        <v>58</v>
      </c>
      <c r="B64" s="1702" t="s">
        <v>1132</v>
      </c>
      <c r="C64" s="1692"/>
      <c r="D64" s="1692"/>
      <c r="E64" s="1693"/>
    </row>
    <row r="65" spans="1:5" ht="16.5" customHeight="1">
      <c r="A65" s="1685">
        <v>59</v>
      </c>
      <c r="B65" s="1702" t="s">
        <v>1133</v>
      </c>
      <c r="C65" s="1692">
        <v>4003</v>
      </c>
      <c r="D65" s="1692"/>
      <c r="E65" s="1693">
        <v>5030</v>
      </c>
    </row>
    <row r="66" spans="1:5" ht="16.5" customHeight="1">
      <c r="A66" s="1685">
        <v>60</v>
      </c>
      <c r="B66" s="1702" t="s">
        <v>1134</v>
      </c>
      <c r="C66" s="1692">
        <v>105</v>
      </c>
      <c r="D66" s="1692"/>
      <c r="E66" s="1693">
        <v>38</v>
      </c>
    </row>
    <row r="67" spans="1:5" ht="16.5" customHeight="1">
      <c r="A67" s="1685">
        <v>61</v>
      </c>
      <c r="B67" s="1702" t="s">
        <v>1135</v>
      </c>
      <c r="C67" s="1692">
        <v>2696</v>
      </c>
      <c r="D67" s="1692"/>
      <c r="E67" s="1693">
        <v>3</v>
      </c>
    </row>
    <row r="68" spans="1:5" ht="16.5" customHeight="1">
      <c r="A68" s="1685">
        <v>62</v>
      </c>
      <c r="B68" s="1702" t="s">
        <v>1136</v>
      </c>
      <c r="C68" s="1692"/>
      <c r="D68" s="1692"/>
      <c r="E68" s="1693"/>
    </row>
    <row r="69" spans="1:5" ht="16.5" customHeight="1">
      <c r="A69" s="1685">
        <v>63</v>
      </c>
      <c r="B69" s="1702" t="s">
        <v>1137</v>
      </c>
      <c r="C69" s="1692"/>
      <c r="D69" s="1692"/>
      <c r="E69" s="1693"/>
    </row>
    <row r="70" spans="1:5" ht="16.5" customHeight="1">
      <c r="A70" s="1685">
        <v>64</v>
      </c>
      <c r="B70" s="1702" t="s">
        <v>1138</v>
      </c>
      <c r="C70" s="1692">
        <v>3040</v>
      </c>
      <c r="D70" s="1692"/>
      <c r="E70" s="1693">
        <v>3040</v>
      </c>
    </row>
    <row r="71" spans="1:5" ht="16.5" customHeight="1">
      <c r="A71" s="1685">
        <v>65</v>
      </c>
      <c r="B71" s="1701" t="s">
        <v>1139</v>
      </c>
      <c r="C71" s="1692">
        <f>685001+1</f>
        <v>685002</v>
      </c>
      <c r="D71" s="1692"/>
      <c r="E71" s="1693">
        <f>423706+1</f>
        <v>423707</v>
      </c>
    </row>
    <row r="72" spans="1:5" ht="16.5" customHeight="1">
      <c r="A72" s="1685">
        <v>66</v>
      </c>
      <c r="B72" s="1701" t="s">
        <v>1140</v>
      </c>
      <c r="C72" s="1692"/>
      <c r="D72" s="1692"/>
      <c r="E72" s="1693"/>
    </row>
    <row r="73" spans="1:5" ht="16.5" customHeight="1">
      <c r="A73" s="1685">
        <v>67</v>
      </c>
      <c r="B73" s="1701" t="s">
        <v>1141</v>
      </c>
      <c r="C73" s="1692">
        <v>116</v>
      </c>
      <c r="D73" s="1692"/>
      <c r="E73" s="1693">
        <v>483</v>
      </c>
    </row>
    <row r="74" spans="1:5" ht="16.5" customHeight="1">
      <c r="A74" s="1685">
        <v>68</v>
      </c>
      <c r="B74" s="1702" t="s">
        <v>1142</v>
      </c>
      <c r="C74" s="1692"/>
      <c r="D74" s="1692"/>
      <c r="E74" s="1693"/>
    </row>
    <row r="75" spans="1:5" ht="16.5" customHeight="1">
      <c r="A75" s="1685">
        <v>69</v>
      </c>
      <c r="B75" s="1702" t="s">
        <v>1143</v>
      </c>
      <c r="C75" s="1692"/>
      <c r="D75" s="1692"/>
      <c r="E75" s="1693"/>
    </row>
    <row r="76" spans="1:5" s="24" customFormat="1" ht="24" customHeight="1">
      <c r="A76" s="1685">
        <v>70</v>
      </c>
      <c r="B76" s="1694" t="s">
        <v>1144</v>
      </c>
      <c r="C76" s="1695">
        <f>SUM(C68:C75,C61)</f>
        <v>988219</v>
      </c>
      <c r="D76" s="1695">
        <f>SUM(D68:D75,D61)</f>
        <v>0</v>
      </c>
      <c r="E76" s="1696">
        <f>SUM(E68:E75,E61)</f>
        <v>1020061</v>
      </c>
    </row>
    <row r="77" spans="1:5" s="24" customFormat="1" ht="24" customHeight="1" thickBot="1">
      <c r="A77" s="1685">
        <v>71</v>
      </c>
      <c r="B77" s="1700" t="s">
        <v>1145</v>
      </c>
      <c r="C77" s="1698">
        <f>SUM(C50,C60,C76)</f>
        <v>4831730</v>
      </c>
      <c r="D77" s="1698">
        <f>SUM(D50,D60,D76)</f>
        <v>0</v>
      </c>
      <c r="E77" s="1699">
        <f>SUM(E50,E60,E76)</f>
        <v>5194061</v>
      </c>
    </row>
    <row r="78" spans="1:5" ht="16.5" customHeight="1" thickTop="1">
      <c r="A78" s="1685">
        <v>72</v>
      </c>
      <c r="B78" s="1702" t="s">
        <v>1146</v>
      </c>
      <c r="C78" s="1692">
        <v>169406</v>
      </c>
      <c r="D78" s="1692"/>
      <c r="E78" s="1693">
        <v>226882</v>
      </c>
    </row>
    <row r="79" spans="1:5" ht="16.5" customHeight="1">
      <c r="A79" s="1685">
        <v>73</v>
      </c>
      <c r="B79" s="1702" t="s">
        <v>1147</v>
      </c>
      <c r="C79" s="1692">
        <v>-151913</v>
      </c>
      <c r="D79" s="1692"/>
      <c r="E79" s="1693">
        <v>-149443</v>
      </c>
    </row>
    <row r="80" spans="1:5" ht="16.5" customHeight="1" thickBot="1">
      <c r="A80" s="1685">
        <v>74</v>
      </c>
      <c r="B80" s="1702" t="s">
        <v>1148</v>
      </c>
      <c r="C80" s="1692">
        <v>2584</v>
      </c>
      <c r="D80" s="1692"/>
      <c r="E80" s="1693">
        <v>6051</v>
      </c>
    </row>
    <row r="81" spans="1:5" s="24" customFormat="1" ht="24" customHeight="1" thickBot="1" thickTop="1">
      <c r="A81" s="1685">
        <v>75</v>
      </c>
      <c r="B81" s="1703" t="s">
        <v>1149</v>
      </c>
      <c r="C81" s="1704">
        <f>SUM(C78:C80)</f>
        <v>20077</v>
      </c>
      <c r="D81" s="1704">
        <f>SUM(D78:D80)</f>
        <v>0</v>
      </c>
      <c r="E81" s="1705">
        <f>SUM(E78:E80)</f>
        <v>83490</v>
      </c>
    </row>
    <row r="82" spans="1:5" ht="16.5" customHeight="1" thickTop="1">
      <c r="A82" s="1685">
        <v>76</v>
      </c>
      <c r="B82" s="1691" t="s">
        <v>1150</v>
      </c>
      <c r="C82" s="1692">
        <v>9454</v>
      </c>
      <c r="D82" s="1692"/>
      <c r="E82" s="1693">
        <v>3273</v>
      </c>
    </row>
    <row r="83" spans="1:5" ht="16.5" customHeight="1">
      <c r="A83" s="1685">
        <v>77</v>
      </c>
      <c r="B83" s="1691" t="s">
        <v>1151</v>
      </c>
      <c r="C83" s="1692">
        <v>17810</v>
      </c>
      <c r="D83" s="1692"/>
      <c r="E83" s="1693">
        <v>26032</v>
      </c>
    </row>
    <row r="84" spans="1:5" ht="16.5" customHeight="1">
      <c r="A84" s="1685">
        <v>78</v>
      </c>
      <c r="B84" s="1691" t="s">
        <v>1152</v>
      </c>
      <c r="C84" s="1692"/>
      <c r="D84" s="1692"/>
      <c r="E84" s="1693"/>
    </row>
    <row r="85" spans="1:5" s="24" customFormat="1" ht="24" customHeight="1" thickBot="1">
      <c r="A85" s="1685">
        <v>79</v>
      </c>
      <c r="B85" s="1700" t="s">
        <v>1153</v>
      </c>
      <c r="C85" s="1698">
        <f>SUM(C82:C84)</f>
        <v>27264</v>
      </c>
      <c r="D85" s="1698"/>
      <c r="E85" s="1699">
        <f>SUM(E82:E84)</f>
        <v>29305</v>
      </c>
    </row>
    <row r="86" spans="1:5" s="24" customFormat="1" ht="24" customHeight="1" thickBot="1" thickTop="1">
      <c r="A86" s="1685">
        <v>80</v>
      </c>
      <c r="B86" s="1706" t="s">
        <v>1154</v>
      </c>
      <c r="C86" s="1707">
        <f>SUM(C25,C35,C40,C77,C81,C85)</f>
        <v>97799024</v>
      </c>
      <c r="D86" s="1707">
        <f>SUM(D25,D35,D40,D77,D81,D85)</f>
        <v>0</v>
      </c>
      <c r="E86" s="1708">
        <f>SUM(E25,E35,E40,E77,E81,E85)</f>
        <v>106479099</v>
      </c>
    </row>
    <row r="87" spans="1:5" s="24" customFormat="1" ht="24" customHeight="1">
      <c r="A87" s="1685">
        <v>81</v>
      </c>
      <c r="B87" s="1688" t="s">
        <v>1155</v>
      </c>
      <c r="C87" s="1709"/>
      <c r="D87" s="1709"/>
      <c r="E87" s="1710"/>
    </row>
    <row r="88" spans="1:5" ht="16.5" customHeight="1">
      <c r="A88" s="1685">
        <v>82</v>
      </c>
      <c r="B88" s="1691" t="s">
        <v>1156</v>
      </c>
      <c r="C88" s="1692">
        <v>83998213</v>
      </c>
      <c r="D88" s="1692"/>
      <c r="E88" s="1693">
        <v>83998213</v>
      </c>
    </row>
    <row r="89" spans="1:5" ht="16.5" customHeight="1">
      <c r="A89" s="1685">
        <v>83</v>
      </c>
      <c r="B89" s="1691" t="s">
        <v>1157</v>
      </c>
      <c r="C89" s="1692">
        <v>658865</v>
      </c>
      <c r="D89" s="1692"/>
      <c r="E89" s="1693">
        <v>680727</v>
      </c>
    </row>
    <row r="90" spans="1:5" ht="16.5" customHeight="1">
      <c r="A90" s="1685">
        <v>84</v>
      </c>
      <c r="B90" s="1691" t="s">
        <v>1158</v>
      </c>
      <c r="C90" s="1692">
        <v>999741</v>
      </c>
      <c r="D90" s="1692"/>
      <c r="E90" s="1693">
        <v>999741</v>
      </c>
    </row>
    <row r="91" spans="1:5" ht="16.5" customHeight="1">
      <c r="A91" s="1685">
        <v>85</v>
      </c>
      <c r="B91" s="1691" t="s">
        <v>1159</v>
      </c>
      <c r="C91" s="1692">
        <f>-9903008+4630336</f>
        <v>-5272672</v>
      </c>
      <c r="D91" s="1692"/>
      <c r="E91" s="1693">
        <v>-12853143</v>
      </c>
    </row>
    <row r="92" spans="1:5" ht="16.5" customHeight="1">
      <c r="A92" s="1685">
        <v>86</v>
      </c>
      <c r="B92" s="1691" t="s">
        <v>1160</v>
      </c>
      <c r="C92" s="1692"/>
      <c r="D92" s="1692"/>
      <c r="E92" s="1693"/>
    </row>
    <row r="93" spans="1:5" ht="16.5" customHeight="1">
      <c r="A93" s="1685">
        <v>87</v>
      </c>
      <c r="B93" s="1691" t="s">
        <v>1161</v>
      </c>
      <c r="C93" s="1692">
        <v>-7580471</v>
      </c>
      <c r="D93" s="1692"/>
      <c r="E93" s="1693">
        <v>1678289</v>
      </c>
    </row>
    <row r="94" spans="1:5" s="24" customFormat="1" ht="24" customHeight="1" thickBot="1">
      <c r="A94" s="1685">
        <v>88</v>
      </c>
      <c r="B94" s="1700" t="s">
        <v>1162</v>
      </c>
      <c r="C94" s="1698">
        <f>SUM(C87:C93)</f>
        <v>72803676</v>
      </c>
      <c r="D94" s="1698">
        <f>SUM(D87:D93)</f>
        <v>0</v>
      </c>
      <c r="E94" s="1699">
        <f>SUM(E87:E93)</f>
        <v>74503827</v>
      </c>
    </row>
    <row r="95" spans="1:5" ht="16.5" customHeight="1" thickTop="1">
      <c r="A95" s="1685">
        <v>89</v>
      </c>
      <c r="B95" s="1702" t="s">
        <v>1163</v>
      </c>
      <c r="C95" s="1692"/>
      <c r="D95" s="1692"/>
      <c r="E95" s="1693"/>
    </row>
    <row r="96" spans="1:5" ht="16.5" customHeight="1">
      <c r="A96" s="1685">
        <v>90</v>
      </c>
      <c r="B96" s="1702" t="s">
        <v>1164</v>
      </c>
      <c r="C96" s="1692"/>
      <c r="D96" s="1692"/>
      <c r="E96" s="1693"/>
    </row>
    <row r="97" spans="1:5" ht="16.5" customHeight="1">
      <c r="A97" s="1685">
        <v>91</v>
      </c>
      <c r="B97" s="1702" t="s">
        <v>1165</v>
      </c>
      <c r="C97" s="1692">
        <v>69473</v>
      </c>
      <c r="D97" s="1692"/>
      <c r="E97" s="1693">
        <v>31666</v>
      </c>
    </row>
    <row r="98" spans="1:5" ht="16.5" customHeight="1">
      <c r="A98" s="1685">
        <v>92</v>
      </c>
      <c r="B98" s="1702" t="s">
        <v>1166</v>
      </c>
      <c r="C98" s="1692"/>
      <c r="D98" s="1692"/>
      <c r="E98" s="1693"/>
    </row>
    <row r="99" spans="1:5" ht="16.5" customHeight="1">
      <c r="A99" s="1685">
        <v>93</v>
      </c>
      <c r="B99" s="1702" t="s">
        <v>1167</v>
      </c>
      <c r="C99" s="1692">
        <v>50</v>
      </c>
      <c r="D99" s="1692"/>
      <c r="E99" s="1693"/>
    </row>
    <row r="100" spans="1:5" ht="16.5" customHeight="1">
      <c r="A100" s="1685">
        <v>94</v>
      </c>
      <c r="B100" s="1702" t="s">
        <v>1168</v>
      </c>
      <c r="C100" s="1692">
        <v>437054</v>
      </c>
      <c r="D100" s="1692"/>
      <c r="E100" s="1693">
        <f>613+1</f>
        <v>614</v>
      </c>
    </row>
    <row r="101" spans="1:5" ht="16.5" customHeight="1">
      <c r="A101" s="1685">
        <v>95</v>
      </c>
      <c r="B101" s="1702" t="s">
        <v>1169</v>
      </c>
      <c r="C101" s="1692">
        <v>81557</v>
      </c>
      <c r="D101" s="1692"/>
      <c r="E101" s="1693"/>
    </row>
    <row r="102" spans="1:5" ht="16.5" customHeight="1">
      <c r="A102" s="1685">
        <v>96</v>
      </c>
      <c r="B102" s="1702" t="s">
        <v>1170</v>
      </c>
      <c r="C102" s="1692"/>
      <c r="D102" s="1692"/>
      <c r="E102" s="1693"/>
    </row>
    <row r="103" spans="1:5" ht="16.5" customHeight="1">
      <c r="A103" s="1685">
        <v>97</v>
      </c>
      <c r="B103" s="1702" t="s">
        <v>1171</v>
      </c>
      <c r="C103" s="1692"/>
      <c r="D103" s="1692"/>
      <c r="E103" s="1693">
        <v>27</v>
      </c>
    </row>
    <row r="104" spans="1:5" ht="16.5" customHeight="1">
      <c r="A104" s="1685">
        <v>98</v>
      </c>
      <c r="B104" s="1701" t="s">
        <v>1172</v>
      </c>
      <c r="C104" s="1692"/>
      <c r="D104" s="1692"/>
      <c r="E104" s="1693"/>
    </row>
    <row r="105" spans="1:5" s="24" customFormat="1" ht="24" customHeight="1">
      <c r="A105" s="1685">
        <v>99</v>
      </c>
      <c r="B105" s="1694" t="s">
        <v>1173</v>
      </c>
      <c r="C105" s="1695">
        <f>SUM(C95:C104)</f>
        <v>588134</v>
      </c>
      <c r="D105" s="1695"/>
      <c r="E105" s="1696">
        <f>SUM(E95:E104)</f>
        <v>32307</v>
      </c>
    </row>
    <row r="106" spans="1:5" ht="16.5" customHeight="1">
      <c r="A106" s="1685">
        <v>100</v>
      </c>
      <c r="B106" s="1702" t="s">
        <v>1174</v>
      </c>
      <c r="C106" s="1692"/>
      <c r="D106" s="1692"/>
      <c r="E106" s="1693"/>
    </row>
    <row r="107" spans="1:5" ht="16.5" customHeight="1">
      <c r="A107" s="1685">
        <v>101</v>
      </c>
      <c r="B107" s="1701" t="s">
        <v>1175</v>
      </c>
      <c r="C107" s="1692"/>
      <c r="D107" s="1692"/>
      <c r="E107" s="1693"/>
    </row>
    <row r="108" spans="1:5" ht="16.5" customHeight="1">
      <c r="A108" s="1685">
        <v>102</v>
      </c>
      <c r="B108" s="1702" t="s">
        <v>1176</v>
      </c>
      <c r="C108" s="1692">
        <v>172378</v>
      </c>
      <c r="D108" s="1692"/>
      <c r="E108" s="1693">
        <v>72716</v>
      </c>
    </row>
    <row r="109" spans="1:5" ht="16.5" customHeight="1">
      <c r="A109" s="1685">
        <v>103</v>
      </c>
      <c r="B109" s="1702" t="s">
        <v>1177</v>
      </c>
      <c r="C109" s="1692"/>
      <c r="D109" s="1692"/>
      <c r="E109" s="1693"/>
    </row>
    <row r="110" spans="1:5" ht="16.5" customHeight="1">
      <c r="A110" s="1685">
        <v>104</v>
      </c>
      <c r="B110" s="1701" t="s">
        <v>1178</v>
      </c>
      <c r="C110" s="1692"/>
      <c r="D110" s="1692"/>
      <c r="E110" s="1693"/>
    </row>
    <row r="111" spans="1:5" ht="16.5" customHeight="1">
      <c r="A111" s="1685">
        <v>105</v>
      </c>
      <c r="B111" s="1702" t="s">
        <v>1179</v>
      </c>
      <c r="C111" s="1692">
        <v>280</v>
      </c>
      <c r="D111" s="1692"/>
      <c r="E111" s="1693">
        <v>238247</v>
      </c>
    </row>
    <row r="112" spans="1:5" ht="16.5" customHeight="1">
      <c r="A112" s="1685">
        <v>106</v>
      </c>
      <c r="B112" s="1702" t="s">
        <v>1180</v>
      </c>
      <c r="C112" s="1692"/>
      <c r="D112" s="1692"/>
      <c r="E112" s="1693"/>
    </row>
    <row r="113" spans="1:5" ht="16.5" customHeight="1">
      <c r="A113" s="1685">
        <v>107</v>
      </c>
      <c r="B113" s="1701" t="s">
        <v>1181</v>
      </c>
      <c r="C113" s="1692"/>
      <c r="D113" s="1692"/>
      <c r="E113" s="1693"/>
    </row>
    <row r="114" spans="1:5" ht="16.5" customHeight="1">
      <c r="A114" s="1685">
        <v>108</v>
      </c>
      <c r="B114" s="1702" t="s">
        <v>1182</v>
      </c>
      <c r="C114" s="1692">
        <v>609345</v>
      </c>
      <c r="D114" s="1692"/>
      <c r="E114" s="1693">
        <v>1215783</v>
      </c>
    </row>
    <row r="115" spans="1:5" ht="16.5" customHeight="1">
      <c r="A115" s="1685">
        <v>109</v>
      </c>
      <c r="B115" s="1702" t="s">
        <v>1183</v>
      </c>
      <c r="C115" s="1692">
        <v>498078</v>
      </c>
      <c r="D115" s="1692"/>
      <c r="E115" s="1693">
        <v>1034949</v>
      </c>
    </row>
    <row r="116" spans="1:5" s="24" customFormat="1" ht="24" customHeight="1">
      <c r="A116" s="1685">
        <v>110</v>
      </c>
      <c r="B116" s="1694" t="s">
        <v>1184</v>
      </c>
      <c r="C116" s="1695">
        <f>SUM(C106:C115)-C115</f>
        <v>782003</v>
      </c>
      <c r="D116" s="1695">
        <f>SUM(D106:D115)-D115</f>
        <v>0</v>
      </c>
      <c r="E116" s="1696">
        <f>SUM(E106:E115)-E115</f>
        <v>1526746</v>
      </c>
    </row>
    <row r="117" spans="1:5" ht="16.5" customHeight="1">
      <c r="A117" s="1685">
        <v>111</v>
      </c>
      <c r="B117" s="1691" t="s">
        <v>1185</v>
      </c>
      <c r="C117" s="1692">
        <v>398233</v>
      </c>
      <c r="D117" s="1692"/>
      <c r="E117" s="1693">
        <v>491271</v>
      </c>
    </row>
    <row r="118" spans="1:5" ht="16.5" customHeight="1">
      <c r="A118" s="1685">
        <v>112</v>
      </c>
      <c r="B118" s="1691" t="s">
        <v>1186</v>
      </c>
      <c r="C118" s="1692"/>
      <c r="D118" s="1692"/>
      <c r="E118" s="1693"/>
    </row>
    <row r="119" spans="1:5" ht="16.5" customHeight="1">
      <c r="A119" s="1685">
        <v>113</v>
      </c>
      <c r="B119" s="1691" t="s">
        <v>1187</v>
      </c>
      <c r="C119" s="1692">
        <f>152-1</f>
        <v>151</v>
      </c>
      <c r="D119" s="1692"/>
      <c r="E119" s="1693">
        <v>380</v>
      </c>
    </row>
    <row r="120" spans="1:5" ht="16.5" customHeight="1">
      <c r="A120" s="1685">
        <v>114</v>
      </c>
      <c r="B120" s="1691" t="s">
        <v>1188</v>
      </c>
      <c r="C120" s="1692"/>
      <c r="D120" s="1692"/>
      <c r="E120" s="1693"/>
    </row>
    <row r="121" spans="1:5" ht="16.5" customHeight="1">
      <c r="A121" s="1685">
        <v>115</v>
      </c>
      <c r="B121" s="1691" t="s">
        <v>1189</v>
      </c>
      <c r="C121" s="1692">
        <v>184699</v>
      </c>
      <c r="D121" s="1692"/>
      <c r="E121" s="1693">
        <v>179317</v>
      </c>
    </row>
    <row r="122" spans="1:5" ht="16.5" customHeight="1">
      <c r="A122" s="1685">
        <v>116</v>
      </c>
      <c r="B122" s="1691" t="s">
        <v>1190</v>
      </c>
      <c r="C122" s="1692"/>
      <c r="D122" s="1692"/>
      <c r="E122" s="1693"/>
    </row>
    <row r="123" spans="1:5" ht="16.5" customHeight="1">
      <c r="A123" s="1685">
        <v>117</v>
      </c>
      <c r="B123" s="1691" t="s">
        <v>1191</v>
      </c>
      <c r="C123" s="1692"/>
      <c r="D123" s="1692"/>
      <c r="E123" s="1693"/>
    </row>
    <row r="124" spans="1:5" ht="16.5" customHeight="1">
      <c r="A124" s="1685">
        <v>118</v>
      </c>
      <c r="B124" s="1691" t="s">
        <v>1192</v>
      </c>
      <c r="C124" s="1692">
        <v>12860</v>
      </c>
      <c r="D124" s="1692"/>
      <c r="E124" s="1693">
        <v>29659</v>
      </c>
    </row>
    <row r="125" spans="1:5" ht="16.5" customHeight="1">
      <c r="A125" s="1685">
        <v>119</v>
      </c>
      <c r="B125" s="1691" t="s">
        <v>1193</v>
      </c>
      <c r="C125" s="1692"/>
      <c r="D125" s="1692"/>
      <c r="E125" s="1693"/>
    </row>
    <row r="126" spans="1:5" ht="16.5" customHeight="1">
      <c r="A126" s="1685">
        <v>120</v>
      </c>
      <c r="B126" s="1691" t="s">
        <v>1194</v>
      </c>
      <c r="C126" s="1692"/>
      <c r="D126" s="1692"/>
      <c r="E126" s="1693"/>
    </row>
    <row r="127" spans="1:5" s="24" customFormat="1" ht="24" customHeight="1">
      <c r="A127" s="1685">
        <v>121</v>
      </c>
      <c r="B127" s="1694" t="s">
        <v>1195</v>
      </c>
      <c r="C127" s="1695">
        <f>SUM(C117:C126)</f>
        <v>595943</v>
      </c>
      <c r="D127" s="1695">
        <f>SUM(D117:D126)</f>
        <v>0</v>
      </c>
      <c r="E127" s="1696">
        <f>SUM(E117:E126)</f>
        <v>700627</v>
      </c>
    </row>
    <row r="128" spans="1:5" s="24" customFormat="1" ht="24" customHeight="1" thickBot="1">
      <c r="A128" s="1685">
        <v>122</v>
      </c>
      <c r="B128" s="1700" t="s">
        <v>1196</v>
      </c>
      <c r="C128" s="1698">
        <f>SUM(C105,C116,C127)</f>
        <v>1966080</v>
      </c>
      <c r="D128" s="1698">
        <f>SUM(D105,D116,D127)</f>
        <v>0</v>
      </c>
      <c r="E128" s="1699">
        <f>SUM(E105,E116,E127)</f>
        <v>2259680</v>
      </c>
    </row>
    <row r="129" spans="1:5" s="24" customFormat="1" ht="24" customHeight="1" thickBot="1" thickTop="1">
      <c r="A129" s="1685">
        <v>123</v>
      </c>
      <c r="B129" s="1711" t="s">
        <v>1197</v>
      </c>
      <c r="C129" s="1712"/>
      <c r="D129" s="1712"/>
      <c r="E129" s="1713"/>
    </row>
    <row r="130" spans="1:5" ht="16.5" customHeight="1" thickTop="1">
      <c r="A130" s="1685">
        <v>124</v>
      </c>
      <c r="B130" s="1691" t="s">
        <v>1198</v>
      </c>
      <c r="C130" s="1692">
        <f>3990482-1</f>
        <v>3990481</v>
      </c>
      <c r="D130" s="1692"/>
      <c r="E130" s="1693">
        <v>5043194</v>
      </c>
    </row>
    <row r="131" spans="1:5" ht="16.5" customHeight="1">
      <c r="A131" s="1685">
        <v>125</v>
      </c>
      <c r="B131" s="1691" t="s">
        <v>1199</v>
      </c>
      <c r="C131" s="1692">
        <v>809947</v>
      </c>
      <c r="D131" s="1692"/>
      <c r="E131" s="1693">
        <v>557999</v>
      </c>
    </row>
    <row r="132" spans="1:5" ht="16.5" customHeight="1">
      <c r="A132" s="1685">
        <v>126</v>
      </c>
      <c r="B132" s="1691" t="s">
        <v>1200</v>
      </c>
      <c r="C132" s="1692">
        <v>18228840</v>
      </c>
      <c r="D132" s="1692"/>
      <c r="E132" s="1693">
        <f>24114400-1</f>
        <v>24114399</v>
      </c>
    </row>
    <row r="133" spans="1:5" s="24" customFormat="1" ht="24" customHeight="1" thickBot="1">
      <c r="A133" s="1685">
        <v>127</v>
      </c>
      <c r="B133" s="1700" t="s">
        <v>1201</v>
      </c>
      <c r="C133" s="1698">
        <f>SUM(C130:C132)</f>
        <v>23029268</v>
      </c>
      <c r="D133" s="1698">
        <f>SUM(D130:D132)</f>
        <v>0</v>
      </c>
      <c r="E133" s="1699">
        <f>SUM(E130:E132)</f>
        <v>29715592</v>
      </c>
    </row>
    <row r="134" spans="1:5" s="24" customFormat="1" ht="24" customHeight="1" thickBot="1" thickTop="1">
      <c r="A134" s="1685">
        <v>128</v>
      </c>
      <c r="B134" s="1706" t="s">
        <v>1202</v>
      </c>
      <c r="C134" s="1707">
        <f>SUM(C94,C128,C129,C133)</f>
        <v>97799024</v>
      </c>
      <c r="D134" s="1707">
        <f>SUM(D94,D128,D129,D133)</f>
        <v>0</v>
      </c>
      <c r="E134" s="1708">
        <f>SUM(E94,E128,E129,E133)</f>
        <v>106479099</v>
      </c>
    </row>
    <row r="135" spans="2:5" ht="16.5">
      <c r="B135" s="1488" t="s">
        <v>1203</v>
      </c>
      <c r="C135" s="22"/>
      <c r="D135" s="22"/>
      <c r="E135" s="22"/>
    </row>
    <row r="136" spans="3:5" ht="16.5">
      <c r="C136" s="22">
        <f>+C86-C134</f>
        <v>0</v>
      </c>
      <c r="D136" s="22">
        <f>+D86-D134</f>
        <v>0</v>
      </c>
      <c r="E136" s="22">
        <f>+E86-E134</f>
        <v>0</v>
      </c>
    </row>
  </sheetData>
  <sheetProtection/>
  <mergeCells count="4">
    <mergeCell ref="B1:C1"/>
    <mergeCell ref="B2:E2"/>
    <mergeCell ref="B3:E3"/>
    <mergeCell ref="D4:E4"/>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75" r:id="rId1"/>
  <headerFooter>
    <oddFooter>&amp;C- &amp;P -</oddFooter>
  </headerFooter>
</worksheet>
</file>

<file path=xl/worksheets/sheet17.xml><?xml version="1.0" encoding="utf-8"?>
<worksheet xmlns="http://schemas.openxmlformats.org/spreadsheetml/2006/main" xmlns:r="http://schemas.openxmlformats.org/officeDocument/2006/relationships">
  <dimension ref="A1:H141"/>
  <sheetViews>
    <sheetView view="pageBreakPreview" zoomScaleSheetLayoutView="100" zoomScalePageLayoutView="0" workbookViewId="0" topLeftCell="A1">
      <selection activeCell="B1" sqref="B1:C1"/>
    </sheetView>
  </sheetViews>
  <sheetFormatPr defaultColWidth="9.00390625" defaultRowHeight="16.5" customHeight="1"/>
  <cols>
    <col min="1" max="1" width="4.75390625" style="318" customWidth="1"/>
    <col min="2" max="2" width="60.75390625" style="23" customWidth="1"/>
    <col min="3" max="8" width="17.75390625" style="22" customWidth="1"/>
    <col min="9" max="16384" width="9.125" style="23" customWidth="1"/>
  </cols>
  <sheetData>
    <row r="1" spans="1:8" s="24" customFormat="1" ht="16.5" customHeight="1">
      <c r="A1" s="319"/>
      <c r="B1" s="2298" t="s">
        <v>1473</v>
      </c>
      <c r="C1" s="2298"/>
      <c r="D1" s="1597"/>
      <c r="E1" s="1597"/>
      <c r="F1" s="1597"/>
      <c r="G1" s="1597"/>
      <c r="H1" s="1598"/>
    </row>
    <row r="2" spans="1:8" s="24" customFormat="1" ht="24.75" customHeight="1">
      <c r="A2" s="319"/>
      <c r="B2" s="2021" t="s">
        <v>122</v>
      </c>
      <c r="C2" s="2021"/>
      <c r="D2" s="2021"/>
      <c r="E2" s="2021"/>
      <c r="F2" s="2021"/>
      <c r="G2" s="2021"/>
      <c r="H2" s="2021"/>
    </row>
    <row r="3" spans="1:8" s="24" customFormat="1" ht="24.75" customHeight="1">
      <c r="A3" s="319"/>
      <c r="B3" s="2021" t="s">
        <v>1064</v>
      </c>
      <c r="C3" s="2021"/>
      <c r="D3" s="2021"/>
      <c r="E3" s="2021"/>
      <c r="F3" s="2021"/>
      <c r="G3" s="2021"/>
      <c r="H3" s="2021"/>
    </row>
    <row r="4" ht="16.5" customHeight="1">
      <c r="H4" s="1489" t="s">
        <v>0</v>
      </c>
    </row>
    <row r="5" spans="2:8" s="318" customFormat="1" ht="16.5" customHeight="1" thickBot="1">
      <c r="B5" s="318" t="s">
        <v>1</v>
      </c>
      <c r="C5" s="1492" t="s">
        <v>3</v>
      </c>
      <c r="D5" s="1492" t="s">
        <v>2</v>
      </c>
      <c r="E5" s="1492" t="s">
        <v>4</v>
      </c>
      <c r="F5" s="1492" t="s">
        <v>5</v>
      </c>
      <c r="G5" s="1492" t="s">
        <v>15</v>
      </c>
      <c r="H5" s="1492" t="s">
        <v>16</v>
      </c>
    </row>
    <row r="6" spans="2:8" s="318" customFormat="1" ht="105.75" customHeight="1" thickBot="1">
      <c r="B6" s="1599" t="s">
        <v>1057</v>
      </c>
      <c r="C6" s="1600" t="s">
        <v>1058</v>
      </c>
      <c r="D6" s="1601" t="s">
        <v>1059</v>
      </c>
      <c r="E6" s="1600" t="s">
        <v>1060</v>
      </c>
      <c r="F6" s="1600" t="s">
        <v>1061</v>
      </c>
      <c r="G6" s="1600" t="s">
        <v>1062</v>
      </c>
      <c r="H6" s="1600" t="s">
        <v>1063</v>
      </c>
    </row>
    <row r="7" spans="1:8" s="24" customFormat="1" ht="19.5" customHeight="1">
      <c r="A7" s="319">
        <v>1</v>
      </c>
      <c r="B7" s="1602" t="s">
        <v>265</v>
      </c>
      <c r="C7" s="1603">
        <v>-453071</v>
      </c>
      <c r="D7" s="1603">
        <v>645362</v>
      </c>
      <c r="E7" s="1603">
        <f>C7+D7</f>
        <v>192291</v>
      </c>
      <c r="F7" s="1603">
        <v>42479</v>
      </c>
      <c r="G7" s="1603"/>
      <c r="H7" s="1604">
        <f>E7-F7</f>
        <v>149812</v>
      </c>
    </row>
    <row r="8" spans="1:8" s="24" customFormat="1" ht="19.5" customHeight="1">
      <c r="A8" s="319">
        <v>2</v>
      </c>
      <c r="B8" s="1605" t="s">
        <v>306</v>
      </c>
      <c r="C8" s="1606">
        <v>-200411</v>
      </c>
      <c r="D8" s="1606">
        <v>215926</v>
      </c>
      <c r="E8" s="1606">
        <f aca="true" t="shared" si="0" ref="E8:E23">C8+D8</f>
        <v>15515</v>
      </c>
      <c r="F8" s="1606">
        <v>2415</v>
      </c>
      <c r="G8" s="1606"/>
      <c r="H8" s="1607">
        <f aca="true" t="shared" si="1" ref="H8:H22">E8-F8</f>
        <v>13100</v>
      </c>
    </row>
    <row r="9" spans="1:8" s="24" customFormat="1" ht="19.5" customHeight="1">
      <c r="A9" s="319">
        <v>3</v>
      </c>
      <c r="B9" s="1605" t="s">
        <v>305</v>
      </c>
      <c r="C9" s="1606">
        <v>-370524</v>
      </c>
      <c r="D9" s="1606">
        <v>391760</v>
      </c>
      <c r="E9" s="1606">
        <f t="shared" si="0"/>
        <v>21236</v>
      </c>
      <c r="F9" s="1606">
        <v>2579</v>
      </c>
      <c r="G9" s="1606"/>
      <c r="H9" s="1607">
        <f t="shared" si="1"/>
        <v>18657</v>
      </c>
    </row>
    <row r="10" spans="1:8" s="24" customFormat="1" ht="19.5" customHeight="1">
      <c r="A10" s="319">
        <v>4</v>
      </c>
      <c r="B10" s="1605" t="s">
        <v>261</v>
      </c>
      <c r="C10" s="1606">
        <v>-400837</v>
      </c>
      <c r="D10" s="1606">
        <v>438191</v>
      </c>
      <c r="E10" s="1606">
        <f t="shared" si="0"/>
        <v>37354</v>
      </c>
      <c r="F10" s="1606">
        <v>2330</v>
      </c>
      <c r="G10" s="1606"/>
      <c r="H10" s="1607">
        <f t="shared" si="1"/>
        <v>35024</v>
      </c>
    </row>
    <row r="11" spans="1:8" s="24" customFormat="1" ht="19.5" customHeight="1">
      <c r="A11" s="319">
        <v>5</v>
      </c>
      <c r="B11" s="1608" t="s">
        <v>262</v>
      </c>
      <c r="C11" s="1606">
        <v>-306544</v>
      </c>
      <c r="D11" s="1606">
        <v>325378</v>
      </c>
      <c r="E11" s="1606">
        <f t="shared" si="0"/>
        <v>18834</v>
      </c>
      <c r="F11" s="1606">
        <v>5512</v>
      </c>
      <c r="G11" s="1606"/>
      <c r="H11" s="1607">
        <f t="shared" si="1"/>
        <v>13322</v>
      </c>
    </row>
    <row r="12" spans="1:8" s="24" customFormat="1" ht="19.5" customHeight="1">
      <c r="A12" s="319">
        <v>6</v>
      </c>
      <c r="B12" s="1605" t="s">
        <v>263</v>
      </c>
      <c r="C12" s="1606">
        <v>-329101</v>
      </c>
      <c r="D12" s="1606">
        <v>351426</v>
      </c>
      <c r="E12" s="1606">
        <f t="shared" si="0"/>
        <v>22325</v>
      </c>
      <c r="F12" s="1606">
        <v>5647</v>
      </c>
      <c r="G12" s="1606"/>
      <c r="H12" s="1607">
        <f t="shared" si="1"/>
        <v>16678</v>
      </c>
    </row>
    <row r="13" spans="1:8" s="24" customFormat="1" ht="19.5" customHeight="1">
      <c r="A13" s="319">
        <v>7</v>
      </c>
      <c r="B13" s="1608" t="s">
        <v>264</v>
      </c>
      <c r="C13" s="1606">
        <v>-166260</v>
      </c>
      <c r="D13" s="1606">
        <v>184371</v>
      </c>
      <c r="E13" s="1606">
        <f t="shared" si="0"/>
        <v>18111</v>
      </c>
      <c r="F13" s="1606">
        <v>976</v>
      </c>
      <c r="G13" s="1606"/>
      <c r="H13" s="1607">
        <f t="shared" si="1"/>
        <v>17135</v>
      </c>
    </row>
    <row r="14" spans="1:8" s="24" customFormat="1" ht="30.75" customHeight="1">
      <c r="A14" s="319">
        <v>8</v>
      </c>
      <c r="B14" s="1608" t="s">
        <v>354</v>
      </c>
      <c r="C14" s="1606">
        <v>-992998</v>
      </c>
      <c r="D14" s="1606">
        <v>1064307</v>
      </c>
      <c r="E14" s="1606">
        <f t="shared" si="0"/>
        <v>71309</v>
      </c>
      <c r="F14" s="1606">
        <v>7754</v>
      </c>
      <c r="G14" s="1606"/>
      <c r="H14" s="1607">
        <f t="shared" si="1"/>
        <v>63555</v>
      </c>
    </row>
    <row r="15" spans="1:8" s="24" customFormat="1" ht="19.5" customHeight="1">
      <c r="A15" s="319">
        <v>9</v>
      </c>
      <c r="B15" s="1608" t="s">
        <v>123</v>
      </c>
      <c r="C15" s="1606">
        <v>-76085</v>
      </c>
      <c r="D15" s="1606">
        <v>94520</v>
      </c>
      <c r="E15" s="1606">
        <f t="shared" si="0"/>
        <v>18435</v>
      </c>
      <c r="F15" s="1606">
        <f>1042+1</f>
        <v>1043</v>
      </c>
      <c r="G15" s="1606"/>
      <c r="H15" s="1607">
        <f>E15-F15</f>
        <v>17392</v>
      </c>
    </row>
    <row r="16" spans="1:8" s="24" customFormat="1" ht="19.5" customHeight="1">
      <c r="A16" s="319">
        <v>10</v>
      </c>
      <c r="B16" s="1608" t="s">
        <v>495</v>
      </c>
      <c r="C16" s="1606">
        <v>-297553</v>
      </c>
      <c r="D16" s="1606">
        <v>340927</v>
      </c>
      <c r="E16" s="1606">
        <f t="shared" si="0"/>
        <v>43374</v>
      </c>
      <c r="F16" s="1606">
        <v>771</v>
      </c>
      <c r="G16" s="1606"/>
      <c r="H16" s="1607">
        <f t="shared" si="1"/>
        <v>42603</v>
      </c>
    </row>
    <row r="17" spans="1:8" s="24" customFormat="1" ht="19.5" customHeight="1">
      <c r="A17" s="319">
        <v>11</v>
      </c>
      <c r="B17" s="1608" t="s">
        <v>496</v>
      </c>
      <c r="C17" s="1606">
        <v>-174062</v>
      </c>
      <c r="D17" s="1606">
        <v>242845</v>
      </c>
      <c r="E17" s="1606">
        <f t="shared" si="0"/>
        <v>68783</v>
      </c>
      <c r="F17" s="1606">
        <v>31585</v>
      </c>
      <c r="G17" s="1606"/>
      <c r="H17" s="1607">
        <f t="shared" si="1"/>
        <v>37198</v>
      </c>
    </row>
    <row r="18" spans="1:8" s="24" customFormat="1" ht="19.5" customHeight="1">
      <c r="A18" s="319">
        <v>12</v>
      </c>
      <c r="B18" s="1608" t="s">
        <v>480</v>
      </c>
      <c r="C18" s="1606">
        <v>-114741</v>
      </c>
      <c r="D18" s="1606">
        <v>134650</v>
      </c>
      <c r="E18" s="1606">
        <f t="shared" si="0"/>
        <v>19909</v>
      </c>
      <c r="F18" s="1606">
        <v>13280</v>
      </c>
      <c r="G18" s="1606"/>
      <c r="H18" s="1607">
        <f t="shared" si="1"/>
        <v>6629</v>
      </c>
    </row>
    <row r="19" spans="1:8" s="24" customFormat="1" ht="19.5" customHeight="1">
      <c r="A19" s="319">
        <v>13</v>
      </c>
      <c r="B19" s="1605" t="s">
        <v>25</v>
      </c>
      <c r="C19" s="1606">
        <v>-418099</v>
      </c>
      <c r="D19" s="1606">
        <v>441856</v>
      </c>
      <c r="E19" s="1606">
        <f t="shared" si="0"/>
        <v>23757</v>
      </c>
      <c r="F19" s="1606">
        <v>20901</v>
      </c>
      <c r="G19" s="1606"/>
      <c r="H19" s="1607">
        <f t="shared" si="1"/>
        <v>2856</v>
      </c>
    </row>
    <row r="20" spans="1:8" s="24" customFormat="1" ht="19.5" customHeight="1">
      <c r="A20" s="319">
        <v>14</v>
      </c>
      <c r="B20" s="1605" t="s">
        <v>34</v>
      </c>
      <c r="C20" s="1606">
        <v>-199138</v>
      </c>
      <c r="D20" s="1606">
        <v>246478</v>
      </c>
      <c r="E20" s="1606">
        <f t="shared" si="0"/>
        <v>47340</v>
      </c>
      <c r="F20" s="1606">
        <v>47340</v>
      </c>
      <c r="G20" s="1606"/>
      <c r="H20" s="1607">
        <f t="shared" si="1"/>
        <v>0</v>
      </c>
    </row>
    <row r="21" spans="1:8" s="24" customFormat="1" ht="19.5" customHeight="1">
      <c r="A21" s="319">
        <v>15</v>
      </c>
      <c r="B21" s="1605" t="s">
        <v>481</v>
      </c>
      <c r="C21" s="1606">
        <v>-111578</v>
      </c>
      <c r="D21" s="1606">
        <v>117999</v>
      </c>
      <c r="E21" s="1606">
        <f t="shared" si="0"/>
        <v>6421</v>
      </c>
      <c r="F21" s="1606">
        <v>6421</v>
      </c>
      <c r="G21" s="1606"/>
      <c r="H21" s="1607">
        <f t="shared" si="1"/>
        <v>0</v>
      </c>
    </row>
    <row r="22" spans="1:8" s="24" customFormat="1" ht="19.5" customHeight="1">
      <c r="A22" s="319">
        <v>16</v>
      </c>
      <c r="B22" s="1608" t="s">
        <v>155</v>
      </c>
      <c r="C22" s="1606">
        <v>-620594</v>
      </c>
      <c r="D22" s="1606">
        <v>753375</v>
      </c>
      <c r="E22" s="1606">
        <f t="shared" si="0"/>
        <v>132781</v>
      </c>
      <c r="F22" s="1606"/>
      <c r="G22" s="1606"/>
      <c r="H22" s="1607">
        <f t="shared" si="1"/>
        <v>132781</v>
      </c>
    </row>
    <row r="23" spans="1:8" s="24" customFormat="1" ht="19.5" customHeight="1" thickBot="1">
      <c r="A23" s="319">
        <v>17</v>
      </c>
      <c r="B23" s="1609" t="s">
        <v>197</v>
      </c>
      <c r="C23" s="1610">
        <v>-1436167</v>
      </c>
      <c r="D23" s="1610">
        <v>1894149</v>
      </c>
      <c r="E23" s="1610">
        <f t="shared" si="0"/>
        <v>457982</v>
      </c>
      <c r="F23" s="1610">
        <v>141233</v>
      </c>
      <c r="G23" s="1610"/>
      <c r="H23" s="1611">
        <f>E23-F23</f>
        <v>316749</v>
      </c>
    </row>
    <row r="24" spans="1:8" s="1615" customFormat="1" ht="27.75" customHeight="1" thickBot="1">
      <c r="A24" s="319">
        <v>18</v>
      </c>
      <c r="B24" s="1612" t="s">
        <v>124</v>
      </c>
      <c r="C24" s="1613">
        <f aca="true" t="shared" si="2" ref="C24:H24">SUM(C7:C23)</f>
        <v>-6667763</v>
      </c>
      <c r="D24" s="1613">
        <f t="shared" si="2"/>
        <v>7883520</v>
      </c>
      <c r="E24" s="1613">
        <f t="shared" si="2"/>
        <v>1215757</v>
      </c>
      <c r="F24" s="1613">
        <f>SUM(F7:F23)</f>
        <v>332266</v>
      </c>
      <c r="G24" s="1613">
        <f t="shared" si="2"/>
        <v>0</v>
      </c>
      <c r="H24" s="1614">
        <f t="shared" si="2"/>
        <v>883491</v>
      </c>
    </row>
    <row r="25" spans="1:8" s="24" customFormat="1" ht="19.5" customHeight="1" thickBot="1">
      <c r="A25" s="319">
        <v>19</v>
      </c>
      <c r="B25" s="1616" t="s">
        <v>125</v>
      </c>
      <c r="C25" s="1617">
        <v>11133628</v>
      </c>
      <c r="D25" s="1617">
        <v>6716262</v>
      </c>
      <c r="E25" s="1617">
        <f>C25+D25</f>
        <v>17849890</v>
      </c>
      <c r="F25" s="1617">
        <v>16488295</v>
      </c>
      <c r="G25" s="1617">
        <v>38172</v>
      </c>
      <c r="H25" s="1618">
        <f>E25-F25</f>
        <v>1361595</v>
      </c>
    </row>
    <row r="26" spans="1:8" s="1615" customFormat="1" ht="27.75" customHeight="1" thickBot="1">
      <c r="A26" s="319">
        <v>20</v>
      </c>
      <c r="B26" s="1612" t="s">
        <v>139</v>
      </c>
      <c r="C26" s="1613">
        <f>SUM(C24:C25)</f>
        <v>4465865</v>
      </c>
      <c r="D26" s="1613">
        <f>SUM(D24:D25)</f>
        <v>14599782</v>
      </c>
      <c r="E26" s="1613">
        <f>SUM(E24:E25)</f>
        <v>19065647</v>
      </c>
      <c r="F26" s="1613">
        <f>SUM(F24:F25)</f>
        <v>16820561</v>
      </c>
      <c r="G26" s="1613">
        <f>SUM(G24:G25)</f>
        <v>38172</v>
      </c>
      <c r="H26" s="1614">
        <f>SUM(H24:H25)</f>
        <v>2245086</v>
      </c>
    </row>
    <row r="28" spans="3:8" ht="16.5" customHeight="1">
      <c r="C28" s="1863"/>
      <c r="D28" s="1863"/>
      <c r="E28" s="1863"/>
      <c r="F28" s="1863"/>
      <c r="G28" s="1863"/>
      <c r="H28" s="1863"/>
    </row>
    <row r="30" ht="16.5" customHeight="1">
      <c r="B30" s="41"/>
    </row>
    <row r="31" spans="1:2" s="22" customFormat="1" ht="16.5" customHeight="1">
      <c r="A31" s="318"/>
      <c r="B31" s="23"/>
    </row>
    <row r="32" spans="1:2" s="22" customFormat="1" ht="16.5" customHeight="1">
      <c r="A32" s="318"/>
      <c r="B32" s="23"/>
    </row>
    <row r="33" spans="1:2" s="22" customFormat="1" ht="16.5" customHeight="1">
      <c r="A33" s="318"/>
      <c r="B33" s="23"/>
    </row>
    <row r="34" spans="1:4" s="22" customFormat="1" ht="16.5" customHeight="1">
      <c r="A34" s="318"/>
      <c r="B34" s="23"/>
      <c r="C34" s="165"/>
      <c r="D34" s="165"/>
    </row>
    <row r="35" spans="1:2" s="22" customFormat="1" ht="16.5" customHeight="1">
      <c r="A35" s="318"/>
      <c r="B35" s="41"/>
    </row>
    <row r="36" spans="1:2" s="22" customFormat="1" ht="16.5" customHeight="1">
      <c r="A36" s="318"/>
      <c r="B36" s="23"/>
    </row>
    <row r="37" spans="1:2" s="22" customFormat="1" ht="16.5" customHeight="1">
      <c r="A37" s="318"/>
      <c r="B37" s="23"/>
    </row>
    <row r="38" spans="1:2" s="22" customFormat="1" ht="16.5" customHeight="1">
      <c r="A38" s="318"/>
      <c r="B38" s="23"/>
    </row>
    <row r="39" spans="1:2" s="22" customFormat="1" ht="16.5" customHeight="1">
      <c r="A39" s="318"/>
      <c r="B39" s="23"/>
    </row>
    <row r="40" spans="1:2" s="22" customFormat="1" ht="16.5" customHeight="1">
      <c r="A40" s="318"/>
      <c r="B40" s="23"/>
    </row>
    <row r="41" spans="1:2" s="22" customFormat="1" ht="16.5" customHeight="1">
      <c r="A41" s="318"/>
      <c r="B41" s="41"/>
    </row>
    <row r="42" spans="1:5" s="22" customFormat="1" ht="16.5" customHeight="1">
      <c r="A42" s="318"/>
      <c r="B42" s="23"/>
      <c r="C42" s="165"/>
      <c r="D42" s="165"/>
      <c r="E42" s="165"/>
    </row>
    <row r="43" spans="1:7" s="22" customFormat="1" ht="16.5" customHeight="1">
      <c r="A43" s="318"/>
      <c r="B43" s="23"/>
      <c r="F43" s="165"/>
      <c r="G43" s="165"/>
    </row>
    <row r="44" spans="1:4" s="22" customFormat="1" ht="16.5" customHeight="1">
      <c r="A44" s="318"/>
      <c r="B44" s="23"/>
      <c r="C44" s="165"/>
      <c r="D44" s="165"/>
    </row>
    <row r="45" spans="1:4" s="22" customFormat="1" ht="16.5" customHeight="1">
      <c r="A45" s="318"/>
      <c r="B45" s="23"/>
      <c r="C45" s="165"/>
      <c r="D45" s="165"/>
    </row>
    <row r="46" spans="1:2" s="22" customFormat="1" ht="16.5" customHeight="1">
      <c r="A46" s="318"/>
      <c r="B46" s="23"/>
    </row>
    <row r="47" spans="1:2" s="22" customFormat="1" ht="16.5" customHeight="1">
      <c r="A47" s="318"/>
      <c r="B47" s="23"/>
    </row>
    <row r="48" spans="1:2" s="22" customFormat="1" ht="16.5" customHeight="1">
      <c r="A48" s="318"/>
      <c r="B48" s="41"/>
    </row>
    <row r="49" spans="1:2" s="22" customFormat="1" ht="16.5" customHeight="1">
      <c r="A49" s="318"/>
      <c r="B49" s="23"/>
    </row>
    <row r="50" spans="1:2" s="22" customFormat="1" ht="16.5" customHeight="1">
      <c r="A50" s="318"/>
      <c r="B50" s="23"/>
    </row>
    <row r="51" spans="1:5" s="22" customFormat="1" ht="16.5" customHeight="1">
      <c r="A51" s="318"/>
      <c r="B51" s="41"/>
      <c r="E51" s="165"/>
    </row>
    <row r="52" spans="1:7" s="22" customFormat="1" ht="16.5" customHeight="1">
      <c r="A52" s="318"/>
      <c r="B52" s="23"/>
      <c r="E52" s="165"/>
      <c r="F52" s="165"/>
      <c r="G52" s="165"/>
    </row>
    <row r="53" spans="1:7" s="22" customFormat="1" ht="16.5" customHeight="1">
      <c r="A53" s="318"/>
      <c r="B53" s="23"/>
      <c r="E53" s="165"/>
      <c r="F53" s="165"/>
      <c r="G53" s="165"/>
    </row>
    <row r="54" spans="1:7" s="22" customFormat="1" ht="16.5" customHeight="1">
      <c r="A54" s="318"/>
      <c r="B54" s="23"/>
      <c r="E54" s="165"/>
      <c r="F54" s="165"/>
      <c r="G54" s="165"/>
    </row>
    <row r="55" spans="1:4" s="22" customFormat="1" ht="16.5" customHeight="1">
      <c r="A55" s="318"/>
      <c r="B55" s="41"/>
      <c r="C55" s="165"/>
      <c r="D55" s="165"/>
    </row>
    <row r="56" spans="1:7" s="22" customFormat="1" ht="16.5" customHeight="1">
      <c r="A56" s="318"/>
      <c r="B56" s="23"/>
      <c r="C56" s="165"/>
      <c r="D56" s="165"/>
      <c r="E56" s="165"/>
      <c r="F56" s="165"/>
      <c r="G56" s="165"/>
    </row>
    <row r="57" spans="1:7" s="22" customFormat="1" ht="16.5" customHeight="1">
      <c r="A57" s="318"/>
      <c r="B57" s="41"/>
      <c r="C57" s="165"/>
      <c r="D57" s="165"/>
      <c r="E57" s="165"/>
      <c r="F57" s="165"/>
      <c r="G57" s="165"/>
    </row>
    <row r="58" spans="1:2" s="22" customFormat="1" ht="16.5" customHeight="1">
      <c r="A58" s="318"/>
      <c r="B58" s="23"/>
    </row>
    <row r="59" spans="1:2" s="22" customFormat="1" ht="16.5" customHeight="1">
      <c r="A59" s="318"/>
      <c r="B59" s="23"/>
    </row>
    <row r="60" spans="1:2" s="22" customFormat="1" ht="16.5" customHeight="1">
      <c r="A60" s="318"/>
      <c r="B60" s="23"/>
    </row>
    <row r="61" spans="1:2" s="22" customFormat="1" ht="16.5" customHeight="1">
      <c r="A61" s="318"/>
      <c r="B61" s="23"/>
    </row>
    <row r="62" spans="1:2" s="22" customFormat="1" ht="16.5" customHeight="1">
      <c r="A62" s="318"/>
      <c r="B62" s="23"/>
    </row>
    <row r="63" spans="1:2" s="22" customFormat="1" ht="16.5" customHeight="1">
      <c r="A63" s="318"/>
      <c r="B63" s="23"/>
    </row>
    <row r="64" spans="1:2" s="22" customFormat="1" ht="16.5" customHeight="1">
      <c r="A64" s="318"/>
      <c r="B64" s="23"/>
    </row>
    <row r="65" spans="1:2" s="22" customFormat="1" ht="16.5" customHeight="1">
      <c r="A65" s="318"/>
      <c r="B65" s="23"/>
    </row>
    <row r="66" spans="1:2" s="22" customFormat="1" ht="16.5" customHeight="1">
      <c r="A66" s="318"/>
      <c r="B66" s="23"/>
    </row>
    <row r="67" spans="1:2" s="22" customFormat="1" ht="16.5" customHeight="1">
      <c r="A67" s="318"/>
      <c r="B67" s="23"/>
    </row>
    <row r="68" spans="1:2" s="22" customFormat="1" ht="16.5" customHeight="1">
      <c r="A68" s="318"/>
      <c r="B68" s="23"/>
    </row>
    <row r="69" spans="1:2" s="22" customFormat="1" ht="16.5" customHeight="1">
      <c r="A69" s="318"/>
      <c r="B69" s="23"/>
    </row>
    <row r="70" spans="1:2" s="22" customFormat="1" ht="16.5" customHeight="1">
      <c r="A70" s="318"/>
      <c r="B70" s="23"/>
    </row>
    <row r="71" spans="1:2" s="22" customFormat="1" ht="16.5" customHeight="1">
      <c r="A71" s="318"/>
      <c r="B71" s="23"/>
    </row>
    <row r="72" spans="1:2" s="22" customFormat="1" ht="16.5" customHeight="1">
      <c r="A72" s="318"/>
      <c r="B72" s="23"/>
    </row>
    <row r="73" spans="1:2" s="22" customFormat="1" ht="16.5" customHeight="1">
      <c r="A73" s="318"/>
      <c r="B73" s="23"/>
    </row>
    <row r="74" spans="1:2" s="22" customFormat="1" ht="16.5" customHeight="1">
      <c r="A74" s="318"/>
      <c r="B74" s="23"/>
    </row>
    <row r="75" spans="1:2" s="22" customFormat="1" ht="16.5" customHeight="1">
      <c r="A75" s="318"/>
      <c r="B75" s="23"/>
    </row>
    <row r="76" spans="1:2" s="22" customFormat="1" ht="16.5" customHeight="1">
      <c r="A76" s="318"/>
      <c r="B76" s="23"/>
    </row>
    <row r="77" spans="1:2" s="22" customFormat="1" ht="16.5" customHeight="1">
      <c r="A77" s="318"/>
      <c r="B77" s="23"/>
    </row>
    <row r="78" spans="1:2" s="22" customFormat="1" ht="16.5" customHeight="1">
      <c r="A78" s="318"/>
      <c r="B78" s="23"/>
    </row>
    <row r="79" spans="1:2" s="22" customFormat="1" ht="16.5" customHeight="1">
      <c r="A79" s="318"/>
      <c r="B79" s="23"/>
    </row>
    <row r="80" spans="1:2" s="22" customFormat="1" ht="16.5" customHeight="1">
      <c r="A80" s="318"/>
      <c r="B80" s="23"/>
    </row>
    <row r="81" spans="1:2" s="22" customFormat="1" ht="16.5" customHeight="1">
      <c r="A81" s="318"/>
      <c r="B81" s="23"/>
    </row>
    <row r="82" spans="1:2" s="22" customFormat="1" ht="16.5" customHeight="1">
      <c r="A82" s="318"/>
      <c r="B82" s="23"/>
    </row>
    <row r="83" spans="1:2" s="22" customFormat="1" ht="16.5" customHeight="1">
      <c r="A83" s="318"/>
      <c r="B83" s="23"/>
    </row>
    <row r="84" spans="1:2" s="22" customFormat="1" ht="16.5" customHeight="1">
      <c r="A84" s="318"/>
      <c r="B84" s="23"/>
    </row>
    <row r="85" spans="1:2" s="22" customFormat="1" ht="16.5" customHeight="1">
      <c r="A85" s="318"/>
      <c r="B85" s="23"/>
    </row>
    <row r="86" spans="1:2" s="22" customFormat="1" ht="16.5" customHeight="1">
      <c r="A86" s="318"/>
      <c r="B86" s="23"/>
    </row>
    <row r="87" spans="1:2" s="22" customFormat="1" ht="16.5" customHeight="1">
      <c r="A87" s="318"/>
      <c r="B87" s="23"/>
    </row>
    <row r="88" spans="1:2" s="22" customFormat="1" ht="16.5" customHeight="1">
      <c r="A88" s="318"/>
      <c r="B88" s="23"/>
    </row>
    <row r="89" spans="1:2" s="22" customFormat="1" ht="16.5" customHeight="1">
      <c r="A89" s="318"/>
      <c r="B89" s="23"/>
    </row>
    <row r="90" spans="1:2" s="22" customFormat="1" ht="16.5" customHeight="1">
      <c r="A90" s="318"/>
      <c r="B90" s="23"/>
    </row>
    <row r="91" spans="1:2" s="22" customFormat="1" ht="16.5" customHeight="1">
      <c r="A91" s="318"/>
      <c r="B91" s="23"/>
    </row>
    <row r="92" spans="1:2" s="22" customFormat="1" ht="16.5" customHeight="1">
      <c r="A92" s="318"/>
      <c r="B92" s="23"/>
    </row>
    <row r="93" spans="1:2" s="22" customFormat="1" ht="16.5" customHeight="1">
      <c r="A93" s="318"/>
      <c r="B93" s="23"/>
    </row>
    <row r="94" spans="1:2" s="22" customFormat="1" ht="16.5" customHeight="1">
      <c r="A94" s="318"/>
      <c r="B94" s="23"/>
    </row>
    <row r="95" spans="1:2" s="22" customFormat="1" ht="16.5" customHeight="1">
      <c r="A95" s="318"/>
      <c r="B95" s="23"/>
    </row>
    <row r="96" spans="1:2" s="22" customFormat="1" ht="16.5" customHeight="1">
      <c r="A96" s="318"/>
      <c r="B96" s="23"/>
    </row>
    <row r="97" spans="1:2" s="22" customFormat="1" ht="16.5" customHeight="1">
      <c r="A97" s="318"/>
      <c r="B97" s="23"/>
    </row>
    <row r="98" spans="1:2" s="22" customFormat="1" ht="16.5" customHeight="1">
      <c r="A98" s="318"/>
      <c r="B98" s="23"/>
    </row>
    <row r="99" spans="1:2" s="22" customFormat="1" ht="16.5" customHeight="1">
      <c r="A99" s="318"/>
      <c r="B99" s="23"/>
    </row>
    <row r="100" spans="1:2" s="22" customFormat="1" ht="16.5" customHeight="1">
      <c r="A100" s="318"/>
      <c r="B100" s="23"/>
    </row>
    <row r="101" spans="1:2" s="22" customFormat="1" ht="16.5" customHeight="1">
      <c r="A101" s="318"/>
      <c r="B101" s="23"/>
    </row>
    <row r="102" spans="1:2" s="22" customFormat="1" ht="16.5" customHeight="1">
      <c r="A102" s="318"/>
      <c r="B102" s="23"/>
    </row>
    <row r="103" spans="1:2" s="22" customFormat="1" ht="16.5" customHeight="1">
      <c r="A103" s="318"/>
      <c r="B103" s="23"/>
    </row>
    <row r="104" spans="1:2" s="22" customFormat="1" ht="16.5" customHeight="1">
      <c r="A104" s="318"/>
      <c r="B104" s="23"/>
    </row>
    <row r="105" spans="1:2" s="22" customFormat="1" ht="16.5" customHeight="1">
      <c r="A105" s="318"/>
      <c r="B105" s="23"/>
    </row>
    <row r="106" spans="1:2" s="22" customFormat="1" ht="16.5" customHeight="1">
      <c r="A106" s="318"/>
      <c r="B106" s="23"/>
    </row>
    <row r="107" spans="1:2" s="22" customFormat="1" ht="16.5" customHeight="1">
      <c r="A107" s="318"/>
      <c r="B107" s="23"/>
    </row>
    <row r="108" spans="1:2" s="22" customFormat="1" ht="16.5" customHeight="1">
      <c r="A108" s="318"/>
      <c r="B108" s="23"/>
    </row>
    <row r="109" spans="1:2" s="22" customFormat="1" ht="16.5" customHeight="1">
      <c r="A109" s="318"/>
      <c r="B109" s="23"/>
    </row>
    <row r="110" spans="1:2" s="22" customFormat="1" ht="16.5" customHeight="1">
      <c r="A110" s="318"/>
      <c r="B110" s="23"/>
    </row>
    <row r="111" spans="1:2" s="22" customFormat="1" ht="16.5" customHeight="1">
      <c r="A111" s="318"/>
      <c r="B111" s="23"/>
    </row>
    <row r="112" spans="1:2" s="22" customFormat="1" ht="16.5" customHeight="1">
      <c r="A112" s="318"/>
      <c r="B112" s="23"/>
    </row>
    <row r="113" spans="1:2" s="22" customFormat="1" ht="16.5" customHeight="1">
      <c r="A113" s="318"/>
      <c r="B113" s="23"/>
    </row>
    <row r="114" spans="1:2" s="22" customFormat="1" ht="16.5" customHeight="1">
      <c r="A114" s="318"/>
      <c r="B114" s="23"/>
    </row>
    <row r="115" spans="1:2" s="22" customFormat="1" ht="16.5" customHeight="1">
      <c r="A115" s="318"/>
      <c r="B115" s="23"/>
    </row>
    <row r="116" spans="1:2" s="22" customFormat="1" ht="16.5" customHeight="1">
      <c r="A116" s="318"/>
      <c r="B116" s="23"/>
    </row>
    <row r="117" spans="1:2" s="22" customFormat="1" ht="16.5" customHeight="1">
      <c r="A117" s="318"/>
      <c r="B117" s="23"/>
    </row>
    <row r="118" spans="1:2" s="22" customFormat="1" ht="16.5" customHeight="1">
      <c r="A118" s="318"/>
      <c r="B118" s="23"/>
    </row>
    <row r="119" spans="1:2" s="22" customFormat="1" ht="16.5" customHeight="1">
      <c r="A119" s="318"/>
      <c r="B119" s="23"/>
    </row>
    <row r="120" spans="1:2" s="22" customFormat="1" ht="16.5" customHeight="1">
      <c r="A120" s="318"/>
      <c r="B120" s="23"/>
    </row>
    <row r="121" spans="1:2" s="22" customFormat="1" ht="16.5" customHeight="1">
      <c r="A121" s="318"/>
      <c r="B121" s="23"/>
    </row>
    <row r="122" spans="1:2" s="22" customFormat="1" ht="16.5" customHeight="1">
      <c r="A122" s="318"/>
      <c r="B122" s="23"/>
    </row>
    <row r="123" spans="1:2" s="22" customFormat="1" ht="16.5" customHeight="1">
      <c r="A123" s="318"/>
      <c r="B123" s="23"/>
    </row>
    <row r="124" spans="1:2" s="22" customFormat="1" ht="16.5" customHeight="1">
      <c r="A124" s="318"/>
      <c r="B124" s="23"/>
    </row>
    <row r="125" spans="1:2" s="22" customFormat="1" ht="16.5" customHeight="1">
      <c r="A125" s="318"/>
      <c r="B125" s="23"/>
    </row>
    <row r="126" spans="1:2" s="22" customFormat="1" ht="16.5" customHeight="1">
      <c r="A126" s="318"/>
      <c r="B126" s="23"/>
    </row>
    <row r="127" spans="1:2" s="22" customFormat="1" ht="16.5" customHeight="1">
      <c r="A127" s="318"/>
      <c r="B127" s="23"/>
    </row>
    <row r="128" spans="1:2" s="22" customFormat="1" ht="16.5" customHeight="1">
      <c r="A128" s="318"/>
      <c r="B128" s="23"/>
    </row>
    <row r="129" spans="1:2" s="22" customFormat="1" ht="16.5" customHeight="1">
      <c r="A129" s="318"/>
      <c r="B129" s="23"/>
    </row>
    <row r="130" spans="1:2" s="22" customFormat="1" ht="16.5" customHeight="1">
      <c r="A130" s="318"/>
      <c r="B130" s="23"/>
    </row>
    <row r="131" spans="1:2" s="22" customFormat="1" ht="16.5" customHeight="1">
      <c r="A131" s="318"/>
      <c r="B131" s="23"/>
    </row>
    <row r="132" spans="1:2" s="22" customFormat="1" ht="16.5" customHeight="1">
      <c r="A132" s="318"/>
      <c r="B132" s="23"/>
    </row>
    <row r="133" spans="1:2" s="22" customFormat="1" ht="16.5" customHeight="1">
      <c r="A133" s="318"/>
      <c r="B133" s="23"/>
    </row>
    <row r="134" spans="1:2" s="22" customFormat="1" ht="16.5" customHeight="1">
      <c r="A134" s="318"/>
      <c r="B134" s="23"/>
    </row>
    <row r="135" spans="1:2" s="22" customFormat="1" ht="16.5" customHeight="1">
      <c r="A135" s="318"/>
      <c r="B135" s="23"/>
    </row>
    <row r="136" spans="1:2" s="22" customFormat="1" ht="16.5" customHeight="1">
      <c r="A136" s="318"/>
      <c r="B136" s="23"/>
    </row>
    <row r="137" spans="1:2" s="22" customFormat="1" ht="16.5" customHeight="1">
      <c r="A137" s="318"/>
      <c r="B137" s="23"/>
    </row>
    <row r="138" spans="1:2" s="22" customFormat="1" ht="16.5" customHeight="1">
      <c r="A138" s="318"/>
      <c r="B138" s="23"/>
    </row>
    <row r="139" spans="1:2" s="22" customFormat="1" ht="16.5" customHeight="1">
      <c r="A139" s="318"/>
      <c r="B139" s="23"/>
    </row>
    <row r="140" spans="1:2" s="22" customFormat="1" ht="16.5" customHeight="1">
      <c r="A140" s="318"/>
      <c r="B140" s="23"/>
    </row>
    <row r="141" spans="1:2" s="22" customFormat="1" ht="16.5" customHeight="1">
      <c r="A141" s="318"/>
      <c r="B141" s="23"/>
    </row>
  </sheetData>
  <sheetProtection/>
  <mergeCells count="3">
    <mergeCell ref="B1:C1"/>
    <mergeCell ref="B2:H2"/>
    <mergeCell ref="B3:H3"/>
  </mergeCells>
  <printOptions horizontalCentered="1"/>
  <pageMargins left="0.1968503937007874" right="0.1968503937007874" top="0.5905511811023623" bottom="0.5905511811023623" header="0.5118110236220472" footer="0.5118110236220472"/>
  <pageSetup fitToHeight="0" horizontalDpi="600" verticalDpi="600" orientation="landscape" paperSize="9" scale="75" r:id="rId1"/>
  <headerFooter alignWithMargins="0">
    <oddFooter>&amp;C- &amp;P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D20"/>
  <sheetViews>
    <sheetView view="pageBreakPreview" zoomScaleSheetLayoutView="100" zoomScalePageLayoutView="0" workbookViewId="0" topLeftCell="A1">
      <selection activeCell="A1" sqref="A1:B1"/>
    </sheetView>
  </sheetViews>
  <sheetFormatPr defaultColWidth="8.875" defaultRowHeight="12.75"/>
  <cols>
    <col min="1" max="1" width="7.75390625" style="24" customWidth="1"/>
    <col min="2" max="2" width="60.75390625" style="24" customWidth="1"/>
    <col min="3" max="3" width="15.75390625" style="24" customWidth="1"/>
    <col min="4" max="4" width="11.25390625" style="24" bestFit="1" customWidth="1"/>
    <col min="5" max="16384" width="8.875" style="24" customWidth="1"/>
  </cols>
  <sheetData>
    <row r="1" spans="1:3" ht="16.5" customHeight="1">
      <c r="A1" s="2260" t="s">
        <v>1474</v>
      </c>
      <c r="B1" s="2260"/>
      <c r="C1" s="1714"/>
    </row>
    <row r="2" spans="1:3" ht="24.75" customHeight="1">
      <c r="A2" s="2020" t="s">
        <v>122</v>
      </c>
      <c r="B2" s="2020"/>
      <c r="C2" s="2020"/>
    </row>
    <row r="3" spans="1:3" ht="24.75" customHeight="1">
      <c r="A3" s="2021" t="s">
        <v>1204</v>
      </c>
      <c r="B3" s="2021"/>
      <c r="C3" s="2021"/>
    </row>
    <row r="4" spans="1:3" ht="16.5" customHeight="1">
      <c r="A4" s="2299" t="s">
        <v>1205</v>
      </c>
      <c r="B4" s="2299"/>
      <c r="C4" s="2299"/>
    </row>
    <row r="5" spans="1:3" ht="16.5" customHeight="1">
      <c r="A5" s="177"/>
      <c r="B5" s="177"/>
      <c r="C5" s="177"/>
    </row>
    <row r="6" spans="1:3" ht="16.5" customHeight="1">
      <c r="A6" s="177"/>
      <c r="B6" s="177"/>
      <c r="C6" s="1715" t="s">
        <v>0</v>
      </c>
    </row>
    <row r="7" spans="1:3" ht="16.5" customHeight="1">
      <c r="A7" s="1716"/>
      <c r="B7" s="1716" t="s">
        <v>1</v>
      </c>
      <c r="C7" s="1717" t="s">
        <v>3</v>
      </c>
    </row>
    <row r="8" spans="1:3" ht="33" customHeight="1">
      <c r="A8" s="1718" t="s">
        <v>1206</v>
      </c>
      <c r="B8" s="1718" t="s">
        <v>6</v>
      </c>
      <c r="C8" s="1719" t="s">
        <v>1207</v>
      </c>
    </row>
    <row r="9" spans="1:3" ht="24.75" customHeight="1">
      <c r="A9" s="1720">
        <v>1</v>
      </c>
      <c r="B9" s="1721" t="s">
        <v>1208</v>
      </c>
      <c r="C9" s="1722">
        <f>SUM(C11:C12)</f>
        <v>14096474</v>
      </c>
    </row>
    <row r="10" spans="1:3" ht="24.75" customHeight="1">
      <c r="A10" s="1723">
        <v>2</v>
      </c>
      <c r="B10" s="1724" t="s">
        <v>126</v>
      </c>
      <c r="C10" s="1725"/>
    </row>
    <row r="11" spans="1:3" ht="24.75" customHeight="1">
      <c r="A11" s="1723">
        <v>3</v>
      </c>
      <c r="B11" s="1726" t="s">
        <v>1209</v>
      </c>
      <c r="C11" s="1725">
        <v>14094259</v>
      </c>
    </row>
    <row r="12" spans="1:3" ht="24.75" customHeight="1">
      <c r="A12" s="1723">
        <v>4</v>
      </c>
      <c r="B12" s="1726" t="s">
        <v>1210</v>
      </c>
      <c r="C12" s="1725">
        <v>2215</v>
      </c>
    </row>
    <row r="13" spans="1:3" ht="24.75" customHeight="1">
      <c r="A13" s="1723">
        <v>5</v>
      </c>
      <c r="B13" s="1727" t="s">
        <v>1211</v>
      </c>
      <c r="C13" s="1725">
        <v>34025151</v>
      </c>
    </row>
    <row r="14" spans="1:3" ht="24.75" customHeight="1">
      <c r="A14" s="1723">
        <v>6</v>
      </c>
      <c r="B14" s="1727" t="s">
        <v>1212</v>
      </c>
      <c r="C14" s="1725">
        <v>-6689</v>
      </c>
    </row>
    <row r="15" spans="1:4" ht="24.75" customHeight="1">
      <c r="A15" s="1723">
        <v>7</v>
      </c>
      <c r="B15" s="1727" t="s">
        <v>1213</v>
      </c>
      <c r="C15" s="1725">
        <v>29137693</v>
      </c>
      <c r="D15" s="1597"/>
    </row>
    <row r="16" spans="1:3" ht="24.75" customHeight="1">
      <c r="A16" s="1720">
        <v>8</v>
      </c>
      <c r="B16" s="1728" t="s">
        <v>1214</v>
      </c>
      <c r="C16" s="1722">
        <f>+C9+C13+C14-C15</f>
        <v>18977243</v>
      </c>
    </row>
    <row r="17" spans="1:3" ht="24.75" customHeight="1">
      <c r="A17" s="1723">
        <v>9</v>
      </c>
      <c r="B17" s="1724" t="s">
        <v>126</v>
      </c>
      <c r="C17" s="1725"/>
    </row>
    <row r="18" spans="1:3" ht="24.75" customHeight="1">
      <c r="A18" s="1723">
        <v>10</v>
      </c>
      <c r="B18" s="1729" t="s">
        <v>1209</v>
      </c>
      <c r="C18" s="1725">
        <v>18974888</v>
      </c>
    </row>
    <row r="19" spans="1:3" ht="24.75" customHeight="1">
      <c r="A19" s="1723">
        <v>11</v>
      </c>
      <c r="B19" s="1729" t="s">
        <v>1210</v>
      </c>
      <c r="C19" s="1725">
        <v>2355</v>
      </c>
    </row>
    <row r="20" ht="16.5">
      <c r="C20" s="1597">
        <f>+C16-C18-C19</f>
        <v>0</v>
      </c>
    </row>
  </sheetData>
  <sheetProtection/>
  <mergeCells count="4">
    <mergeCell ref="A1:B1"/>
    <mergeCell ref="A2:C2"/>
    <mergeCell ref="A3:C3"/>
    <mergeCell ref="A4:C4"/>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r:id="rId1"/>
  <headerFooter>
    <oddFooter>&amp;C - &amp;P -</oddFooter>
  </headerFooter>
</worksheet>
</file>

<file path=xl/worksheets/sheet19.xml><?xml version="1.0" encoding="utf-8"?>
<worksheet xmlns="http://schemas.openxmlformats.org/spreadsheetml/2006/main" xmlns:r="http://schemas.openxmlformats.org/officeDocument/2006/relationships">
  <dimension ref="A1:K16"/>
  <sheetViews>
    <sheetView view="pageBreakPreview" zoomScale="60" zoomScalePageLayoutView="0" workbookViewId="0" topLeftCell="A1">
      <selection activeCell="B1" sqref="B1"/>
    </sheetView>
  </sheetViews>
  <sheetFormatPr defaultColWidth="9.00390625" defaultRowHeight="12.75"/>
  <cols>
    <col min="1" max="1" width="3.75390625" style="1917" customWidth="1"/>
    <col min="2" max="2" width="3.75390625" style="1918" customWidth="1"/>
    <col min="3" max="3" width="18.875" style="1948" customWidth="1"/>
    <col min="4" max="4" width="19.75390625" style="1918" customWidth="1"/>
    <col min="5" max="5" width="13.625" style="1918" customWidth="1"/>
    <col min="6" max="8" width="11.75390625" style="1918" customWidth="1"/>
    <col min="9" max="9" width="13.125" style="1918" customWidth="1"/>
    <col min="10" max="11" width="11.75390625" style="1918" customWidth="1"/>
    <col min="12" max="239" width="8.00390625" style="1919" customWidth="1"/>
    <col min="240" max="240" width="2.375" style="1919" bestFit="1" customWidth="1"/>
    <col min="241" max="241" width="28.25390625" style="1919" bestFit="1" customWidth="1"/>
    <col min="242" max="242" width="14.25390625" style="1919" bestFit="1" customWidth="1"/>
    <col min="243" max="243" width="13.625" style="1919" bestFit="1" customWidth="1"/>
    <col min="244" max="244" width="10.75390625" style="1919" bestFit="1" customWidth="1"/>
    <col min="245" max="245" width="9.375" style="1919" bestFit="1" customWidth="1"/>
    <col min="246" max="246" width="9.875" style="1919" bestFit="1" customWidth="1"/>
    <col min="247" max="247" width="11.25390625" style="1919" bestFit="1" customWidth="1"/>
    <col min="248" max="248" width="9.125" style="1919" customWidth="1"/>
    <col min="249" max="250" width="3.75390625" style="1919" customWidth="1"/>
    <col min="251" max="251" width="18.875" style="1919" customWidth="1"/>
    <col min="252" max="252" width="19.75390625" style="1919" customWidth="1"/>
    <col min="253" max="253" width="13.625" style="1919" customWidth="1"/>
    <col min="254" max="16384" width="11.75390625" style="1919" customWidth="1"/>
  </cols>
  <sheetData>
    <row r="1" spans="2:6" ht="16.5">
      <c r="B1" s="24" t="s">
        <v>1475</v>
      </c>
      <c r="C1" s="24"/>
      <c r="D1" s="1949"/>
      <c r="E1" s="1949"/>
      <c r="F1" s="1949"/>
    </row>
    <row r="2" spans="1:11" s="1920" customFormat="1" ht="17.25">
      <c r="A2" s="1917"/>
      <c r="B2" s="2300" t="s">
        <v>122</v>
      </c>
      <c r="C2" s="2300"/>
      <c r="D2" s="2300"/>
      <c r="E2" s="2300"/>
      <c r="F2" s="2300"/>
      <c r="G2" s="2300"/>
      <c r="H2" s="2300"/>
      <c r="I2" s="2300"/>
      <c r="J2" s="2300"/>
      <c r="K2" s="2300"/>
    </row>
    <row r="3" spans="1:11" s="1920" customFormat="1" ht="17.25">
      <c r="A3" s="1917"/>
      <c r="B3" s="2300" t="s">
        <v>14</v>
      </c>
      <c r="C3" s="2300"/>
      <c r="D3" s="2300"/>
      <c r="E3" s="2300"/>
      <c r="F3" s="2300"/>
      <c r="G3" s="2300"/>
      <c r="H3" s="2300"/>
      <c r="I3" s="2300"/>
      <c r="J3" s="2300"/>
      <c r="K3" s="2300"/>
    </row>
    <row r="4" spans="1:11" s="1920" customFormat="1" ht="17.25">
      <c r="A4" s="1917"/>
      <c r="B4" s="2300" t="s">
        <v>336</v>
      </c>
      <c r="C4" s="2300"/>
      <c r="D4" s="2300"/>
      <c r="E4" s="2300"/>
      <c r="F4" s="2300"/>
      <c r="G4" s="2300"/>
      <c r="H4" s="2300"/>
      <c r="I4" s="2300"/>
      <c r="J4" s="2300"/>
      <c r="K4" s="2300"/>
    </row>
    <row r="5" spans="2:11" ht="16.5">
      <c r="B5" s="1921"/>
      <c r="C5" s="1921"/>
      <c r="D5" s="1921"/>
      <c r="E5" s="1921"/>
      <c r="F5" s="1921"/>
      <c r="G5" s="1921"/>
      <c r="H5" s="1921"/>
      <c r="I5" s="1921"/>
      <c r="J5" s="1921"/>
      <c r="K5" s="1921"/>
    </row>
    <row r="6" spans="2:11" ht="17.25" thickBot="1">
      <c r="B6" s="2301" t="s">
        <v>1</v>
      </c>
      <c r="C6" s="2301"/>
      <c r="D6" s="1922" t="s">
        <v>3</v>
      </c>
      <c r="E6" s="1922" t="s">
        <v>2</v>
      </c>
      <c r="F6" s="1922" t="s">
        <v>4</v>
      </c>
      <c r="G6" s="1922" t="s">
        <v>5</v>
      </c>
      <c r="H6" s="1922" t="s">
        <v>15</v>
      </c>
      <c r="I6" s="1922" t="s">
        <v>16</v>
      </c>
      <c r="J6" s="1922" t="s">
        <v>17</v>
      </c>
      <c r="K6" s="1922" t="s">
        <v>36</v>
      </c>
    </row>
    <row r="7" spans="2:11" s="1917" customFormat="1" ht="50.25" thickBot="1">
      <c r="B7" s="2302" t="s">
        <v>338</v>
      </c>
      <c r="C7" s="2303"/>
      <c r="D7" s="1923" t="s">
        <v>339</v>
      </c>
      <c r="E7" s="1923" t="s">
        <v>340</v>
      </c>
      <c r="F7" s="1923" t="s">
        <v>341</v>
      </c>
      <c r="G7" s="1923" t="s">
        <v>342</v>
      </c>
      <c r="H7" s="1923" t="s">
        <v>759</v>
      </c>
      <c r="I7" s="1923" t="s">
        <v>1445</v>
      </c>
      <c r="J7" s="1923" t="s">
        <v>385</v>
      </c>
      <c r="K7" s="1950" t="s">
        <v>1446</v>
      </c>
    </row>
    <row r="8" spans="1:11" ht="33.75" thickTop="1">
      <c r="A8" s="1917">
        <v>1</v>
      </c>
      <c r="B8" s="1924" t="s">
        <v>128</v>
      </c>
      <c r="C8" s="1925" t="s">
        <v>386</v>
      </c>
      <c r="D8" s="1926" t="s">
        <v>343</v>
      </c>
      <c r="E8" s="1927" t="s">
        <v>760</v>
      </c>
      <c r="F8" s="1928">
        <v>44104</v>
      </c>
      <c r="G8" s="1929">
        <v>1500000</v>
      </c>
      <c r="H8" s="1929">
        <v>0</v>
      </c>
      <c r="I8" s="1929">
        <v>0</v>
      </c>
      <c r="J8" s="1929">
        <v>0</v>
      </c>
      <c r="K8" s="1951">
        <f>H8+I8-J8</f>
        <v>0</v>
      </c>
    </row>
    <row r="9" spans="1:11" ht="33">
      <c r="A9" s="1917">
        <v>2</v>
      </c>
      <c r="B9" s="1930" t="s">
        <v>135</v>
      </c>
      <c r="C9" s="1931" t="s">
        <v>344</v>
      </c>
      <c r="D9" s="1932" t="s">
        <v>345</v>
      </c>
      <c r="E9" s="1933">
        <v>40736</v>
      </c>
      <c r="F9" s="1933">
        <v>48040</v>
      </c>
      <c r="G9" s="1934">
        <v>484000</v>
      </c>
      <c r="H9" s="1934">
        <v>39625</v>
      </c>
      <c r="I9" s="1935">
        <v>0</v>
      </c>
      <c r="J9" s="1935">
        <v>12340</v>
      </c>
      <c r="K9" s="1952">
        <f aca="true" t="shared" si="0" ref="K9:K15">H9+I9-J9</f>
        <v>27285</v>
      </c>
    </row>
    <row r="10" spans="1:11" ht="33">
      <c r="A10" s="1917">
        <v>3</v>
      </c>
      <c r="B10" s="1930" t="s">
        <v>136</v>
      </c>
      <c r="C10" s="1931" t="s">
        <v>346</v>
      </c>
      <c r="D10" s="1932" t="s">
        <v>345</v>
      </c>
      <c r="E10" s="1933">
        <v>41502</v>
      </c>
      <c r="F10" s="1933">
        <v>44193</v>
      </c>
      <c r="G10" s="1934">
        <v>650000</v>
      </c>
      <c r="H10" s="1934">
        <v>46681</v>
      </c>
      <c r="I10" s="1935">
        <v>0</v>
      </c>
      <c r="J10" s="1934">
        <v>46681</v>
      </c>
      <c r="K10" s="1952">
        <f t="shared" si="0"/>
        <v>0</v>
      </c>
    </row>
    <row r="11" spans="1:11" ht="33">
      <c r="A11" s="1917">
        <v>4</v>
      </c>
      <c r="B11" s="1930" t="s">
        <v>137</v>
      </c>
      <c r="C11" s="1931" t="s">
        <v>347</v>
      </c>
      <c r="D11" s="1932" t="s">
        <v>348</v>
      </c>
      <c r="E11" s="1933">
        <v>41555</v>
      </c>
      <c r="F11" s="1933">
        <v>48859</v>
      </c>
      <c r="G11" s="1934">
        <v>200000</v>
      </c>
      <c r="H11" s="1934">
        <v>112411</v>
      </c>
      <c r="I11" s="1935">
        <v>0</v>
      </c>
      <c r="J11" s="1935">
        <v>8918</v>
      </c>
      <c r="K11" s="1952">
        <f t="shared" si="0"/>
        <v>103493</v>
      </c>
    </row>
    <row r="12" spans="1:11" ht="33">
      <c r="A12" s="1917">
        <v>5</v>
      </c>
      <c r="B12" s="1930" t="s">
        <v>138</v>
      </c>
      <c r="C12" s="1931" t="s">
        <v>387</v>
      </c>
      <c r="D12" s="1932" t="s">
        <v>345</v>
      </c>
      <c r="E12" s="1933">
        <v>41759</v>
      </c>
      <c r="F12" s="1933">
        <v>49064</v>
      </c>
      <c r="G12" s="1934">
        <v>200000</v>
      </c>
      <c r="H12" s="1934">
        <v>128840</v>
      </c>
      <c r="I12" s="1935">
        <v>0</v>
      </c>
      <c r="J12" s="1935">
        <v>8886</v>
      </c>
      <c r="K12" s="1952">
        <f t="shared" si="0"/>
        <v>119954</v>
      </c>
    </row>
    <row r="13" spans="1:11" ht="33">
      <c r="A13" s="1917">
        <v>6</v>
      </c>
      <c r="B13" s="1936" t="s">
        <v>221</v>
      </c>
      <c r="C13" s="1937" t="s">
        <v>388</v>
      </c>
      <c r="D13" s="1938" t="s">
        <v>343</v>
      </c>
      <c r="E13" s="1939">
        <v>41759</v>
      </c>
      <c r="F13" s="1939">
        <v>45285</v>
      </c>
      <c r="G13" s="1940">
        <v>151317</v>
      </c>
      <c r="H13" s="1940">
        <v>77521.4</v>
      </c>
      <c r="I13" s="1941">
        <v>0</v>
      </c>
      <c r="J13" s="1941">
        <v>19678.8</v>
      </c>
      <c r="K13" s="1953">
        <f t="shared" si="0"/>
        <v>57842.59999999999</v>
      </c>
    </row>
    <row r="14" spans="1:11" ht="33">
      <c r="A14" s="1917">
        <v>7</v>
      </c>
      <c r="B14" s="1936" t="s">
        <v>349</v>
      </c>
      <c r="C14" s="1937" t="s">
        <v>1447</v>
      </c>
      <c r="D14" s="1938" t="s">
        <v>343</v>
      </c>
      <c r="E14" s="1939">
        <v>42943</v>
      </c>
      <c r="F14" s="1939">
        <v>46568</v>
      </c>
      <c r="G14" s="1940">
        <v>99000</v>
      </c>
      <c r="H14" s="1940">
        <v>93000</v>
      </c>
      <c r="I14" s="1941">
        <v>0</v>
      </c>
      <c r="J14" s="1941">
        <v>12000</v>
      </c>
      <c r="K14" s="1953">
        <f t="shared" si="0"/>
        <v>81000</v>
      </c>
    </row>
    <row r="15" spans="1:11" ht="32.25" customHeight="1" thickBot="1">
      <c r="A15" s="1917">
        <v>8</v>
      </c>
      <c r="B15" s="1936" t="s">
        <v>553</v>
      </c>
      <c r="C15" s="1937" t="s">
        <v>1020</v>
      </c>
      <c r="D15" s="1938" t="s">
        <v>343</v>
      </c>
      <c r="E15" s="1942">
        <v>43641</v>
      </c>
      <c r="F15" s="1942">
        <v>47299</v>
      </c>
      <c r="G15" s="1940">
        <v>1260000</v>
      </c>
      <c r="H15" s="1943">
        <v>0</v>
      </c>
      <c r="I15" s="1944">
        <v>645374</v>
      </c>
      <c r="J15" s="1944">
        <v>0</v>
      </c>
      <c r="K15" s="1953">
        <f t="shared" si="0"/>
        <v>645374</v>
      </c>
    </row>
    <row r="16" spans="1:11" s="1920" customFormat="1" ht="18.75" thickBot="1" thickTop="1">
      <c r="A16" s="1917">
        <v>9</v>
      </c>
      <c r="B16" s="1945" t="s">
        <v>1448</v>
      </c>
      <c r="C16" s="1946" t="s">
        <v>350</v>
      </c>
      <c r="D16" s="1946"/>
      <c r="E16" s="1946"/>
      <c r="F16" s="1946"/>
      <c r="G16" s="1946"/>
      <c r="H16" s="1947">
        <f>SUM(H8:H15)</f>
        <v>498078.4</v>
      </c>
      <c r="I16" s="1947">
        <f>SUM(I8:I15)</f>
        <v>645374</v>
      </c>
      <c r="J16" s="1947">
        <f>SUM(J8:J15)</f>
        <v>108503.8</v>
      </c>
      <c r="K16" s="1954">
        <f>SUM(K8:K15)</f>
        <v>1034948.6</v>
      </c>
    </row>
  </sheetData>
  <sheetProtection/>
  <mergeCells count="5">
    <mergeCell ref="B2:K2"/>
    <mergeCell ref="B3:K3"/>
    <mergeCell ref="B4:K4"/>
    <mergeCell ref="B6:C6"/>
    <mergeCell ref="B7:C7"/>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48"/>
  <sheetViews>
    <sheetView view="pageBreakPreview" zoomScaleSheetLayoutView="100" zoomScalePageLayoutView="0" workbookViewId="0" topLeftCell="A1">
      <selection activeCell="B1" sqref="B1"/>
    </sheetView>
  </sheetViews>
  <sheetFormatPr defaultColWidth="9.00390625" defaultRowHeight="12.75"/>
  <cols>
    <col min="1" max="1" width="3.75390625" style="1486" customWidth="1"/>
    <col min="2" max="2" width="56.875" style="172" customWidth="1"/>
    <col min="3" max="8" width="16.75390625" style="173" customWidth="1"/>
    <col min="9" max="9" width="13.75390625" style="173" customWidth="1"/>
    <col min="10" max="10" width="16.875" style="174" customWidth="1"/>
    <col min="11" max="16384" width="9.125" style="174" customWidth="1"/>
  </cols>
  <sheetData>
    <row r="1" spans="1:17" ht="16.5" customHeight="1">
      <c r="A1" s="174"/>
      <c r="B1" s="1377" t="s">
        <v>1458</v>
      </c>
      <c r="C1" s="1377"/>
      <c r="D1" s="1377"/>
      <c r="E1" s="1377"/>
      <c r="F1" s="1377"/>
      <c r="G1" s="1377"/>
      <c r="H1" s="1377"/>
      <c r="I1" s="1377"/>
      <c r="J1" s="1377"/>
      <c r="K1" s="1377"/>
      <c r="L1" s="1377"/>
      <c r="M1" s="1377"/>
      <c r="N1" s="1377"/>
      <c r="O1" s="1377"/>
      <c r="P1" s="1377"/>
      <c r="Q1" s="1377"/>
    </row>
    <row r="2" spans="1:15" ht="24.75" customHeight="1">
      <c r="A2" s="1487"/>
      <c r="B2" s="2019" t="s">
        <v>170</v>
      </c>
      <c r="C2" s="2019"/>
      <c r="D2" s="2019"/>
      <c r="E2" s="2019"/>
      <c r="F2" s="2019"/>
      <c r="G2" s="2019"/>
      <c r="H2" s="2019"/>
      <c r="I2" s="161"/>
      <c r="J2" s="2020"/>
      <c r="K2" s="2020"/>
      <c r="L2" s="2020"/>
      <c r="M2" s="2020"/>
      <c r="N2" s="2020"/>
      <c r="O2" s="2020"/>
    </row>
    <row r="3" spans="1:15" s="160" customFormat="1" ht="24.75" customHeight="1">
      <c r="A3" s="1486"/>
      <c r="B3" s="2019" t="s">
        <v>1021</v>
      </c>
      <c r="C3" s="2019"/>
      <c r="D3" s="2019"/>
      <c r="E3" s="2019"/>
      <c r="F3" s="2019"/>
      <c r="G3" s="2019"/>
      <c r="H3" s="2019"/>
      <c r="I3" s="162"/>
      <c r="J3" s="2021"/>
      <c r="K3" s="2021"/>
      <c r="L3" s="2021"/>
      <c r="M3" s="2021"/>
      <c r="N3" s="2021"/>
      <c r="O3" s="2021"/>
    </row>
    <row r="4" spans="1:9" s="23" customFormat="1" ht="17.25">
      <c r="A4" s="1915"/>
      <c r="B4" s="1488"/>
      <c r="C4" s="22"/>
      <c r="D4" s="22"/>
      <c r="E4" s="22"/>
      <c r="F4" s="22"/>
      <c r="G4" s="22"/>
      <c r="H4" s="1489" t="s">
        <v>0</v>
      </c>
      <c r="I4" s="1490"/>
    </row>
    <row r="5" spans="1:9" s="318" customFormat="1" ht="17.25" thickBot="1">
      <c r="A5" s="1915"/>
      <c r="B5" s="1491" t="s">
        <v>1</v>
      </c>
      <c r="C5" s="1492" t="s">
        <v>3</v>
      </c>
      <c r="D5" s="1492" t="s">
        <v>2</v>
      </c>
      <c r="E5" s="1492" t="s">
        <v>4</v>
      </c>
      <c r="F5" s="1492" t="s">
        <v>5</v>
      </c>
      <c r="G5" s="1492" t="s">
        <v>15</v>
      </c>
      <c r="H5" s="1492" t="s">
        <v>16</v>
      </c>
      <c r="I5" s="1492"/>
    </row>
    <row r="6" spans="1:9" s="23" customFormat="1" ht="52.5" customHeight="1">
      <c r="A6" s="1915"/>
      <c r="B6" s="2022" t="s">
        <v>6</v>
      </c>
      <c r="C6" s="2024" t="s">
        <v>1022</v>
      </c>
      <c r="D6" s="2024" t="s">
        <v>1023</v>
      </c>
      <c r="E6" s="2024" t="s">
        <v>1024</v>
      </c>
      <c r="F6" s="2024" t="s">
        <v>1025</v>
      </c>
      <c r="G6" s="2015" t="s">
        <v>1026</v>
      </c>
      <c r="H6" s="2017" t="s">
        <v>1027</v>
      </c>
      <c r="I6" s="1493"/>
    </row>
    <row r="7" spans="1:9" s="23" customFormat="1" ht="52.5" customHeight="1" thickBot="1">
      <c r="A7" s="1915"/>
      <c r="B7" s="2023"/>
      <c r="C7" s="2025"/>
      <c r="D7" s="2025"/>
      <c r="E7" s="2025"/>
      <c r="F7" s="2025"/>
      <c r="G7" s="2016"/>
      <c r="H7" s="2018"/>
      <c r="I7" s="1493"/>
    </row>
    <row r="8" spans="1:10" s="41" customFormat="1" ht="34.5">
      <c r="A8" s="1915">
        <v>1</v>
      </c>
      <c r="B8" s="163" t="s">
        <v>318</v>
      </c>
      <c r="C8" s="1494"/>
      <c r="D8" s="1494">
        <v>7199</v>
      </c>
      <c r="E8" s="1494">
        <v>7199</v>
      </c>
      <c r="F8" s="1494">
        <f>+E8-D8-C8</f>
        <v>0</v>
      </c>
      <c r="G8" s="1494">
        <v>7199</v>
      </c>
      <c r="H8" s="1495">
        <f>+G8-D8-C8</f>
        <v>0</v>
      </c>
      <c r="I8" s="164"/>
      <c r="J8" s="165"/>
    </row>
    <row r="9" spans="1:10" s="41" customFormat="1" ht="66">
      <c r="A9" s="1915">
        <v>2</v>
      </c>
      <c r="B9" s="167" t="s">
        <v>1449</v>
      </c>
      <c r="C9" s="1494"/>
      <c r="D9" s="1494">
        <v>33</v>
      </c>
      <c r="E9" s="1494">
        <v>33</v>
      </c>
      <c r="F9" s="1494">
        <f>+E9-D9-C9</f>
        <v>0</v>
      </c>
      <c r="G9" s="1494">
        <v>33</v>
      </c>
      <c r="H9" s="1495">
        <f>+G9-D9-C9</f>
        <v>0</v>
      </c>
      <c r="I9" s="164"/>
      <c r="J9" s="165"/>
    </row>
    <row r="10" spans="1:9" s="41" customFormat="1" ht="34.5">
      <c r="A10" s="1915">
        <v>3</v>
      </c>
      <c r="B10" s="166" t="s">
        <v>319</v>
      </c>
      <c r="C10" s="1496">
        <f>SUM(C11:C15)</f>
        <v>1125011</v>
      </c>
      <c r="D10" s="1496">
        <f>SUM(D11:D15)</f>
        <v>91504</v>
      </c>
      <c r="E10" s="1496">
        <f>SUM(E11:E15)</f>
        <v>1208212</v>
      </c>
      <c r="F10" s="1496">
        <f>SUM(F11:F15)</f>
        <v>-8303</v>
      </c>
      <c r="G10" s="1496">
        <f>SUM(G11:G15)</f>
        <v>1208212</v>
      </c>
      <c r="H10" s="1497">
        <f>SUM(H11:H15)</f>
        <v>-8303</v>
      </c>
      <c r="I10" s="164"/>
    </row>
    <row r="11" spans="1:9" s="23" customFormat="1" ht="33" customHeight="1">
      <c r="A11" s="1915">
        <v>4</v>
      </c>
      <c r="B11" s="167" t="s">
        <v>320</v>
      </c>
      <c r="C11" s="1498">
        <v>927157</v>
      </c>
      <c r="D11" s="1498"/>
      <c r="E11" s="1498">
        <v>921954</v>
      </c>
      <c r="F11" s="1498">
        <f>+E11-D11-C11</f>
        <v>-5203</v>
      </c>
      <c r="G11" s="1498">
        <v>921954</v>
      </c>
      <c r="H11" s="1499">
        <f>+G11-D11-C11</f>
        <v>-5203</v>
      </c>
      <c r="I11" s="168"/>
    </row>
    <row r="12" spans="1:9" s="23" customFormat="1" ht="25.5" customHeight="1">
      <c r="A12" s="1915">
        <v>5</v>
      </c>
      <c r="B12" s="167" t="s">
        <v>321</v>
      </c>
      <c r="C12" s="1498">
        <v>162239</v>
      </c>
      <c r="D12" s="1498"/>
      <c r="E12" s="1498">
        <v>159414</v>
      </c>
      <c r="F12" s="1498">
        <f>+E12-D12-C12</f>
        <v>-2825</v>
      </c>
      <c r="G12" s="1498">
        <v>159414</v>
      </c>
      <c r="H12" s="1499">
        <f>+G12-D12-C12</f>
        <v>-2825</v>
      </c>
      <c r="I12" s="168"/>
    </row>
    <row r="13" spans="1:9" s="23" customFormat="1" ht="33">
      <c r="A13" s="1915">
        <v>6</v>
      </c>
      <c r="B13" s="167" t="s">
        <v>322</v>
      </c>
      <c r="C13" s="1498">
        <v>30745</v>
      </c>
      <c r="D13" s="1498">
        <v>3773</v>
      </c>
      <c r="E13" s="1498">
        <v>34416</v>
      </c>
      <c r="F13" s="1498">
        <f>+E13-D13-C13</f>
        <v>-102</v>
      </c>
      <c r="G13" s="1498">
        <v>34416</v>
      </c>
      <c r="H13" s="1499">
        <f>+G13-D13-C13</f>
        <v>-102</v>
      </c>
      <c r="I13" s="168"/>
    </row>
    <row r="14" spans="1:9" s="23" customFormat="1" ht="25.5" customHeight="1">
      <c r="A14" s="1915">
        <v>7</v>
      </c>
      <c r="B14" s="167" t="s">
        <v>500</v>
      </c>
      <c r="C14" s="1498">
        <v>4870</v>
      </c>
      <c r="D14" s="1498"/>
      <c r="E14" s="1498">
        <v>4870</v>
      </c>
      <c r="F14" s="1498">
        <f>+E14-D14-C14</f>
        <v>0</v>
      </c>
      <c r="G14" s="1498">
        <v>4870</v>
      </c>
      <c r="H14" s="1499">
        <f>+G14-D14-C14</f>
        <v>0</v>
      </c>
      <c r="I14" s="168"/>
    </row>
    <row r="15" spans="1:9" s="23" customFormat="1" ht="63.75" customHeight="1">
      <c r="A15" s="1915">
        <v>8</v>
      </c>
      <c r="B15" s="167" t="s">
        <v>1450</v>
      </c>
      <c r="C15" s="1498"/>
      <c r="D15" s="1498">
        <v>87731</v>
      </c>
      <c r="E15" s="1498">
        <v>87558</v>
      </c>
      <c r="F15" s="1498">
        <f>+E15-D15-C15</f>
        <v>-173</v>
      </c>
      <c r="G15" s="1498">
        <v>87558</v>
      </c>
      <c r="H15" s="1499">
        <f>+G15-D15-C15</f>
        <v>-173</v>
      </c>
      <c r="I15" s="168"/>
    </row>
    <row r="16" spans="1:9" s="41" customFormat="1" ht="34.5">
      <c r="A16" s="1915">
        <v>9</v>
      </c>
      <c r="B16" s="166" t="s">
        <v>1028</v>
      </c>
      <c r="C16" s="1496">
        <f aca="true" t="shared" si="0" ref="C16:H16">SUM(C17:C37)</f>
        <v>1480333</v>
      </c>
      <c r="D16" s="1496">
        <f t="shared" si="0"/>
        <v>125578</v>
      </c>
      <c r="E16" s="1496">
        <f t="shared" si="0"/>
        <v>1576042</v>
      </c>
      <c r="F16" s="1496">
        <f t="shared" si="0"/>
        <v>-29869</v>
      </c>
      <c r="G16" s="1496">
        <f t="shared" si="0"/>
        <v>1576042</v>
      </c>
      <c r="H16" s="1497">
        <f t="shared" si="0"/>
        <v>-29869</v>
      </c>
      <c r="I16" s="164"/>
    </row>
    <row r="17" spans="1:9" s="23" customFormat="1" ht="25.5" customHeight="1">
      <c r="A17" s="1915">
        <v>10</v>
      </c>
      <c r="B17" s="167" t="s">
        <v>1029</v>
      </c>
      <c r="C17" s="1498">
        <v>35020</v>
      </c>
      <c r="D17" s="1498">
        <v>3158</v>
      </c>
      <c r="E17" s="1498">
        <v>38178</v>
      </c>
      <c r="F17" s="1498">
        <f aca="true" t="shared" si="1" ref="F17:F31">+E17-D17-C17</f>
        <v>0</v>
      </c>
      <c r="G17" s="1498">
        <v>38178</v>
      </c>
      <c r="H17" s="1499">
        <f aca="true" t="shared" si="2" ref="H17:H31">+G17-D17-C17</f>
        <v>0</v>
      </c>
      <c r="I17" s="168"/>
    </row>
    <row r="18" spans="1:9" s="23" customFormat="1" ht="25.5" customHeight="1">
      <c r="A18" s="1915">
        <v>11</v>
      </c>
      <c r="B18" s="167" t="s">
        <v>373</v>
      </c>
      <c r="C18" s="1498">
        <v>39270</v>
      </c>
      <c r="D18" s="1498">
        <v>-330</v>
      </c>
      <c r="E18" s="1498">
        <v>38940</v>
      </c>
      <c r="F18" s="1498">
        <f t="shared" si="1"/>
        <v>0</v>
      </c>
      <c r="G18" s="1498">
        <v>38940</v>
      </c>
      <c r="H18" s="1499">
        <f t="shared" si="2"/>
        <v>0</v>
      </c>
      <c r="I18" s="168"/>
    </row>
    <row r="19" spans="1:9" s="23" customFormat="1" ht="84.75" customHeight="1">
      <c r="A19" s="1915">
        <v>12</v>
      </c>
      <c r="B19" s="167" t="s">
        <v>1451</v>
      </c>
      <c r="C19" s="1498"/>
      <c r="D19" s="1498">
        <v>7362</v>
      </c>
      <c r="E19" s="1498">
        <v>7362</v>
      </c>
      <c r="F19" s="1498">
        <f t="shared" si="1"/>
        <v>0</v>
      </c>
      <c r="G19" s="1498">
        <v>7362</v>
      </c>
      <c r="H19" s="1499">
        <f t="shared" si="2"/>
        <v>0</v>
      </c>
      <c r="I19" s="168"/>
    </row>
    <row r="20" spans="1:9" s="23" customFormat="1" ht="25.5" customHeight="1">
      <c r="A20" s="1915">
        <v>13</v>
      </c>
      <c r="B20" s="167" t="s">
        <v>323</v>
      </c>
      <c r="C20" s="1498">
        <v>49393</v>
      </c>
      <c r="D20" s="1498"/>
      <c r="E20" s="1498">
        <v>52125</v>
      </c>
      <c r="F20" s="1498">
        <f t="shared" si="1"/>
        <v>2732</v>
      </c>
      <c r="G20" s="1498">
        <v>52125</v>
      </c>
      <c r="H20" s="1499">
        <f t="shared" si="2"/>
        <v>2732</v>
      </c>
      <c r="I20" s="168"/>
    </row>
    <row r="21" spans="1:9" s="23" customFormat="1" ht="25.5" customHeight="1">
      <c r="A21" s="1915">
        <v>14</v>
      </c>
      <c r="B21" s="167" t="s">
        <v>324</v>
      </c>
      <c r="C21" s="1498">
        <v>65687</v>
      </c>
      <c r="D21" s="1498"/>
      <c r="E21" s="1498">
        <v>67378</v>
      </c>
      <c r="F21" s="1498">
        <f t="shared" si="1"/>
        <v>1691</v>
      </c>
      <c r="G21" s="1498">
        <v>67378</v>
      </c>
      <c r="H21" s="1499">
        <f t="shared" si="2"/>
        <v>1691</v>
      </c>
      <c r="I21" s="168"/>
    </row>
    <row r="22" spans="1:9" s="23" customFormat="1" ht="25.5" customHeight="1">
      <c r="A22" s="1915">
        <v>15</v>
      </c>
      <c r="B22" s="167" t="s">
        <v>325</v>
      </c>
      <c r="C22" s="1498">
        <v>39900</v>
      </c>
      <c r="D22" s="1498"/>
      <c r="E22" s="1498">
        <v>42750</v>
      </c>
      <c r="F22" s="1498">
        <f t="shared" si="1"/>
        <v>2850</v>
      </c>
      <c r="G22" s="1498">
        <v>42750</v>
      </c>
      <c r="H22" s="1499">
        <f t="shared" si="2"/>
        <v>2850</v>
      </c>
      <c r="I22" s="168"/>
    </row>
    <row r="23" spans="1:9" s="23" customFormat="1" ht="25.5" customHeight="1">
      <c r="A23" s="1915">
        <v>16</v>
      </c>
      <c r="B23" s="167" t="s">
        <v>374</v>
      </c>
      <c r="C23" s="1498">
        <v>32245</v>
      </c>
      <c r="D23" s="1498"/>
      <c r="E23" s="1498">
        <v>32245</v>
      </c>
      <c r="F23" s="1498">
        <f t="shared" si="1"/>
        <v>0</v>
      </c>
      <c r="G23" s="1498">
        <v>32245</v>
      </c>
      <c r="H23" s="1499">
        <f t="shared" si="2"/>
        <v>0</v>
      </c>
      <c r="I23" s="168"/>
    </row>
    <row r="24" spans="1:9" s="23" customFormat="1" ht="25.5" customHeight="1">
      <c r="A24" s="1915">
        <v>17</v>
      </c>
      <c r="B24" s="167" t="s">
        <v>375</v>
      </c>
      <c r="C24" s="1498">
        <v>13780</v>
      </c>
      <c r="D24" s="1498"/>
      <c r="E24" s="1498">
        <v>15847</v>
      </c>
      <c r="F24" s="1498">
        <f t="shared" si="1"/>
        <v>2067</v>
      </c>
      <c r="G24" s="1498">
        <v>15847</v>
      </c>
      <c r="H24" s="1499">
        <f t="shared" si="2"/>
        <v>2067</v>
      </c>
      <c r="I24" s="168"/>
    </row>
    <row r="25" spans="1:9" s="23" customFormat="1" ht="25.5" customHeight="1">
      <c r="A25" s="1915">
        <v>18</v>
      </c>
      <c r="B25" s="167" t="s">
        <v>1031</v>
      </c>
      <c r="C25" s="1498">
        <v>54612</v>
      </c>
      <c r="D25" s="1498"/>
      <c r="E25" s="1498">
        <v>54612</v>
      </c>
      <c r="F25" s="1498">
        <f t="shared" si="1"/>
        <v>0</v>
      </c>
      <c r="G25" s="1498">
        <v>54612</v>
      </c>
      <c r="H25" s="1499">
        <f t="shared" si="2"/>
        <v>0</v>
      </c>
      <c r="I25" s="168"/>
    </row>
    <row r="26" spans="1:9" s="23" customFormat="1" ht="69.75" customHeight="1">
      <c r="A26" s="1915">
        <v>19</v>
      </c>
      <c r="B26" s="167" t="s">
        <v>1452</v>
      </c>
      <c r="C26" s="1498"/>
      <c r="D26" s="1498">
        <v>15862</v>
      </c>
      <c r="E26" s="1498">
        <v>16609</v>
      </c>
      <c r="F26" s="1498">
        <f t="shared" si="1"/>
        <v>747</v>
      </c>
      <c r="G26" s="1498">
        <v>16609</v>
      </c>
      <c r="H26" s="1499">
        <f t="shared" si="2"/>
        <v>747</v>
      </c>
      <c r="I26" s="168"/>
    </row>
    <row r="27" spans="1:9" s="23" customFormat="1" ht="25.5" customHeight="1">
      <c r="A27" s="1915">
        <v>20</v>
      </c>
      <c r="B27" s="167" t="s">
        <v>1030</v>
      </c>
      <c r="C27" s="1498">
        <v>456349</v>
      </c>
      <c r="D27" s="1498">
        <f>-40437</f>
        <v>-40437</v>
      </c>
      <c r="E27" s="1498">
        <v>412164</v>
      </c>
      <c r="F27" s="1498">
        <f t="shared" si="1"/>
        <v>-3748</v>
      </c>
      <c r="G27" s="1498">
        <v>412164</v>
      </c>
      <c r="H27" s="1499">
        <f t="shared" si="2"/>
        <v>-3748</v>
      </c>
      <c r="I27" s="168"/>
    </row>
    <row r="28" spans="1:9" s="23" customFormat="1" ht="25.5" customHeight="1">
      <c r="A28" s="1915">
        <v>21</v>
      </c>
      <c r="B28" s="167" t="s">
        <v>1068</v>
      </c>
      <c r="C28" s="1498"/>
      <c r="D28" s="1498">
        <v>38579</v>
      </c>
      <c r="E28" s="1498">
        <v>37905</v>
      </c>
      <c r="F28" s="1498">
        <f t="shared" si="1"/>
        <v>-674</v>
      </c>
      <c r="G28" s="1498">
        <v>37905</v>
      </c>
      <c r="H28" s="1499">
        <f t="shared" si="2"/>
        <v>-674</v>
      </c>
      <c r="I28" s="168"/>
    </row>
    <row r="29" spans="1:9" s="23" customFormat="1" ht="69.75" customHeight="1">
      <c r="A29" s="1915">
        <v>22</v>
      </c>
      <c r="B29" s="167" t="s">
        <v>1453</v>
      </c>
      <c r="C29" s="1498"/>
      <c r="D29" s="1498">
        <v>12755</v>
      </c>
      <c r="E29" s="1498">
        <v>12615</v>
      </c>
      <c r="F29" s="1498">
        <f t="shared" si="1"/>
        <v>-140</v>
      </c>
      <c r="G29" s="1498">
        <v>12615</v>
      </c>
      <c r="H29" s="1499">
        <f t="shared" si="2"/>
        <v>-140</v>
      </c>
      <c r="I29" s="168"/>
    </row>
    <row r="30" spans="1:9" s="23" customFormat="1" ht="49.5">
      <c r="A30" s="1915">
        <v>23</v>
      </c>
      <c r="B30" s="167" t="s">
        <v>1069</v>
      </c>
      <c r="C30" s="1498">
        <f>172805+19290-30058</f>
        <v>162037</v>
      </c>
      <c r="D30" s="1498"/>
      <c r="E30" s="1498">
        <v>154322</v>
      </c>
      <c r="F30" s="1498">
        <f t="shared" si="1"/>
        <v>-7715</v>
      </c>
      <c r="G30" s="1498">
        <v>154322</v>
      </c>
      <c r="H30" s="1499">
        <f t="shared" si="2"/>
        <v>-7715</v>
      </c>
      <c r="I30" s="168"/>
    </row>
    <row r="31" spans="1:9" s="23" customFormat="1" ht="16.5">
      <c r="A31" s="1915">
        <v>24</v>
      </c>
      <c r="B31" s="167" t="s">
        <v>1070</v>
      </c>
      <c r="C31" s="1498">
        <v>30058</v>
      </c>
      <c r="D31" s="1498"/>
      <c r="E31" s="1498">
        <v>19478</v>
      </c>
      <c r="F31" s="1498">
        <f t="shared" si="1"/>
        <v>-10580</v>
      </c>
      <c r="G31" s="1498">
        <v>19478</v>
      </c>
      <c r="H31" s="1499">
        <f t="shared" si="2"/>
        <v>-10580</v>
      </c>
      <c r="I31" s="168"/>
    </row>
    <row r="32" spans="1:9" s="23" customFormat="1" ht="71.25" customHeight="1">
      <c r="A32" s="1915">
        <v>25</v>
      </c>
      <c r="B32" s="167" t="s">
        <v>1454</v>
      </c>
      <c r="C32" s="1498"/>
      <c r="D32" s="1498">
        <v>15792</v>
      </c>
      <c r="E32" s="1498">
        <v>15040</v>
      </c>
      <c r="F32" s="1498">
        <f aca="true" t="shared" si="3" ref="F32:F37">+E32-D32-C32</f>
        <v>-752</v>
      </c>
      <c r="G32" s="1498">
        <v>15040</v>
      </c>
      <c r="H32" s="1499">
        <f aca="true" t="shared" si="4" ref="H32:H37">+G32-D32-C32</f>
        <v>-752</v>
      </c>
      <c r="I32" s="168"/>
    </row>
    <row r="33" spans="1:9" s="23" customFormat="1" ht="25.5" customHeight="1">
      <c r="A33" s="1915">
        <v>26</v>
      </c>
      <c r="B33" s="167" t="s">
        <v>326</v>
      </c>
      <c r="C33" s="1498">
        <v>501906</v>
      </c>
      <c r="D33" s="1498">
        <v>-121921</v>
      </c>
      <c r="E33" s="1498">
        <v>370349</v>
      </c>
      <c r="F33" s="1498">
        <f t="shared" si="3"/>
        <v>-9636</v>
      </c>
      <c r="G33" s="1498">
        <v>370349</v>
      </c>
      <c r="H33" s="1499">
        <f t="shared" si="4"/>
        <v>-9636</v>
      </c>
      <c r="I33" s="168"/>
    </row>
    <row r="34" spans="1:9" s="23" customFormat="1" ht="65.25" customHeight="1">
      <c r="A34" s="1915">
        <v>27</v>
      </c>
      <c r="B34" s="167" t="s">
        <v>1455</v>
      </c>
      <c r="C34" s="1498"/>
      <c r="D34" s="1498">
        <v>18897</v>
      </c>
      <c r="E34" s="1498">
        <v>12262</v>
      </c>
      <c r="F34" s="1498">
        <f t="shared" si="3"/>
        <v>-6635</v>
      </c>
      <c r="G34" s="1498">
        <v>12262</v>
      </c>
      <c r="H34" s="1499">
        <f t="shared" si="4"/>
        <v>-6635</v>
      </c>
      <c r="I34" s="168"/>
    </row>
    <row r="35" spans="1:9" s="23" customFormat="1" ht="33">
      <c r="A35" s="1915">
        <v>28</v>
      </c>
      <c r="B35" s="167" t="s">
        <v>327</v>
      </c>
      <c r="C35" s="1498">
        <v>76</v>
      </c>
      <c r="D35" s="1498"/>
      <c r="E35" s="1498">
        <v>0</v>
      </c>
      <c r="F35" s="1498">
        <f t="shared" si="3"/>
        <v>-76</v>
      </c>
      <c r="G35" s="1498">
        <v>0</v>
      </c>
      <c r="H35" s="1499">
        <f t="shared" si="4"/>
        <v>-76</v>
      </c>
      <c r="I35" s="168"/>
    </row>
    <row r="36" spans="1:9" s="23" customFormat="1" ht="25.5" customHeight="1">
      <c r="A36" s="1915">
        <v>29</v>
      </c>
      <c r="B36" s="167" t="s">
        <v>1018</v>
      </c>
      <c r="C36" s="1498"/>
      <c r="D36" s="1498">
        <v>171642</v>
      </c>
      <c r="E36" s="1498">
        <v>171642</v>
      </c>
      <c r="F36" s="1498">
        <f t="shared" si="3"/>
        <v>0</v>
      </c>
      <c r="G36" s="1498">
        <v>171642</v>
      </c>
      <c r="H36" s="1499">
        <f t="shared" si="4"/>
        <v>0</v>
      </c>
      <c r="I36" s="168"/>
    </row>
    <row r="37" spans="1:9" s="23" customFormat="1" ht="25.5" customHeight="1">
      <c r="A37" s="1915">
        <v>30</v>
      </c>
      <c r="B37" s="167" t="s">
        <v>1019</v>
      </c>
      <c r="C37" s="1498"/>
      <c r="D37" s="1498">
        <v>4219</v>
      </c>
      <c r="E37" s="1498">
        <v>4219</v>
      </c>
      <c r="F37" s="1498">
        <f t="shared" si="3"/>
        <v>0</v>
      </c>
      <c r="G37" s="1498">
        <v>4219</v>
      </c>
      <c r="H37" s="1499">
        <f t="shared" si="4"/>
        <v>0</v>
      </c>
      <c r="I37" s="168"/>
    </row>
    <row r="38" spans="1:9" s="1500" customFormat="1" ht="34.5">
      <c r="A38" s="1915">
        <v>31</v>
      </c>
      <c r="B38" s="166" t="s">
        <v>328</v>
      </c>
      <c r="C38" s="1496">
        <f>SUM(C39:C46)</f>
        <v>461283</v>
      </c>
      <c r="D38" s="1496">
        <f>SUM(D39:D47)</f>
        <v>81243</v>
      </c>
      <c r="E38" s="1496">
        <f>SUM(E39:E46)</f>
        <v>535792</v>
      </c>
      <c r="F38" s="1496">
        <f>SUM(F39:F46)</f>
        <v>0</v>
      </c>
      <c r="G38" s="1496">
        <f>SUM(G39:G46)</f>
        <v>535792</v>
      </c>
      <c r="H38" s="1497">
        <f>SUM(H39:H46)</f>
        <v>0</v>
      </c>
      <c r="I38" s="164"/>
    </row>
    <row r="39" spans="1:9" s="1501" customFormat="1" ht="33">
      <c r="A39" s="1915">
        <v>32</v>
      </c>
      <c r="B39" s="167" t="s">
        <v>329</v>
      </c>
      <c r="C39" s="1498">
        <v>120660</v>
      </c>
      <c r="D39" s="1498"/>
      <c r="E39" s="1498">
        <v>120660</v>
      </c>
      <c r="F39" s="1498">
        <f aca="true" t="shared" si="5" ref="F39:F47">+E39-D39-C39</f>
        <v>0</v>
      </c>
      <c r="G39" s="1498">
        <v>120660</v>
      </c>
      <c r="H39" s="1499">
        <f aca="true" t="shared" si="6" ref="H39:H47">+G39-D39-C39</f>
        <v>0</v>
      </c>
      <c r="I39" s="168"/>
    </row>
    <row r="40" spans="1:9" s="1501" customFormat="1" ht="25.5" customHeight="1">
      <c r="A40" s="1915">
        <v>33</v>
      </c>
      <c r="B40" s="167" t="s">
        <v>330</v>
      </c>
      <c r="C40" s="1498">
        <v>140200</v>
      </c>
      <c r="D40" s="1498"/>
      <c r="E40" s="1498">
        <v>140200</v>
      </c>
      <c r="F40" s="1498">
        <f t="shared" si="5"/>
        <v>0</v>
      </c>
      <c r="G40" s="1498">
        <v>140200</v>
      </c>
      <c r="H40" s="1499">
        <f t="shared" si="6"/>
        <v>0</v>
      </c>
      <c r="I40" s="168"/>
    </row>
    <row r="41" spans="1:9" s="160" customFormat="1" ht="33">
      <c r="A41" s="1915">
        <v>34</v>
      </c>
      <c r="B41" s="167" t="s">
        <v>331</v>
      </c>
      <c r="C41" s="1498">
        <v>25675</v>
      </c>
      <c r="D41" s="1498"/>
      <c r="E41" s="1498">
        <v>25675</v>
      </c>
      <c r="F41" s="1498">
        <f t="shared" si="5"/>
        <v>0</v>
      </c>
      <c r="G41" s="1498">
        <v>25675</v>
      </c>
      <c r="H41" s="1499">
        <f t="shared" si="6"/>
        <v>0</v>
      </c>
      <c r="I41" s="168"/>
    </row>
    <row r="42" spans="1:9" s="160" customFormat="1" ht="61.5" customHeight="1">
      <c r="A42" s="1915">
        <v>35</v>
      </c>
      <c r="B42" s="167" t="s">
        <v>1456</v>
      </c>
      <c r="C42" s="1498"/>
      <c r="D42" s="1498">
        <v>8167</v>
      </c>
      <c r="E42" s="1498">
        <v>8167</v>
      </c>
      <c r="F42" s="1498">
        <f t="shared" si="5"/>
        <v>0</v>
      </c>
      <c r="G42" s="1498">
        <v>8167</v>
      </c>
      <c r="H42" s="1499">
        <f t="shared" si="6"/>
        <v>0</v>
      </c>
      <c r="I42" s="168"/>
    </row>
    <row r="43" spans="1:9" s="1501" customFormat="1" ht="33">
      <c r="A43" s="1915">
        <v>36</v>
      </c>
      <c r="B43" s="167" t="s">
        <v>332</v>
      </c>
      <c r="C43" s="1498">
        <v>150648</v>
      </c>
      <c r="D43" s="1498"/>
      <c r="E43" s="1498">
        <v>150648</v>
      </c>
      <c r="F43" s="1498">
        <f t="shared" si="5"/>
        <v>0</v>
      </c>
      <c r="G43" s="1498">
        <v>150648</v>
      </c>
      <c r="H43" s="1499">
        <f t="shared" si="6"/>
        <v>0</v>
      </c>
      <c r="I43" s="168"/>
    </row>
    <row r="44" spans="1:9" s="1501" customFormat="1" ht="49.5">
      <c r="A44" s="1915">
        <v>37</v>
      </c>
      <c r="B44" s="167" t="s">
        <v>1032</v>
      </c>
      <c r="C44" s="1498"/>
      <c r="D44" s="1498">
        <v>1403</v>
      </c>
      <c r="E44" s="1498">
        <v>1403</v>
      </c>
      <c r="F44" s="1498">
        <f t="shared" si="5"/>
        <v>0</v>
      </c>
      <c r="G44" s="1498">
        <v>1403</v>
      </c>
      <c r="H44" s="1499">
        <f t="shared" si="6"/>
        <v>0</v>
      </c>
      <c r="I44" s="168"/>
    </row>
    <row r="45" spans="1:9" s="1501" customFormat="1" ht="25.5" customHeight="1">
      <c r="A45" s="1915">
        <v>38</v>
      </c>
      <c r="B45" s="167" t="s">
        <v>1017</v>
      </c>
      <c r="C45" s="1498"/>
      <c r="D45" s="1498">
        <v>64939</v>
      </c>
      <c r="E45" s="1498">
        <v>64939</v>
      </c>
      <c r="F45" s="1498">
        <f t="shared" si="5"/>
        <v>0</v>
      </c>
      <c r="G45" s="1498">
        <v>64939</v>
      </c>
      <c r="H45" s="1499">
        <f t="shared" si="6"/>
        <v>0</v>
      </c>
      <c r="I45" s="168"/>
    </row>
    <row r="46" spans="1:9" s="1501" customFormat="1" ht="25.5" customHeight="1">
      <c r="A46" s="1915">
        <v>39</v>
      </c>
      <c r="B46" s="167" t="s">
        <v>333</v>
      </c>
      <c r="C46" s="1498">
        <v>24100</v>
      </c>
      <c r="D46" s="1498"/>
      <c r="E46" s="1498">
        <v>24100</v>
      </c>
      <c r="F46" s="1498">
        <f t="shared" si="5"/>
        <v>0</v>
      </c>
      <c r="G46" s="1498">
        <v>24100</v>
      </c>
      <c r="H46" s="1499">
        <f t="shared" si="6"/>
        <v>0</v>
      </c>
      <c r="I46" s="168"/>
    </row>
    <row r="47" spans="1:9" s="1501" customFormat="1" ht="36.75" customHeight="1" thickBot="1">
      <c r="A47" s="1915">
        <v>40</v>
      </c>
      <c r="B47" s="166" t="s">
        <v>1033</v>
      </c>
      <c r="C47" s="1498"/>
      <c r="D47" s="1498">
        <v>6734</v>
      </c>
      <c r="E47" s="1498">
        <v>6734</v>
      </c>
      <c r="F47" s="1498">
        <f t="shared" si="5"/>
        <v>0</v>
      </c>
      <c r="G47" s="1498">
        <v>6734</v>
      </c>
      <c r="H47" s="1499">
        <f t="shared" si="6"/>
        <v>0</v>
      </c>
      <c r="I47" s="168"/>
    </row>
    <row r="48" spans="1:9" s="171" customFormat="1" ht="36" customHeight="1" thickBot="1">
      <c r="A48" s="1915">
        <v>41</v>
      </c>
      <c r="B48" s="169" t="s">
        <v>13</v>
      </c>
      <c r="C48" s="170">
        <f>SUM(C8:C10,C16,C38)+C47</f>
        <v>3066627</v>
      </c>
      <c r="D48" s="170">
        <f>SUM(D8:D10,D16,D38)</f>
        <v>305557</v>
      </c>
      <c r="E48" s="170">
        <f>SUM(E8:E10,E16,E38)+E47</f>
        <v>3334012</v>
      </c>
      <c r="F48" s="170">
        <f>SUM(F8:F10,F16,F38)</f>
        <v>-38172</v>
      </c>
      <c r="G48" s="170">
        <f>SUM(G8:G10,G16,G38)+G47</f>
        <v>3334012</v>
      </c>
      <c r="H48" s="1502">
        <f>SUM(H8:H10,H16,H38)</f>
        <v>-38172</v>
      </c>
      <c r="I48" s="164"/>
    </row>
  </sheetData>
  <sheetProtection/>
  <mergeCells count="11">
    <mergeCell ref="G6:G7"/>
    <mergeCell ref="H6:H7"/>
    <mergeCell ref="B2:H2"/>
    <mergeCell ref="J2:O2"/>
    <mergeCell ref="B3:H3"/>
    <mergeCell ref="J3:O3"/>
    <mergeCell ref="B6:B7"/>
    <mergeCell ref="C6:C7"/>
    <mergeCell ref="D6:D7"/>
    <mergeCell ref="E6:E7"/>
    <mergeCell ref="F6:F7"/>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63" r:id="rId1"/>
  <headerFooter alignWithMargins="0">
    <oddFooter>&amp;C- &amp;P -</oddFooter>
  </headerFooter>
</worksheet>
</file>

<file path=xl/worksheets/sheet20.xml><?xml version="1.0" encoding="utf-8"?>
<worksheet xmlns="http://schemas.openxmlformats.org/spreadsheetml/2006/main" xmlns:r="http://schemas.openxmlformats.org/officeDocument/2006/relationships">
  <dimension ref="A1:I26"/>
  <sheetViews>
    <sheetView view="pageBreakPreview" zoomScaleSheetLayoutView="100" zoomScalePageLayoutView="0" workbookViewId="0" topLeftCell="A1">
      <selection activeCell="B1" sqref="B1:C1"/>
    </sheetView>
  </sheetViews>
  <sheetFormatPr defaultColWidth="9.125" defaultRowHeight="12.75"/>
  <cols>
    <col min="1" max="1" width="4.75390625" style="318" customWidth="1"/>
    <col min="2" max="2" width="49.75390625" style="23" customWidth="1"/>
    <col min="3" max="3" width="25.75390625" style="23" customWidth="1"/>
    <col min="4" max="8" width="25.75390625" style="1490" customWidth="1"/>
    <col min="9" max="9" width="25.75390625" style="1730" customWidth="1"/>
    <col min="10" max="16384" width="9.125" style="23" customWidth="1"/>
  </cols>
  <sheetData>
    <row r="1" spans="2:3" ht="16.5" customHeight="1">
      <c r="B1" s="2312" t="s">
        <v>1476</v>
      </c>
      <c r="C1" s="2312"/>
    </row>
    <row r="2" spans="1:9" s="24" customFormat="1" ht="24.75" customHeight="1">
      <c r="A2" s="2010"/>
      <c r="B2" s="2021" t="s">
        <v>122</v>
      </c>
      <c r="C2" s="2021"/>
      <c r="D2" s="2021"/>
      <c r="E2" s="2021"/>
      <c r="F2" s="2021"/>
      <c r="G2" s="2021"/>
      <c r="H2" s="2021"/>
      <c r="I2" s="2021"/>
    </row>
    <row r="3" spans="1:9" s="24" customFormat="1" ht="24.75" customHeight="1">
      <c r="A3" s="2010"/>
      <c r="B3" s="2021" t="s">
        <v>14</v>
      </c>
      <c r="C3" s="2021"/>
      <c r="D3" s="2021"/>
      <c r="E3" s="2021"/>
      <c r="F3" s="2021"/>
      <c r="G3" s="2021"/>
      <c r="H3" s="2021"/>
      <c r="I3" s="2021"/>
    </row>
    <row r="4" spans="1:9" s="24" customFormat="1" ht="16.5" customHeight="1">
      <c r="A4" s="2010"/>
      <c r="B4" s="2021" t="s">
        <v>1215</v>
      </c>
      <c r="C4" s="2021"/>
      <c r="D4" s="2021"/>
      <c r="E4" s="2021"/>
      <c r="F4" s="2021"/>
      <c r="G4" s="2021"/>
      <c r="H4" s="2021"/>
      <c r="I4" s="2021"/>
    </row>
    <row r="5" spans="1:9" s="24" customFormat="1" ht="16.5" customHeight="1">
      <c r="A5" s="2010"/>
      <c r="B5" s="2021" t="s">
        <v>1216</v>
      </c>
      <c r="C5" s="2021"/>
      <c r="D5" s="2021"/>
      <c r="E5" s="2021"/>
      <c r="F5" s="2021"/>
      <c r="G5" s="2021"/>
      <c r="H5" s="2021"/>
      <c r="I5" s="2021"/>
    </row>
    <row r="6" spans="2:9" ht="16.5" customHeight="1">
      <c r="B6" s="2009"/>
      <c r="C6" s="2009"/>
      <c r="D6" s="2009"/>
      <c r="E6" s="2009"/>
      <c r="F6" s="2009"/>
      <c r="G6" s="2009"/>
      <c r="H6" s="2009"/>
      <c r="I6" s="1731" t="s">
        <v>0</v>
      </c>
    </row>
    <row r="7" spans="2:9" s="2010" customFormat="1" ht="16.5" customHeight="1" thickBot="1">
      <c r="B7" s="2010" t="s">
        <v>1</v>
      </c>
      <c r="C7" s="2010" t="s">
        <v>3</v>
      </c>
      <c r="D7" s="1732" t="s">
        <v>2</v>
      </c>
      <c r="E7" s="1732" t="s">
        <v>4</v>
      </c>
      <c r="F7" s="1732" t="s">
        <v>5</v>
      </c>
      <c r="G7" s="1732" t="s">
        <v>15</v>
      </c>
      <c r="H7" s="1732" t="s">
        <v>16</v>
      </c>
      <c r="I7" s="1733" t="s">
        <v>36</v>
      </c>
    </row>
    <row r="8" spans="1:9" ht="24.75" customHeight="1">
      <c r="A8" s="2304"/>
      <c r="B8" s="2305" t="s">
        <v>1217</v>
      </c>
      <c r="C8" s="2308" t="s">
        <v>1218</v>
      </c>
      <c r="D8" s="1734" t="s">
        <v>1219</v>
      </c>
      <c r="E8" s="1735" t="s">
        <v>1219</v>
      </c>
      <c r="F8" s="1735" t="s">
        <v>1219</v>
      </c>
      <c r="G8" s="1735" t="s">
        <v>1219</v>
      </c>
      <c r="H8" s="1734" t="s">
        <v>1219</v>
      </c>
      <c r="I8" s="1736" t="s">
        <v>1220</v>
      </c>
    </row>
    <row r="9" spans="1:9" s="24" customFormat="1" ht="16.5" customHeight="1">
      <c r="A9" s="2304"/>
      <c r="B9" s="2306"/>
      <c r="C9" s="2309"/>
      <c r="D9" s="1737" t="s">
        <v>1221</v>
      </c>
      <c r="E9" s="1738" t="s">
        <v>1222</v>
      </c>
      <c r="F9" s="1738" t="s">
        <v>1222</v>
      </c>
      <c r="G9" s="1738" t="s">
        <v>1222</v>
      </c>
      <c r="H9" s="1737" t="s">
        <v>1223</v>
      </c>
      <c r="I9" s="1739" t="s">
        <v>1224</v>
      </c>
    </row>
    <row r="10" spans="1:9" s="176" customFormat="1" ht="33.75" thickBot="1">
      <c r="A10" s="2304"/>
      <c r="B10" s="2307"/>
      <c r="C10" s="2310"/>
      <c r="D10" s="1740" t="s">
        <v>1225</v>
      </c>
      <c r="E10" s="1741" t="s">
        <v>1226</v>
      </c>
      <c r="F10" s="1741" t="s">
        <v>1227</v>
      </c>
      <c r="G10" s="1741" t="s">
        <v>1228</v>
      </c>
      <c r="H10" s="1740" t="s">
        <v>1229</v>
      </c>
      <c r="I10" s="1742" t="s">
        <v>1230</v>
      </c>
    </row>
    <row r="11" spans="1:9" s="24" customFormat="1" ht="24.75" customHeight="1">
      <c r="A11" s="2010">
        <v>1</v>
      </c>
      <c r="B11" s="1743" t="s">
        <v>1231</v>
      </c>
      <c r="C11" s="1744">
        <v>2751100</v>
      </c>
      <c r="D11" s="1744">
        <v>2510328</v>
      </c>
      <c r="E11" s="1744">
        <v>100</v>
      </c>
      <c r="F11" s="1744">
        <v>631900</v>
      </c>
      <c r="G11" s="1744">
        <v>-228083</v>
      </c>
      <c r="H11" s="1744">
        <f>+D11+E11+F11+G11</f>
        <v>2914245</v>
      </c>
      <c r="I11" s="1745">
        <v>0.9874</v>
      </c>
    </row>
    <row r="12" spans="1:9" s="24" customFormat="1" ht="24.75" customHeight="1">
      <c r="A12" s="2010">
        <v>2</v>
      </c>
      <c r="B12" s="1746" t="s">
        <v>1232</v>
      </c>
      <c r="C12" s="1747">
        <v>339340</v>
      </c>
      <c r="D12" s="1747">
        <v>339340</v>
      </c>
      <c r="E12" s="1747">
        <v>0</v>
      </c>
      <c r="F12" s="1747">
        <v>0</v>
      </c>
      <c r="G12" s="1747">
        <v>0</v>
      </c>
      <c r="H12" s="1744">
        <f aca="true" t="shared" si="0" ref="H12:H21">+D12+E12+F12+G12</f>
        <v>339340</v>
      </c>
      <c r="I12" s="1748">
        <v>0.3829</v>
      </c>
    </row>
    <row r="13" spans="1:9" s="24" customFormat="1" ht="24.75" customHeight="1">
      <c r="A13" s="2010">
        <v>3</v>
      </c>
      <c r="B13" s="1746" t="s">
        <v>1233</v>
      </c>
      <c r="C13" s="1747">
        <v>16400</v>
      </c>
      <c r="D13" s="1747">
        <v>71430</v>
      </c>
      <c r="E13" s="1747">
        <v>2000</v>
      </c>
      <c r="F13" s="1747">
        <v>98000</v>
      </c>
      <c r="G13" s="1747">
        <v>-39622</v>
      </c>
      <c r="H13" s="1744">
        <f t="shared" si="0"/>
        <v>131808</v>
      </c>
      <c r="I13" s="1749">
        <v>0.6805</v>
      </c>
    </row>
    <row r="14" spans="1:9" s="24" customFormat="1" ht="24.75" customHeight="1">
      <c r="A14" s="2010">
        <v>4</v>
      </c>
      <c r="B14" s="1746" t="s">
        <v>1234</v>
      </c>
      <c r="C14" s="1747">
        <v>50100</v>
      </c>
      <c r="D14" s="1747">
        <v>51353</v>
      </c>
      <c r="E14" s="1747">
        <v>0</v>
      </c>
      <c r="F14" s="1747">
        <v>0</v>
      </c>
      <c r="G14" s="1747">
        <v>5347</v>
      </c>
      <c r="H14" s="1744">
        <f t="shared" si="0"/>
        <v>56700</v>
      </c>
      <c r="I14" s="1749">
        <v>1</v>
      </c>
    </row>
    <row r="15" spans="1:9" s="24" customFormat="1" ht="24.75" customHeight="1">
      <c r="A15" s="2010">
        <v>5</v>
      </c>
      <c r="B15" s="1750" t="s">
        <v>1235</v>
      </c>
      <c r="C15" s="1747">
        <v>1455180</v>
      </c>
      <c r="D15" s="1747">
        <v>647907</v>
      </c>
      <c r="E15" s="1747">
        <v>10</v>
      </c>
      <c r="F15" s="1747">
        <v>6990</v>
      </c>
      <c r="G15" s="1747">
        <v>-30195</v>
      </c>
      <c r="H15" s="1744">
        <f t="shared" si="0"/>
        <v>624712</v>
      </c>
      <c r="I15" s="1749">
        <v>1</v>
      </c>
    </row>
    <row r="16" spans="1:9" s="24" customFormat="1" ht="33">
      <c r="A16" s="2010">
        <v>6</v>
      </c>
      <c r="B16" s="1746" t="s">
        <v>1236</v>
      </c>
      <c r="C16" s="1747">
        <v>450640</v>
      </c>
      <c r="D16" s="1747">
        <v>1254820</v>
      </c>
      <c r="E16" s="1747">
        <v>10</v>
      </c>
      <c r="F16" s="1747">
        <v>117990</v>
      </c>
      <c r="G16" s="1747">
        <v>0</v>
      </c>
      <c r="H16" s="1744">
        <f t="shared" si="0"/>
        <v>1372820</v>
      </c>
      <c r="I16" s="1749">
        <v>1</v>
      </c>
    </row>
    <row r="17" spans="1:9" s="24" customFormat="1" ht="24.75" customHeight="1">
      <c r="A17" s="2010">
        <v>7</v>
      </c>
      <c r="B17" s="1746" t="s">
        <v>1237</v>
      </c>
      <c r="C17" s="1747">
        <v>2120</v>
      </c>
      <c r="D17" s="1747">
        <v>3650</v>
      </c>
      <c r="E17" s="1747">
        <v>10</v>
      </c>
      <c r="F17" s="1747">
        <v>4000</v>
      </c>
      <c r="G17" s="1747">
        <v>0</v>
      </c>
      <c r="H17" s="1744">
        <f t="shared" si="0"/>
        <v>7660</v>
      </c>
      <c r="I17" s="1748">
        <v>0.7019</v>
      </c>
    </row>
    <row r="18" spans="1:9" s="24" customFormat="1" ht="24.75" customHeight="1">
      <c r="A18" s="2010">
        <v>8</v>
      </c>
      <c r="B18" s="1746" t="s">
        <v>1238</v>
      </c>
      <c r="C18" s="1747">
        <v>100080</v>
      </c>
      <c r="D18" s="1747">
        <v>292471</v>
      </c>
      <c r="E18" s="1747">
        <v>10</v>
      </c>
      <c r="F18" s="1747">
        <v>119990</v>
      </c>
      <c r="G18" s="1747">
        <f>-106001+1</f>
        <v>-106000</v>
      </c>
      <c r="H18" s="1744">
        <f t="shared" si="0"/>
        <v>306471</v>
      </c>
      <c r="I18" s="1749">
        <v>0.2489</v>
      </c>
    </row>
    <row r="19" spans="1:9" s="24" customFormat="1" ht="24.75" customHeight="1">
      <c r="A19" s="2010">
        <v>9</v>
      </c>
      <c r="B19" s="1746" t="s">
        <v>1239</v>
      </c>
      <c r="C19" s="1747">
        <v>3520</v>
      </c>
      <c r="D19" s="1747">
        <v>3441</v>
      </c>
      <c r="E19" s="1747">
        <v>100</v>
      </c>
      <c r="F19" s="1747">
        <v>22900</v>
      </c>
      <c r="G19" s="1747">
        <v>-10625</v>
      </c>
      <c r="H19" s="1744">
        <f t="shared" si="0"/>
        <v>15816</v>
      </c>
      <c r="I19" s="1748">
        <v>1</v>
      </c>
    </row>
    <row r="20" spans="1:9" s="24" customFormat="1" ht="24.75" customHeight="1">
      <c r="A20" s="2010">
        <v>10</v>
      </c>
      <c r="B20" s="1746" t="s">
        <v>1240</v>
      </c>
      <c r="C20" s="1747">
        <v>1550</v>
      </c>
      <c r="D20" s="1747">
        <v>3411</v>
      </c>
      <c r="E20" s="1747">
        <v>0</v>
      </c>
      <c r="F20" s="1747">
        <v>0</v>
      </c>
      <c r="G20" s="1747">
        <v>-1800</v>
      </c>
      <c r="H20" s="1744">
        <f t="shared" si="0"/>
        <v>1611</v>
      </c>
      <c r="I20" s="1749">
        <v>0.5099</v>
      </c>
    </row>
    <row r="21" spans="1:9" s="24" customFormat="1" ht="24.75" customHeight="1" thickBot="1">
      <c r="A21" s="2010">
        <v>11</v>
      </c>
      <c r="B21" s="1751" t="s">
        <v>1241</v>
      </c>
      <c r="C21" s="1752">
        <v>3120</v>
      </c>
      <c r="D21" s="1752">
        <v>117314</v>
      </c>
      <c r="E21" s="1752">
        <v>10</v>
      </c>
      <c r="F21" s="1752">
        <v>629990</v>
      </c>
      <c r="G21" s="1752">
        <v>-91412</v>
      </c>
      <c r="H21" s="1744">
        <f t="shared" si="0"/>
        <v>655902</v>
      </c>
      <c r="I21" s="1753">
        <v>1</v>
      </c>
    </row>
    <row r="22" spans="1:9" s="24" customFormat="1" ht="33" customHeight="1" thickBot="1">
      <c r="A22" s="2010">
        <v>12</v>
      </c>
      <c r="B22" s="1754" t="s">
        <v>139</v>
      </c>
      <c r="C22" s="1755">
        <f aca="true" t="shared" si="1" ref="C22:H22">SUM(C11:C21)</f>
        <v>5173150</v>
      </c>
      <c r="D22" s="1755">
        <f t="shared" si="1"/>
        <v>5295465</v>
      </c>
      <c r="E22" s="1755">
        <f t="shared" si="1"/>
        <v>2250</v>
      </c>
      <c r="F22" s="1755">
        <f t="shared" si="1"/>
        <v>1631760</v>
      </c>
      <c r="G22" s="1755">
        <f>SUM(G11:G21)</f>
        <v>-502390</v>
      </c>
      <c r="H22" s="1755">
        <f t="shared" si="1"/>
        <v>6427085</v>
      </c>
      <c r="I22" s="1756" t="s">
        <v>1242</v>
      </c>
    </row>
    <row r="23" ht="9.75" customHeight="1"/>
    <row r="24" spans="2:9" ht="16.5">
      <c r="B24" s="2311" t="s">
        <v>1243</v>
      </c>
      <c r="C24" s="2311"/>
      <c r="D24" s="2311"/>
      <c r="E24" s="2311"/>
      <c r="F24" s="2311"/>
      <c r="G24" s="2311"/>
      <c r="H24" s="2311"/>
      <c r="I24" s="2311"/>
    </row>
    <row r="25" spans="2:9" ht="16.5">
      <c r="B25" s="2311"/>
      <c r="C25" s="2311"/>
      <c r="D25" s="2311"/>
      <c r="E25" s="2311"/>
      <c r="F25" s="2311"/>
      <c r="G25" s="2311"/>
      <c r="H25" s="2311"/>
      <c r="I25" s="2311"/>
    </row>
    <row r="26" spans="2:9" ht="16.5">
      <c r="B26" s="2311"/>
      <c r="C26" s="2311"/>
      <c r="D26" s="2311"/>
      <c r="E26" s="2311"/>
      <c r="F26" s="2311"/>
      <c r="G26" s="2311"/>
      <c r="H26" s="2311"/>
      <c r="I26" s="2311"/>
    </row>
  </sheetData>
  <sheetProtection/>
  <mergeCells count="9">
    <mergeCell ref="A8:A10"/>
    <mergeCell ref="B8:B10"/>
    <mergeCell ref="C8:C10"/>
    <mergeCell ref="B24:I26"/>
    <mergeCell ref="B1:C1"/>
    <mergeCell ref="B2:I2"/>
    <mergeCell ref="B3:I3"/>
    <mergeCell ref="B4:I4"/>
    <mergeCell ref="B5:I5"/>
  </mergeCells>
  <printOptions/>
  <pageMargins left="0.7086614173228347" right="0.7086614173228347" top="0.7480314960629921" bottom="0.7480314960629921" header="0.31496062992125984" footer="0.31496062992125984"/>
  <pageSetup horizontalDpi="600" verticalDpi="600" orientation="landscape" paperSize="9" scale="55" r:id="rId1"/>
  <headerFooter>
    <oddFooter>&amp;C- &amp;P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F25"/>
  <sheetViews>
    <sheetView view="pageBreakPreview" zoomScaleSheetLayoutView="100" zoomScalePageLayoutView="0" workbookViewId="0" topLeftCell="A1">
      <selection activeCell="A1" sqref="A1:C1"/>
    </sheetView>
  </sheetViews>
  <sheetFormatPr defaultColWidth="9.125" defaultRowHeight="12.75"/>
  <cols>
    <col min="1" max="1" width="6.75390625" style="1761" customWidth="1"/>
    <col min="2" max="2" width="35.75390625" style="1761" customWidth="1"/>
    <col min="3" max="3" width="25.75390625" style="1761" customWidth="1"/>
    <col min="4" max="5" width="16.75390625" style="1787" customWidth="1"/>
    <col min="6" max="6" width="16.75390625" style="1788" customWidth="1"/>
    <col min="7" max="16384" width="9.125" style="1761" customWidth="1"/>
  </cols>
  <sheetData>
    <row r="1" spans="1:6" s="1759" customFormat="1" ht="16.5" customHeight="1">
      <c r="A1" s="2316" t="s">
        <v>1477</v>
      </c>
      <c r="B1" s="2316"/>
      <c r="C1" s="2316"/>
      <c r="D1" s="1757"/>
      <c r="E1" s="1757"/>
      <c r="F1" s="1758"/>
    </row>
    <row r="2" spans="1:6" s="1760" customFormat="1" ht="24.75" customHeight="1">
      <c r="A2" s="2317" t="s">
        <v>122</v>
      </c>
      <c r="B2" s="2318"/>
      <c r="C2" s="2318"/>
      <c r="D2" s="2318"/>
      <c r="E2" s="2318"/>
      <c r="F2" s="2318"/>
    </row>
    <row r="3" spans="1:6" ht="24.75" customHeight="1">
      <c r="A3" s="2319" t="s">
        <v>1244</v>
      </c>
      <c r="B3" s="2319"/>
      <c r="C3" s="2319"/>
      <c r="D3" s="2320"/>
      <c r="E3" s="2320"/>
      <c r="F3" s="2320"/>
    </row>
    <row r="4" spans="1:6" s="1760" customFormat="1" ht="16.5" customHeight="1">
      <c r="A4" s="2321" t="s">
        <v>1205</v>
      </c>
      <c r="B4" s="2322"/>
      <c r="C4" s="2322"/>
      <c r="D4" s="2322"/>
      <c r="E4" s="2322"/>
      <c r="F4" s="2322"/>
    </row>
    <row r="5" spans="1:6" s="1760" customFormat="1" ht="16.5" customHeight="1">
      <c r="A5" s="1762"/>
      <c r="B5" s="1763"/>
      <c r="C5" s="1763"/>
      <c r="D5" s="1763"/>
      <c r="E5" s="1763"/>
      <c r="F5" s="1764"/>
    </row>
    <row r="6" spans="1:6" s="1759" customFormat="1" ht="16.5" customHeight="1">
      <c r="A6" s="1765"/>
      <c r="F6" s="1766" t="s">
        <v>0</v>
      </c>
    </row>
    <row r="7" spans="1:6" ht="16.5" customHeight="1" thickBot="1">
      <c r="A7" s="1767" t="s">
        <v>1</v>
      </c>
      <c r="B7" s="2323" t="s">
        <v>3</v>
      </c>
      <c r="C7" s="2323"/>
      <c r="D7" s="1768" t="s">
        <v>2</v>
      </c>
      <c r="E7" s="1768" t="s">
        <v>4</v>
      </c>
      <c r="F7" s="1769" t="s">
        <v>5</v>
      </c>
    </row>
    <row r="8" spans="1:6" s="1760" customFormat="1" ht="24" customHeight="1" thickBot="1">
      <c r="A8" s="2324" t="s">
        <v>1206</v>
      </c>
      <c r="B8" s="2327" t="s">
        <v>351</v>
      </c>
      <c r="C8" s="2328"/>
      <c r="D8" s="1770" t="s">
        <v>1245</v>
      </c>
      <c r="E8" s="1770" t="s">
        <v>1246</v>
      </c>
      <c r="F8" s="2333" t="s">
        <v>1247</v>
      </c>
    </row>
    <row r="9" spans="1:6" ht="16.5" customHeight="1">
      <c r="A9" s="2325"/>
      <c r="B9" s="2329"/>
      <c r="C9" s="2330"/>
      <c r="D9" s="2336" t="s">
        <v>1248</v>
      </c>
      <c r="E9" s="2336" t="s">
        <v>1248</v>
      </c>
      <c r="F9" s="2334"/>
    </row>
    <row r="10" spans="1:6" ht="16.5" customHeight="1">
      <c r="A10" s="2325"/>
      <c r="B10" s="2329"/>
      <c r="C10" s="2330"/>
      <c r="D10" s="2337"/>
      <c r="E10" s="2337"/>
      <c r="F10" s="2334"/>
    </row>
    <row r="11" spans="1:6" ht="16.5" customHeight="1" thickBot="1">
      <c r="A11" s="2326"/>
      <c r="B11" s="2331"/>
      <c r="C11" s="2332"/>
      <c r="D11" s="2338"/>
      <c r="E11" s="2338"/>
      <c r="F11" s="2335"/>
    </row>
    <row r="12" spans="1:6" ht="24" customHeight="1">
      <c r="A12" s="1771"/>
      <c r="B12" s="1772" t="s">
        <v>1249</v>
      </c>
      <c r="D12" s="1773"/>
      <c r="E12" s="1773"/>
      <c r="F12" s="1774"/>
    </row>
    <row r="13" spans="1:6" s="1760" customFormat="1" ht="24" customHeight="1">
      <c r="A13" s="1775" t="s">
        <v>128</v>
      </c>
      <c r="B13" s="1776"/>
      <c r="C13" s="1760" t="s">
        <v>129</v>
      </c>
      <c r="D13" s="1777">
        <v>244324</v>
      </c>
      <c r="E13" s="1777">
        <v>153242</v>
      </c>
      <c r="F13" s="1778">
        <f>+E13/D13%</f>
        <v>62.72081334621241</v>
      </c>
    </row>
    <row r="14" spans="1:6" s="1760" customFormat="1" ht="24" customHeight="1">
      <c r="A14" s="1775" t="s">
        <v>135</v>
      </c>
      <c r="B14" s="1776"/>
      <c r="C14" s="1760" t="s">
        <v>130</v>
      </c>
      <c r="D14" s="1777">
        <v>30077</v>
      </c>
      <c r="E14" s="1777">
        <v>27085</v>
      </c>
      <c r="F14" s="1778">
        <f aca="true" t="shared" si="0" ref="F14:F19">+E14/D14%</f>
        <v>90.05219935498887</v>
      </c>
    </row>
    <row r="15" spans="1:6" s="1760" customFormat="1" ht="24" customHeight="1">
      <c r="A15" s="1775" t="s">
        <v>136</v>
      </c>
      <c r="B15" s="1776"/>
      <c r="C15" s="1760" t="s">
        <v>131</v>
      </c>
      <c r="D15" s="1777">
        <v>146742</v>
      </c>
      <c r="E15" s="1777">
        <v>136559</v>
      </c>
      <c r="F15" s="1778">
        <f t="shared" si="0"/>
        <v>93.06060977770508</v>
      </c>
    </row>
    <row r="16" spans="1:6" s="1760" customFormat="1" ht="24" customHeight="1">
      <c r="A16" s="1775" t="s">
        <v>137</v>
      </c>
      <c r="B16" s="1776"/>
      <c r="C16" s="1760" t="s">
        <v>132</v>
      </c>
      <c r="D16" s="1777">
        <v>14171</v>
      </c>
      <c r="E16" s="1777">
        <v>13951</v>
      </c>
      <c r="F16" s="1778">
        <f t="shared" si="0"/>
        <v>98.44753369557546</v>
      </c>
    </row>
    <row r="17" spans="1:6" s="1760" customFormat="1" ht="24" customHeight="1">
      <c r="A17" s="1775" t="s">
        <v>138</v>
      </c>
      <c r="B17" s="1776"/>
      <c r="C17" s="1760" t="s">
        <v>133</v>
      </c>
      <c r="D17" s="1777">
        <v>41724</v>
      </c>
      <c r="E17" s="1777">
        <v>40908</v>
      </c>
      <c r="F17" s="1778">
        <f t="shared" si="0"/>
        <v>98.04429105550761</v>
      </c>
    </row>
    <row r="18" spans="1:6" s="1760" customFormat="1" ht="24" customHeight="1" thickBot="1">
      <c r="A18" s="1775" t="s">
        <v>221</v>
      </c>
      <c r="B18" s="1776"/>
      <c r="C18" s="1760" t="s">
        <v>134</v>
      </c>
      <c r="D18" s="1777">
        <v>97912</v>
      </c>
      <c r="E18" s="1777">
        <v>0</v>
      </c>
      <c r="F18" s="1778">
        <f t="shared" si="0"/>
        <v>0</v>
      </c>
    </row>
    <row r="19" spans="1:6" s="1760" customFormat="1" ht="33" customHeight="1" thickBot="1">
      <c r="A19" s="2313" t="s">
        <v>1250</v>
      </c>
      <c r="B19" s="2314"/>
      <c r="C19" s="2315"/>
      <c r="D19" s="1779">
        <f>SUM(D12:D18)</f>
        <v>574950</v>
      </c>
      <c r="E19" s="1779">
        <f>SUM(E12:E18)</f>
        <v>371745</v>
      </c>
      <c r="F19" s="1780">
        <f t="shared" si="0"/>
        <v>64.65692668927733</v>
      </c>
    </row>
    <row r="20" spans="1:6" s="1760" customFormat="1" ht="24.75" customHeight="1">
      <c r="A20" s="1775"/>
      <c r="B20" s="1781" t="s">
        <v>1251</v>
      </c>
      <c r="D20" s="1777"/>
      <c r="E20" s="1777"/>
      <c r="F20" s="1782"/>
    </row>
    <row r="21" spans="1:6" s="1760" customFormat="1" ht="33" customHeight="1">
      <c r="A21" s="1775" t="s">
        <v>128</v>
      </c>
      <c r="B21" s="2339" t="s">
        <v>1252</v>
      </c>
      <c r="C21" s="2340"/>
      <c r="D21" s="1777">
        <v>113</v>
      </c>
      <c r="E21" s="1777">
        <v>155</v>
      </c>
      <c r="F21" s="1782">
        <f>+E21/D21%</f>
        <v>137.16814159292036</v>
      </c>
    </row>
    <row r="22" spans="1:6" s="1760" customFormat="1" ht="33" customHeight="1">
      <c r="A22" s="1775" t="s">
        <v>135</v>
      </c>
      <c r="B22" s="2339" t="s">
        <v>352</v>
      </c>
      <c r="C22" s="2340"/>
      <c r="D22" s="1777"/>
      <c r="E22" s="1777"/>
      <c r="F22" s="1782"/>
    </row>
    <row r="23" spans="1:6" s="1760" customFormat="1" ht="33" customHeight="1">
      <c r="A23" s="1775" t="s">
        <v>136</v>
      </c>
      <c r="B23" s="2339" t="s">
        <v>353</v>
      </c>
      <c r="C23" s="2340" t="s">
        <v>1253</v>
      </c>
      <c r="D23" s="1783">
        <v>1476</v>
      </c>
      <c r="E23" s="1784">
        <v>1476</v>
      </c>
      <c r="F23" s="1782">
        <f>+E23/D23%</f>
        <v>100</v>
      </c>
    </row>
    <row r="24" spans="1:6" s="1760" customFormat="1" ht="33" customHeight="1" thickBot="1">
      <c r="A24" s="1775" t="s">
        <v>137</v>
      </c>
      <c r="B24" s="2339" t="s">
        <v>1254</v>
      </c>
      <c r="C24" s="2340"/>
      <c r="D24" s="1777"/>
      <c r="E24" s="1777"/>
      <c r="F24" s="1782"/>
    </row>
    <row r="25" spans="1:6" s="1760" customFormat="1" ht="33" customHeight="1" thickBot="1">
      <c r="A25" s="2313" t="s">
        <v>139</v>
      </c>
      <c r="B25" s="2314"/>
      <c r="C25" s="2315"/>
      <c r="D25" s="1785">
        <f>SUM(D19:D24)</f>
        <v>576539</v>
      </c>
      <c r="E25" s="1785">
        <f>SUM(E19:E24)</f>
        <v>373376</v>
      </c>
      <c r="F25" s="1786">
        <f>+E25/D25%</f>
        <v>64.7616206362449</v>
      </c>
    </row>
  </sheetData>
  <sheetProtection/>
  <mergeCells count="16">
    <mergeCell ref="A25:C25"/>
    <mergeCell ref="A1:C1"/>
    <mergeCell ref="A2:F2"/>
    <mergeCell ref="A3:F3"/>
    <mergeCell ref="A4:F4"/>
    <mergeCell ref="B7:C7"/>
    <mergeCell ref="A8:A11"/>
    <mergeCell ref="B8:C11"/>
    <mergeCell ref="F8:F11"/>
    <mergeCell ref="D9:D11"/>
    <mergeCell ref="E9:E11"/>
    <mergeCell ref="A19:C19"/>
    <mergeCell ref="B21:C21"/>
    <mergeCell ref="B22:C22"/>
    <mergeCell ref="B23:C23"/>
    <mergeCell ref="B24:C24"/>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86" r:id="rId1"/>
  <headerFooter alignWithMargins="0">
    <oddFooter>&amp;C- &amp;P -</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C104"/>
  <sheetViews>
    <sheetView view="pageBreakPreview" zoomScaleSheetLayoutView="100" zoomScalePageLayoutView="0" workbookViewId="0" topLeftCell="A1">
      <selection activeCell="A1" sqref="A1:B1"/>
    </sheetView>
  </sheetViews>
  <sheetFormatPr defaultColWidth="10.25390625" defaultRowHeight="12.75"/>
  <cols>
    <col min="1" max="1" width="88.875" style="1865" customWidth="1"/>
    <col min="2" max="2" width="8.75390625" style="1865" customWidth="1"/>
    <col min="3" max="3" width="14.75390625" style="1889" customWidth="1"/>
    <col min="4" max="16384" width="10.25390625" style="1865" customWidth="1"/>
  </cols>
  <sheetData>
    <row r="1" spans="1:3" ht="16.5">
      <c r="A1" s="2260" t="s">
        <v>1478</v>
      </c>
      <c r="B1" s="2260"/>
      <c r="C1" s="1864"/>
    </row>
    <row r="2" spans="1:3" ht="19.5" customHeight="1">
      <c r="A2" s="2347" t="s">
        <v>1255</v>
      </c>
      <c r="B2" s="2347"/>
      <c r="C2" s="2347"/>
    </row>
    <row r="3" spans="1:3" ht="19.5" customHeight="1">
      <c r="A3" s="2347" t="s">
        <v>1256</v>
      </c>
      <c r="B3" s="2347"/>
      <c r="C3" s="2347"/>
    </row>
    <row r="4" spans="1:3" ht="19.5" customHeight="1">
      <c r="A4" s="2347" t="s">
        <v>565</v>
      </c>
      <c r="B4" s="2347"/>
      <c r="C4" s="2347"/>
    </row>
    <row r="5" spans="1:3" ht="17.25">
      <c r="A5" s="2348" t="s">
        <v>1257</v>
      </c>
      <c r="B5" s="2348"/>
      <c r="C5" s="2348"/>
    </row>
    <row r="6" spans="2:3" s="1792" customFormat="1" ht="15">
      <c r="B6" s="1794"/>
      <c r="C6" s="1796" t="s">
        <v>0</v>
      </c>
    </row>
    <row r="7" spans="1:3" s="1793" customFormat="1" ht="15.75" thickBot="1">
      <c r="A7" s="1793" t="s">
        <v>1</v>
      </c>
      <c r="B7" s="1797" t="s">
        <v>3</v>
      </c>
      <c r="C7" s="1798" t="s">
        <v>2</v>
      </c>
    </row>
    <row r="8" spans="1:3" ht="24.75" customHeight="1">
      <c r="A8" s="2341" t="s">
        <v>1075</v>
      </c>
      <c r="B8" s="2343" t="s">
        <v>1387</v>
      </c>
      <c r="C8" s="2345" t="s">
        <v>1388</v>
      </c>
    </row>
    <row r="9" spans="1:3" ht="17.25" customHeight="1" thickBot="1">
      <c r="A9" s="2342"/>
      <c r="B9" s="2344"/>
      <c r="C9" s="2346"/>
    </row>
    <row r="10" spans="1:3" ht="15.75" customHeight="1">
      <c r="A10" s="2352" t="s">
        <v>1389</v>
      </c>
      <c r="B10" s="2353"/>
      <c r="C10" s="2354"/>
    </row>
    <row r="11" spans="1:3" ht="15.75" customHeight="1" thickBot="1">
      <c r="A11" s="2349" t="s">
        <v>1390</v>
      </c>
      <c r="B11" s="2350"/>
      <c r="C11" s="2351"/>
    </row>
    <row r="12" spans="1:3" ht="15.75" thickBot="1">
      <c r="A12" s="1866" t="s">
        <v>1391</v>
      </c>
      <c r="B12" s="1867">
        <v>1</v>
      </c>
      <c r="C12" s="1868">
        <f>C13+C14</f>
        <v>961591</v>
      </c>
    </row>
    <row r="13" spans="1:3" ht="15">
      <c r="A13" s="1869" t="s">
        <v>1392</v>
      </c>
      <c r="B13" s="1870">
        <v>2</v>
      </c>
      <c r="C13" s="1871">
        <v>961591</v>
      </c>
    </row>
    <row r="14" spans="1:3" ht="15.75" thickBot="1">
      <c r="A14" s="1872" t="s">
        <v>1393</v>
      </c>
      <c r="B14" s="1873">
        <v>3</v>
      </c>
      <c r="C14" s="1874"/>
    </row>
    <row r="15" spans="1:3" ht="15.75" thickBot="1">
      <c r="A15" s="1866" t="s">
        <v>1394</v>
      </c>
      <c r="B15" s="1867">
        <v>4</v>
      </c>
      <c r="C15" s="1868">
        <f>C16+C19+C22</f>
        <v>1882771</v>
      </c>
    </row>
    <row r="16" spans="1:3" ht="15">
      <c r="A16" s="1875" t="s">
        <v>1395</v>
      </c>
      <c r="B16" s="1876">
        <v>5</v>
      </c>
      <c r="C16" s="1877">
        <f>+C17+C18</f>
        <v>66602</v>
      </c>
    </row>
    <row r="17" spans="1:3" ht="15">
      <c r="A17" s="1869" t="s">
        <v>1392</v>
      </c>
      <c r="B17" s="1870">
        <v>6</v>
      </c>
      <c r="C17" s="1871">
        <v>66602</v>
      </c>
    </row>
    <row r="18" spans="1:3" ht="15">
      <c r="A18" s="1878" t="s">
        <v>1393</v>
      </c>
      <c r="B18" s="1879">
        <v>7</v>
      </c>
      <c r="C18" s="1880"/>
    </row>
    <row r="19" spans="1:3" ht="15">
      <c r="A19" s="1878" t="s">
        <v>1396</v>
      </c>
      <c r="B19" s="1879">
        <v>8</v>
      </c>
      <c r="C19" s="1880">
        <f>+C20+C21</f>
        <v>1816169</v>
      </c>
    </row>
    <row r="20" spans="1:3" ht="15">
      <c r="A20" s="1878" t="s">
        <v>1392</v>
      </c>
      <c r="B20" s="1879">
        <v>9</v>
      </c>
      <c r="C20" s="1880">
        <v>1816169</v>
      </c>
    </row>
    <row r="21" spans="1:3" ht="15">
      <c r="A21" s="1878" t="s">
        <v>1393</v>
      </c>
      <c r="B21" s="1879">
        <v>10</v>
      </c>
      <c r="C21" s="1880"/>
    </row>
    <row r="22" spans="1:3" ht="15">
      <c r="A22" s="1878" t="s">
        <v>1397</v>
      </c>
      <c r="B22" s="1879">
        <v>11</v>
      </c>
      <c r="C22" s="1880">
        <f>+C23+C24</f>
        <v>0</v>
      </c>
    </row>
    <row r="23" spans="1:3" ht="15">
      <c r="A23" s="1878" t="s">
        <v>1392</v>
      </c>
      <c r="B23" s="1879">
        <v>12</v>
      </c>
      <c r="C23" s="1880"/>
    </row>
    <row r="24" spans="1:3" ht="15.75" thickBot="1">
      <c r="A24" s="1872" t="s">
        <v>1393</v>
      </c>
      <c r="B24" s="1873">
        <v>13</v>
      </c>
      <c r="C24" s="1874"/>
    </row>
    <row r="25" spans="1:3" ht="15.75" thickBot="1">
      <c r="A25" s="1881" t="s">
        <v>1398</v>
      </c>
      <c r="B25" s="1867">
        <v>14</v>
      </c>
      <c r="C25" s="1868">
        <f>C26+C27</f>
        <v>123124</v>
      </c>
    </row>
    <row r="26" spans="1:3" ht="15">
      <c r="A26" s="1869" t="s">
        <v>1392</v>
      </c>
      <c r="B26" s="1870">
        <v>15</v>
      </c>
      <c r="C26" s="1871">
        <v>123124</v>
      </c>
    </row>
    <row r="27" spans="1:3" ht="15.75" thickBot="1">
      <c r="A27" s="1882" t="s">
        <v>1393</v>
      </c>
      <c r="B27" s="1883">
        <v>16</v>
      </c>
      <c r="C27" s="1884"/>
    </row>
    <row r="28" spans="1:3" ht="30" customHeight="1" thickBot="1">
      <c r="A28" s="1885" t="s">
        <v>1399</v>
      </c>
      <c r="B28" s="1886">
        <v>17</v>
      </c>
      <c r="C28" s="1887">
        <f>C12+C15+C25</f>
        <v>2967486</v>
      </c>
    </row>
    <row r="29" ht="15">
      <c r="B29" s="1888"/>
    </row>
    <row r="30" ht="15">
      <c r="B30" s="1888"/>
    </row>
    <row r="31" ht="15">
      <c r="B31" s="1888"/>
    </row>
    <row r="32" spans="2:3" s="1792" customFormat="1" ht="15">
      <c r="B32" s="1794"/>
      <c r="C32" s="1890" t="s">
        <v>0</v>
      </c>
    </row>
    <row r="33" spans="1:3" s="1793" customFormat="1" ht="15.75" thickBot="1">
      <c r="A33" s="1793" t="s">
        <v>1</v>
      </c>
      <c r="B33" s="1797" t="s">
        <v>3</v>
      </c>
      <c r="C33" s="1798" t="s">
        <v>2</v>
      </c>
    </row>
    <row r="34" spans="1:3" ht="24.75" customHeight="1">
      <c r="A34" s="2341" t="s">
        <v>1075</v>
      </c>
      <c r="B34" s="2343" t="s">
        <v>1387</v>
      </c>
      <c r="C34" s="2355" t="s">
        <v>1400</v>
      </c>
    </row>
    <row r="35" spans="1:3" ht="17.25" customHeight="1" thickBot="1">
      <c r="A35" s="2342"/>
      <c r="B35" s="2344"/>
      <c r="C35" s="2356"/>
    </row>
    <row r="36" spans="1:3" ht="15.75" customHeight="1">
      <c r="A36" s="2352" t="s">
        <v>1389</v>
      </c>
      <c r="B36" s="2353"/>
      <c r="C36" s="2354"/>
    </row>
    <row r="37" spans="1:3" ht="15.75" customHeight="1" thickBot="1">
      <c r="A37" s="2349" t="s">
        <v>1401</v>
      </c>
      <c r="B37" s="2350"/>
      <c r="C37" s="2351"/>
    </row>
    <row r="38" spans="1:3" ht="15.75" thickBot="1">
      <c r="A38" s="1866" t="s">
        <v>1402</v>
      </c>
      <c r="B38" s="1867">
        <v>1</v>
      </c>
      <c r="C38" s="1868">
        <v>21793</v>
      </c>
    </row>
    <row r="39" spans="1:3" ht="15.75" thickBot="1">
      <c r="A39" s="1866" t="s">
        <v>1403</v>
      </c>
      <c r="B39" s="1867">
        <v>2</v>
      </c>
      <c r="C39" s="1868">
        <f>SUM(C40:C42)</f>
        <v>578542</v>
      </c>
    </row>
    <row r="40" spans="1:3" ht="15">
      <c r="A40" s="1875" t="s">
        <v>1272</v>
      </c>
      <c r="B40" s="1876">
        <v>3</v>
      </c>
      <c r="C40" s="1877">
        <v>10166</v>
      </c>
    </row>
    <row r="41" spans="1:3" ht="15">
      <c r="A41" s="1878" t="s">
        <v>1404</v>
      </c>
      <c r="B41" s="1879">
        <v>4</v>
      </c>
      <c r="C41" s="1880">
        <v>568376</v>
      </c>
    </row>
    <row r="42" spans="1:3" ht="15.75" thickBot="1">
      <c r="A42" s="1878" t="s">
        <v>1405</v>
      </c>
      <c r="B42" s="1879">
        <v>5</v>
      </c>
      <c r="C42" s="1880"/>
    </row>
    <row r="43" spans="1:3" ht="15.75" thickBot="1">
      <c r="A43" s="1881" t="s">
        <v>1406</v>
      </c>
      <c r="B43" s="1867">
        <v>6</v>
      </c>
      <c r="C43" s="1868">
        <f>SUM(C44:C48)</f>
        <v>94524</v>
      </c>
    </row>
    <row r="44" spans="1:3" ht="15">
      <c r="A44" s="1875" t="s">
        <v>1407</v>
      </c>
      <c r="B44" s="1876">
        <v>7</v>
      </c>
      <c r="C44" s="1877">
        <v>17612</v>
      </c>
    </row>
    <row r="45" spans="1:3" ht="15">
      <c r="A45" s="1878" t="s">
        <v>1408</v>
      </c>
      <c r="B45" s="1879">
        <v>8</v>
      </c>
      <c r="C45" s="1880">
        <v>567</v>
      </c>
    </row>
    <row r="46" spans="1:3" ht="15">
      <c r="A46" s="1878" t="s">
        <v>1409</v>
      </c>
      <c r="B46" s="1879">
        <v>9</v>
      </c>
      <c r="C46" s="1880"/>
    </row>
    <row r="47" spans="1:3" ht="15">
      <c r="A47" s="1878" t="s">
        <v>1410</v>
      </c>
      <c r="B47" s="1879">
        <v>10</v>
      </c>
      <c r="C47" s="1880">
        <v>76345</v>
      </c>
    </row>
    <row r="48" spans="1:3" ht="15.75" thickBot="1">
      <c r="A48" s="1882" t="s">
        <v>1411</v>
      </c>
      <c r="B48" s="1883">
        <v>11</v>
      </c>
      <c r="C48" s="1884"/>
    </row>
    <row r="49" spans="1:3" s="1892" customFormat="1" ht="30" customHeight="1" thickBot="1">
      <c r="A49" s="1885" t="s">
        <v>1412</v>
      </c>
      <c r="B49" s="1886">
        <v>12</v>
      </c>
      <c r="C49" s="1891">
        <f>SUM(C38:C39,C43)</f>
        <v>694859</v>
      </c>
    </row>
    <row r="50" ht="15">
      <c r="B50" s="1888"/>
    </row>
    <row r="51" ht="15">
      <c r="B51" s="1888"/>
    </row>
    <row r="52" ht="15">
      <c r="B52" s="1888"/>
    </row>
    <row r="53" spans="2:3" s="1792" customFormat="1" ht="15">
      <c r="B53" s="1794"/>
      <c r="C53" s="1890" t="s">
        <v>0</v>
      </c>
    </row>
    <row r="54" spans="1:3" s="1793" customFormat="1" ht="15.75" thickBot="1">
      <c r="A54" s="1793" t="s">
        <v>1</v>
      </c>
      <c r="B54" s="1797" t="s">
        <v>3</v>
      </c>
      <c r="C54" s="1798" t="s">
        <v>2</v>
      </c>
    </row>
    <row r="55" spans="1:3" ht="24.75" customHeight="1">
      <c r="A55" s="2341" t="s">
        <v>1075</v>
      </c>
      <c r="B55" s="2343" t="s">
        <v>1387</v>
      </c>
      <c r="C55" s="2355" t="s">
        <v>1400</v>
      </c>
    </row>
    <row r="56" spans="1:3" ht="17.25" customHeight="1" thickBot="1">
      <c r="A56" s="2342"/>
      <c r="B56" s="2344"/>
      <c r="C56" s="2356"/>
    </row>
    <row r="57" spans="1:3" ht="15.75" customHeight="1">
      <c r="A57" s="2352" t="s">
        <v>1413</v>
      </c>
      <c r="B57" s="2353"/>
      <c r="C57" s="2354"/>
    </row>
    <row r="58" spans="1:3" ht="15.75" customHeight="1" thickBot="1">
      <c r="A58" s="2349" t="s">
        <v>1414</v>
      </c>
      <c r="B58" s="2350"/>
      <c r="C58" s="2351"/>
    </row>
    <row r="59" spans="1:3" ht="15.75" thickBot="1">
      <c r="A59" s="1866" t="s">
        <v>1415</v>
      </c>
      <c r="B59" s="1867">
        <v>1</v>
      </c>
      <c r="C59" s="1868">
        <f>SUM(C60:C63)</f>
        <v>6131234</v>
      </c>
    </row>
    <row r="60" spans="1:3" ht="15">
      <c r="A60" s="1875" t="s">
        <v>1416</v>
      </c>
      <c r="B60" s="1876">
        <v>2</v>
      </c>
      <c r="C60" s="1877">
        <v>6124932</v>
      </c>
    </row>
    <row r="61" spans="1:3" ht="15">
      <c r="A61" s="1869" t="s">
        <v>1417</v>
      </c>
      <c r="B61" s="1870">
        <v>3</v>
      </c>
      <c r="C61" s="1871"/>
    </row>
    <row r="62" spans="1:3" ht="15">
      <c r="A62" s="1869" t="s">
        <v>1418</v>
      </c>
      <c r="B62" s="1870">
        <v>4</v>
      </c>
      <c r="C62" s="1871">
        <v>6302</v>
      </c>
    </row>
    <row r="63" spans="1:3" ht="15.75" thickBot="1">
      <c r="A63" s="1869" t="s">
        <v>1419</v>
      </c>
      <c r="B63" s="1870">
        <v>5</v>
      </c>
      <c r="C63" s="1871"/>
    </row>
    <row r="64" spans="1:3" ht="15.75" thickBot="1">
      <c r="A64" s="1881" t="s">
        <v>1420</v>
      </c>
      <c r="B64" s="1867">
        <v>6</v>
      </c>
      <c r="C64" s="1868">
        <f>SUM(C65:C67)</f>
        <v>3080</v>
      </c>
    </row>
    <row r="65" spans="1:3" ht="15">
      <c r="A65" s="1875" t="s">
        <v>1421</v>
      </c>
      <c r="B65" s="1876">
        <v>7</v>
      </c>
      <c r="C65" s="1877"/>
    </row>
    <row r="66" spans="1:3" ht="15">
      <c r="A66" s="1878" t="s">
        <v>1422</v>
      </c>
      <c r="B66" s="1879">
        <v>8</v>
      </c>
      <c r="C66" s="1880">
        <v>3080</v>
      </c>
    </row>
    <row r="67" spans="1:3" ht="15.75" thickBot="1">
      <c r="A67" s="1878" t="s">
        <v>1423</v>
      </c>
      <c r="B67" s="1879">
        <v>9</v>
      </c>
      <c r="C67" s="1880"/>
    </row>
    <row r="68" spans="1:3" s="1892" customFormat="1" ht="30" customHeight="1" thickBot="1">
      <c r="A68" s="1885" t="s">
        <v>1424</v>
      </c>
      <c r="B68" s="1886">
        <v>10</v>
      </c>
      <c r="C68" s="1891">
        <f>SUM(C59:C59,C64)</f>
        <v>6134314</v>
      </c>
    </row>
    <row r="69" ht="15" customHeight="1">
      <c r="B69" s="1888"/>
    </row>
    <row r="70" ht="15" customHeight="1">
      <c r="B70" s="1888"/>
    </row>
    <row r="71" spans="1:3" ht="15">
      <c r="A71" s="1792"/>
      <c r="B71" s="1794"/>
      <c r="C71" s="1890" t="s">
        <v>0</v>
      </c>
    </row>
    <row r="72" spans="1:3" ht="15.75" thickBot="1">
      <c r="A72" s="1793" t="s">
        <v>1</v>
      </c>
      <c r="B72" s="1797" t="s">
        <v>3</v>
      </c>
      <c r="C72" s="1798" t="s">
        <v>2</v>
      </c>
    </row>
    <row r="73" spans="1:3" ht="24.75" customHeight="1">
      <c r="A73" s="2360" t="s">
        <v>6</v>
      </c>
      <c r="B73" s="2343" t="s">
        <v>1387</v>
      </c>
      <c r="C73" s="2355" t="s">
        <v>1400</v>
      </c>
    </row>
    <row r="74" spans="1:3" ht="17.25" customHeight="1" thickBot="1">
      <c r="A74" s="2344" t="s">
        <v>1425</v>
      </c>
      <c r="B74" s="2344"/>
      <c r="C74" s="2356"/>
    </row>
    <row r="75" spans="1:3" ht="15" customHeight="1">
      <c r="A75" s="2352" t="s">
        <v>1413</v>
      </c>
      <c r="B75" s="2353"/>
      <c r="C75" s="2354"/>
    </row>
    <row r="76" spans="1:3" ht="15" customHeight="1" thickBot="1">
      <c r="A76" s="2349" t="s">
        <v>1426</v>
      </c>
      <c r="B76" s="2350"/>
      <c r="C76" s="2351"/>
    </row>
    <row r="77" spans="1:3" ht="15">
      <c r="A77" s="1893" t="s">
        <v>1427</v>
      </c>
      <c r="B77" s="1894">
        <v>1</v>
      </c>
      <c r="C77" s="1871">
        <v>156824</v>
      </c>
    </row>
    <row r="78" spans="1:3" ht="15">
      <c r="A78" s="1895" t="s">
        <v>1428</v>
      </c>
      <c r="B78" s="1896">
        <v>2</v>
      </c>
      <c r="C78" s="1880"/>
    </row>
    <row r="79" spans="1:3" ht="15">
      <c r="A79" s="1897" t="s">
        <v>1429</v>
      </c>
      <c r="B79" s="1896">
        <v>3</v>
      </c>
      <c r="C79" s="1880"/>
    </row>
    <row r="80" spans="1:3" ht="15">
      <c r="A80" s="1895" t="s">
        <v>1430</v>
      </c>
      <c r="B80" s="1896">
        <v>4</v>
      </c>
      <c r="C80" s="1880">
        <v>3616</v>
      </c>
    </row>
    <row r="81" spans="1:3" ht="15.75" thickBot="1">
      <c r="A81" s="1895" t="s">
        <v>1431</v>
      </c>
      <c r="B81" s="1896">
        <v>5</v>
      </c>
      <c r="C81" s="1880"/>
    </row>
    <row r="82" spans="1:3" ht="31.5" customHeight="1" thickBot="1">
      <c r="A82" s="1885" t="s">
        <v>1432</v>
      </c>
      <c r="B82" s="1886">
        <v>6</v>
      </c>
      <c r="C82" s="1887">
        <f>SUM(C77:C80)</f>
        <v>160440</v>
      </c>
    </row>
    <row r="83" ht="15">
      <c r="C83" s="1865"/>
    </row>
    <row r="84" ht="15">
      <c r="C84" s="1865"/>
    </row>
    <row r="85" spans="1:3" ht="15">
      <c r="A85" s="1792"/>
      <c r="B85" s="1794"/>
      <c r="C85" s="1890" t="s">
        <v>0</v>
      </c>
    </row>
    <row r="86" spans="1:3" ht="15.75" thickBot="1">
      <c r="A86" s="1793" t="s">
        <v>1</v>
      </c>
      <c r="B86" s="1797" t="s">
        <v>3</v>
      </c>
      <c r="C86" s="1798" t="s">
        <v>2</v>
      </c>
    </row>
    <row r="87" spans="1:3" ht="30" customHeight="1">
      <c r="A87" s="2360" t="s">
        <v>6</v>
      </c>
      <c r="B87" s="2343" t="s">
        <v>1387</v>
      </c>
      <c r="C87" s="2355" t="s">
        <v>1400</v>
      </c>
    </row>
    <row r="88" spans="1:3" ht="17.25" customHeight="1" thickBot="1">
      <c r="A88" s="2344" t="s">
        <v>1425</v>
      </c>
      <c r="B88" s="2344"/>
      <c r="C88" s="2356"/>
    </row>
    <row r="89" spans="1:3" ht="15.75" customHeight="1" thickBot="1">
      <c r="A89" s="2357" t="s">
        <v>1389</v>
      </c>
      <c r="B89" s="2358"/>
      <c r="C89" s="2359"/>
    </row>
    <row r="90" spans="1:3" ht="15.75" customHeight="1" thickBot="1">
      <c r="A90" s="2357" t="s">
        <v>1433</v>
      </c>
      <c r="B90" s="2358"/>
      <c r="C90" s="2359"/>
    </row>
    <row r="91" spans="1:3" s="1892" customFormat="1" ht="15.75" thickBot="1">
      <c r="A91" s="1866" t="s">
        <v>1434</v>
      </c>
      <c r="B91" s="1898">
        <v>1</v>
      </c>
      <c r="C91" s="1899">
        <f>SUM(C92:C93)</f>
        <v>0</v>
      </c>
    </row>
    <row r="92" spans="1:3" ht="15">
      <c r="A92" s="1869" t="s">
        <v>1435</v>
      </c>
      <c r="B92" s="1900">
        <v>2</v>
      </c>
      <c r="C92" s="1901"/>
    </row>
    <row r="93" spans="1:3" ht="15">
      <c r="A93" s="1902" t="s">
        <v>1436</v>
      </c>
      <c r="B93" s="1903">
        <v>3</v>
      </c>
      <c r="C93" s="1904"/>
    </row>
    <row r="94" spans="1:3" s="1892" customFormat="1" ht="15.75" thickBot="1">
      <c r="A94" s="1882" t="s">
        <v>1437</v>
      </c>
      <c r="B94" s="1905">
        <v>4</v>
      </c>
      <c r="C94" s="1906"/>
    </row>
    <row r="95" spans="1:3" s="1892" customFormat="1" ht="15.75" thickBot="1">
      <c r="A95" s="1866" t="s">
        <v>1438</v>
      </c>
      <c r="B95" s="1898">
        <v>5</v>
      </c>
      <c r="C95" s="1899">
        <f>SUM(C96:C100)</f>
        <v>25384136</v>
      </c>
    </row>
    <row r="96" spans="1:3" ht="15">
      <c r="A96" s="1869" t="s">
        <v>1439</v>
      </c>
      <c r="B96" s="1900">
        <v>6</v>
      </c>
      <c r="C96" s="1901"/>
    </row>
    <row r="97" spans="1:3" ht="15">
      <c r="A97" s="1869" t="s">
        <v>1440</v>
      </c>
      <c r="B97" s="1900">
        <v>7</v>
      </c>
      <c r="C97" s="1901"/>
    </row>
    <row r="98" spans="1:3" ht="15">
      <c r="A98" s="1869" t="s">
        <v>1441</v>
      </c>
      <c r="B98" s="1900">
        <v>8</v>
      </c>
      <c r="C98" s="1901"/>
    </row>
    <row r="99" spans="1:3" ht="15">
      <c r="A99" s="1869" t="s">
        <v>1442</v>
      </c>
      <c r="B99" s="1900">
        <v>9</v>
      </c>
      <c r="C99" s="1901">
        <v>25384136</v>
      </c>
    </row>
    <row r="100" spans="1:3" ht="15.75" thickBot="1">
      <c r="A100" s="1869" t="s">
        <v>1443</v>
      </c>
      <c r="B100" s="1900">
        <v>10</v>
      </c>
      <c r="C100" s="1901"/>
    </row>
    <row r="101" spans="1:3" s="1892" customFormat="1" ht="31.5" customHeight="1" thickBot="1">
      <c r="A101" s="1907" t="s">
        <v>1444</v>
      </c>
      <c r="B101" s="1886">
        <v>11</v>
      </c>
      <c r="C101" s="1908">
        <f>SUM(C91,C94:C95)</f>
        <v>25384136</v>
      </c>
    </row>
    <row r="103" ht="15">
      <c r="A103" s="1909"/>
    </row>
    <row r="104" ht="15">
      <c r="A104" s="1865" t="s">
        <v>250</v>
      </c>
    </row>
  </sheetData>
  <sheetProtection/>
  <mergeCells count="30">
    <mergeCell ref="A89:C89"/>
    <mergeCell ref="A90:C90"/>
    <mergeCell ref="A73:A74"/>
    <mergeCell ref="B73:B74"/>
    <mergeCell ref="C73:C74"/>
    <mergeCell ref="A75:C75"/>
    <mergeCell ref="A76:C76"/>
    <mergeCell ref="A87:A88"/>
    <mergeCell ref="B87:B88"/>
    <mergeCell ref="C87:C88"/>
    <mergeCell ref="A58:C58"/>
    <mergeCell ref="A10:C10"/>
    <mergeCell ref="A11:C11"/>
    <mergeCell ref="A34:A35"/>
    <mergeCell ref="B34:B35"/>
    <mergeCell ref="C34:C35"/>
    <mergeCell ref="A36:C36"/>
    <mergeCell ref="A37:C37"/>
    <mergeCell ref="A55:A56"/>
    <mergeCell ref="B55:B56"/>
    <mergeCell ref="C55:C56"/>
    <mergeCell ref="A57:C57"/>
    <mergeCell ref="A8:A9"/>
    <mergeCell ref="B8:B9"/>
    <mergeCell ref="C8:C9"/>
    <mergeCell ref="A1:B1"/>
    <mergeCell ref="A2:C2"/>
    <mergeCell ref="A3:C3"/>
    <mergeCell ref="A4:C4"/>
    <mergeCell ref="A5:C5"/>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91" r:id="rId1"/>
  <headerFooter alignWithMargins="0">
    <oddFooter>&amp;C- &amp;P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L75"/>
  <sheetViews>
    <sheetView view="pageBreakPreview" zoomScaleSheetLayoutView="100" zoomScalePageLayoutView="0" workbookViewId="0" topLeftCell="A1">
      <selection activeCell="A1" sqref="A1:B1"/>
    </sheetView>
  </sheetViews>
  <sheetFormatPr defaultColWidth="9.125" defaultRowHeight="12.75"/>
  <cols>
    <col min="1" max="1" width="7.75390625" style="1793" bestFit="1" customWidth="1"/>
    <col min="2" max="2" width="60.75390625" style="1792" customWidth="1"/>
    <col min="3" max="4" width="14.75390625" style="1791" customWidth="1"/>
    <col min="5" max="5" width="14.75390625" style="1862" customWidth="1"/>
    <col min="6" max="10" width="14.75390625" style="1791" hidden="1" customWidth="1"/>
    <col min="11" max="11" width="0" style="1792" hidden="1" customWidth="1"/>
    <col min="12" max="12" width="12.125" style="1792" bestFit="1" customWidth="1"/>
    <col min="13" max="16384" width="9.125" style="1792" customWidth="1"/>
  </cols>
  <sheetData>
    <row r="1" spans="1:5" ht="15" customHeight="1">
      <c r="A1" s="2260" t="s">
        <v>1479</v>
      </c>
      <c r="B1" s="2260"/>
      <c r="C1" s="1789"/>
      <c r="D1" s="1789"/>
      <c r="E1" s="1790"/>
    </row>
    <row r="2" spans="1:5" ht="19.5" customHeight="1">
      <c r="A2" s="2361" t="s">
        <v>1255</v>
      </c>
      <c r="B2" s="2361"/>
      <c r="C2" s="2361"/>
      <c r="D2" s="2361"/>
      <c r="E2" s="2361"/>
    </row>
    <row r="3" spans="1:5" ht="19.5" customHeight="1">
      <c r="A3" s="2347" t="s">
        <v>1256</v>
      </c>
      <c r="B3" s="2347"/>
      <c r="C3" s="2347"/>
      <c r="D3" s="2347"/>
      <c r="E3" s="2347"/>
    </row>
    <row r="4" spans="1:5" ht="19.5" customHeight="1">
      <c r="A4" s="2347" t="s">
        <v>565</v>
      </c>
      <c r="B4" s="2347"/>
      <c r="C4" s="2347"/>
      <c r="D4" s="2347"/>
      <c r="E4" s="2347"/>
    </row>
    <row r="5" spans="1:5" ht="15" customHeight="1">
      <c r="A5" s="2348" t="s">
        <v>1257</v>
      </c>
      <c r="B5" s="2348"/>
      <c r="C5" s="2348"/>
      <c r="D5" s="2348"/>
      <c r="E5" s="2348"/>
    </row>
    <row r="6" spans="2:5" ht="15" customHeight="1">
      <c r="B6" s="1794"/>
      <c r="C6" s="1795"/>
      <c r="D6" s="1795"/>
      <c r="E6" s="1796" t="s">
        <v>0</v>
      </c>
    </row>
    <row r="7" spans="1:10" s="1793" customFormat="1" ht="15" customHeight="1" thickBot="1">
      <c r="A7" s="1793" t="s">
        <v>1</v>
      </c>
      <c r="B7" s="1797" t="s">
        <v>3</v>
      </c>
      <c r="C7" s="1798" t="s">
        <v>2</v>
      </c>
      <c r="D7" s="1798" t="s">
        <v>4</v>
      </c>
      <c r="E7" s="1799" t="s">
        <v>5</v>
      </c>
      <c r="F7" s="1800"/>
      <c r="G7" s="1800"/>
      <c r="H7" s="1800"/>
      <c r="I7" s="1800"/>
      <c r="J7" s="1800"/>
    </row>
    <row r="8" spans="1:10" s="1806" customFormat="1" ht="30.75" thickBot="1">
      <c r="A8" s="1801" t="s">
        <v>1206</v>
      </c>
      <c r="B8" s="1802" t="s">
        <v>1258</v>
      </c>
      <c r="C8" s="1803" t="s">
        <v>1072</v>
      </c>
      <c r="D8" s="1803" t="s">
        <v>1074</v>
      </c>
      <c r="E8" s="1804" t="s">
        <v>1259</v>
      </c>
      <c r="F8" s="1805" t="s">
        <v>376</v>
      </c>
      <c r="G8" s="1805" t="s">
        <v>1260</v>
      </c>
      <c r="H8" s="1805" t="s">
        <v>1261</v>
      </c>
      <c r="I8" s="1805" t="s">
        <v>1262</v>
      </c>
      <c r="J8" s="1805" t="s">
        <v>127</v>
      </c>
    </row>
    <row r="9" spans="1:12" ht="15">
      <c r="A9" s="1807" t="s">
        <v>1263</v>
      </c>
      <c r="B9" s="1808" t="s">
        <v>1264</v>
      </c>
      <c r="C9" s="1809">
        <v>96188</v>
      </c>
      <c r="D9" s="1809">
        <v>81607</v>
      </c>
      <c r="E9" s="1810">
        <f>IF(C9=0,0,D9/C9%)</f>
        <v>84.84114442550006</v>
      </c>
      <c r="F9" s="1791">
        <v>51924</v>
      </c>
      <c r="G9" s="1791">
        <v>32018</v>
      </c>
      <c r="H9" s="1791">
        <v>16952</v>
      </c>
      <c r="I9" s="1791">
        <v>4</v>
      </c>
      <c r="J9" s="1791">
        <f>SUM(F9:I9)</f>
        <v>100898</v>
      </c>
      <c r="L9" s="1791">
        <f>+D9-'14.Mérl.össz.'!E11</f>
        <v>0</v>
      </c>
    </row>
    <row r="10" spans="1:12" s="1816" customFormat="1" ht="15">
      <c r="A10" s="1811" t="s">
        <v>1265</v>
      </c>
      <c r="B10" s="1812" t="s">
        <v>1266</v>
      </c>
      <c r="C10" s="1813">
        <f>SUM(C11,C19)</f>
        <v>61652389</v>
      </c>
      <c r="D10" s="1813">
        <f>SUM(D11,D19)</f>
        <v>63676886</v>
      </c>
      <c r="E10" s="1814">
        <f aca="true" t="shared" si="0" ref="E10:E73">IF(C10=0,0,D10/C10%)</f>
        <v>103.28372838885448</v>
      </c>
      <c r="F10" s="1815">
        <f>SUM(F11,F19)</f>
        <v>48240945</v>
      </c>
      <c r="G10" s="1815">
        <f>SUM(G11,G19)</f>
        <v>11568</v>
      </c>
      <c r="H10" s="1815">
        <f>SUM(H11,H19)</f>
        <v>2689780</v>
      </c>
      <c r="I10" s="1815">
        <f>SUM(I11,I19)</f>
        <v>342403</v>
      </c>
      <c r="J10" s="1815">
        <f>SUM(J11,J19)</f>
        <v>51284696</v>
      </c>
      <c r="L10" s="1815">
        <f>+D10-'14.Mérl.össz.'!E17</f>
        <v>0</v>
      </c>
    </row>
    <row r="11" spans="1:10" s="1816" customFormat="1" ht="15">
      <c r="A11" s="1811" t="s">
        <v>1267</v>
      </c>
      <c r="B11" s="1812" t="s">
        <v>1268</v>
      </c>
      <c r="C11" s="1813">
        <f>SUM(C12,C15:C16)</f>
        <v>50455964</v>
      </c>
      <c r="D11" s="1813">
        <f>SUM(D12,D15:D16)</f>
        <v>52171331</v>
      </c>
      <c r="E11" s="1814">
        <f t="shared" si="0"/>
        <v>103.39973090198019</v>
      </c>
      <c r="F11" s="1815">
        <f>SUM(F12,F16)</f>
        <v>44687705</v>
      </c>
      <c r="G11" s="1815">
        <f>SUM(G12,G16)</f>
        <v>0</v>
      </c>
      <c r="H11" s="1815">
        <f>SUM(H12,H16)</f>
        <v>2022733</v>
      </c>
      <c r="I11" s="1815">
        <f>SUM(I12,I16)</f>
        <v>310129</v>
      </c>
      <c r="J11" s="1815">
        <f>SUM(J12,J16)</f>
        <v>47020567</v>
      </c>
    </row>
    <row r="12" spans="1:10" s="1816" customFormat="1" ht="15">
      <c r="A12" s="1811" t="s">
        <v>1269</v>
      </c>
      <c r="B12" s="1812" t="s">
        <v>1270</v>
      </c>
      <c r="C12" s="1813">
        <f>SUM(C13:C14)</f>
        <v>37649110</v>
      </c>
      <c r="D12" s="1813">
        <f>SUM(D13:D14)</f>
        <v>38241558</v>
      </c>
      <c r="E12" s="1814">
        <f t="shared" si="0"/>
        <v>101.57360426315523</v>
      </c>
      <c r="F12" s="1815">
        <f>SUM(F13:F14)</f>
        <v>35506860</v>
      </c>
      <c r="G12" s="1815">
        <f>SUM(G13:G14)</f>
        <v>0</v>
      </c>
      <c r="H12" s="1815">
        <f>SUM(H13:H14)</f>
        <v>461</v>
      </c>
      <c r="I12" s="1815">
        <f>SUM(I13:I14)</f>
        <v>0</v>
      </c>
      <c r="J12" s="1815">
        <f>SUM(J13:J14)</f>
        <v>35507321</v>
      </c>
    </row>
    <row r="13" spans="1:12" ht="15">
      <c r="A13" s="1817" t="s">
        <v>1271</v>
      </c>
      <c r="B13" s="1818" t="s">
        <v>1272</v>
      </c>
      <c r="C13" s="1819">
        <v>35791513</v>
      </c>
      <c r="D13" s="1819">
        <v>37415564</v>
      </c>
      <c r="E13" s="1820">
        <f t="shared" si="0"/>
        <v>104.53753100630308</v>
      </c>
      <c r="F13" s="1791">
        <v>32107734</v>
      </c>
      <c r="H13" s="1791">
        <v>461</v>
      </c>
      <c r="J13" s="1791">
        <f>SUM(F13:I13)</f>
        <v>32108195</v>
      </c>
      <c r="L13" s="1791">
        <f>+D13+D17+D21+D22-'14.Mérl.össz.'!E12</f>
        <v>0</v>
      </c>
    </row>
    <row r="14" spans="1:10" ht="15">
      <c r="A14" s="1817" t="s">
        <v>1273</v>
      </c>
      <c r="B14" s="1821" t="s">
        <v>1274</v>
      </c>
      <c r="C14" s="1819">
        <v>1857597</v>
      </c>
      <c r="D14" s="1819">
        <v>825994</v>
      </c>
      <c r="E14" s="1820">
        <f t="shared" si="0"/>
        <v>44.46572641967014</v>
      </c>
      <c r="F14" s="1791">
        <v>3399126</v>
      </c>
      <c r="H14" s="1791">
        <v>0</v>
      </c>
      <c r="J14" s="1791">
        <f>SUM(F14:I14)</f>
        <v>3399126</v>
      </c>
    </row>
    <row r="15" spans="1:10" s="1816" customFormat="1" ht="15">
      <c r="A15" s="1822" t="s">
        <v>1275</v>
      </c>
      <c r="B15" s="1823" t="s">
        <v>1276</v>
      </c>
      <c r="C15" s="1813"/>
      <c r="D15" s="1813"/>
      <c r="E15" s="1814">
        <f t="shared" si="0"/>
        <v>0</v>
      </c>
      <c r="F15" s="1815">
        <f aca="true" t="shared" si="1" ref="F15:J16">SUM(F16:F17)</f>
        <v>18184539</v>
      </c>
      <c r="G15" s="1815">
        <f t="shared" si="1"/>
        <v>0</v>
      </c>
      <c r="H15" s="1815">
        <f t="shared" si="1"/>
        <v>4044544</v>
      </c>
      <c r="I15" s="1815">
        <f t="shared" si="1"/>
        <v>620258</v>
      </c>
      <c r="J15" s="1815">
        <f t="shared" si="1"/>
        <v>22849341</v>
      </c>
    </row>
    <row r="16" spans="1:10" s="1816" customFormat="1" ht="15">
      <c r="A16" s="1811" t="s">
        <v>1277</v>
      </c>
      <c r="B16" s="1823" t="s">
        <v>1278</v>
      </c>
      <c r="C16" s="1813">
        <f>SUM(C17:C18)</f>
        <v>12806854</v>
      </c>
      <c r="D16" s="1813">
        <f>SUM(D17:D18)</f>
        <v>13929773</v>
      </c>
      <c r="E16" s="1814">
        <f t="shared" si="0"/>
        <v>108.76810963879186</v>
      </c>
      <c r="F16" s="1815">
        <f t="shared" si="1"/>
        <v>9180845</v>
      </c>
      <c r="G16" s="1815">
        <f t="shared" si="1"/>
        <v>0</v>
      </c>
      <c r="H16" s="1815">
        <f t="shared" si="1"/>
        <v>2022272</v>
      </c>
      <c r="I16" s="1815">
        <f t="shared" si="1"/>
        <v>310129</v>
      </c>
      <c r="J16" s="1815">
        <f t="shared" si="1"/>
        <v>11513246</v>
      </c>
    </row>
    <row r="17" spans="1:10" ht="15">
      <c r="A17" s="1817" t="s">
        <v>1279</v>
      </c>
      <c r="B17" s="1818" t="s">
        <v>1272</v>
      </c>
      <c r="C17" s="1819">
        <v>12159526</v>
      </c>
      <c r="D17" s="1819">
        <v>12994983</v>
      </c>
      <c r="E17" s="1820">
        <f t="shared" si="0"/>
        <v>106.87080236515799</v>
      </c>
      <c r="F17" s="1791">
        <v>9003694</v>
      </c>
      <c r="H17" s="1791">
        <v>2022272</v>
      </c>
      <c r="I17" s="1791">
        <v>310129</v>
      </c>
      <c r="J17" s="1791">
        <f>SUM(F17:I17)</f>
        <v>11336095</v>
      </c>
    </row>
    <row r="18" spans="1:10" ht="15">
      <c r="A18" s="1817" t="s">
        <v>1280</v>
      </c>
      <c r="B18" s="1821" t="s">
        <v>1274</v>
      </c>
      <c r="C18" s="1819">
        <v>647328</v>
      </c>
      <c r="D18" s="1819">
        <v>934790</v>
      </c>
      <c r="E18" s="1820">
        <f t="shared" si="0"/>
        <v>144.40747194621582</v>
      </c>
      <c r="F18" s="1791">
        <v>177151</v>
      </c>
      <c r="H18" s="1791">
        <v>0</v>
      </c>
      <c r="J18" s="1791">
        <f>SUM(F18:I18)</f>
        <v>177151</v>
      </c>
    </row>
    <row r="19" spans="1:10" s="1816" customFormat="1" ht="15">
      <c r="A19" s="1811" t="s">
        <v>1281</v>
      </c>
      <c r="B19" s="1812" t="s">
        <v>1282</v>
      </c>
      <c r="C19" s="1813">
        <f>SUM(C20,C24)</f>
        <v>11196425</v>
      </c>
      <c r="D19" s="1813">
        <f>SUM(D20,D24)</f>
        <v>11505555</v>
      </c>
      <c r="E19" s="1814">
        <f t="shared" si="0"/>
        <v>102.76097057766206</v>
      </c>
      <c r="F19" s="1815">
        <f>SUM(F20,F24)</f>
        <v>3553240</v>
      </c>
      <c r="G19" s="1815">
        <f>SUM(G20,G24)</f>
        <v>11568</v>
      </c>
      <c r="H19" s="1815">
        <f>SUM(H20,H24)</f>
        <v>667047</v>
      </c>
      <c r="I19" s="1815">
        <f>SUM(I20,I24)</f>
        <v>32274</v>
      </c>
      <c r="J19" s="1815">
        <f>SUM(J20,J24)</f>
        <v>4264129</v>
      </c>
    </row>
    <row r="20" spans="1:10" s="1816" customFormat="1" ht="15">
      <c r="A20" s="1811" t="s">
        <v>1283</v>
      </c>
      <c r="B20" s="1812" t="s">
        <v>1284</v>
      </c>
      <c r="C20" s="1813">
        <f>SUM(C21:C23)</f>
        <v>10800768</v>
      </c>
      <c r="D20" s="1813">
        <f>SUM(D21:D23)</f>
        <v>11135443</v>
      </c>
      <c r="E20" s="1814">
        <f t="shared" si="0"/>
        <v>103.09862224612176</v>
      </c>
      <c r="F20" s="1815">
        <f>SUM(F21:F23)</f>
        <v>3232022</v>
      </c>
      <c r="G20" s="1815">
        <f>SUM(G21:G23)</f>
        <v>0</v>
      </c>
      <c r="H20" s="1815">
        <f>SUM(H21:H23)</f>
        <v>583523</v>
      </c>
      <c r="I20" s="1815">
        <f>SUM(I21:I23)</f>
        <v>0</v>
      </c>
      <c r="J20" s="1815">
        <f>SUM(J21:J23)</f>
        <v>3815545</v>
      </c>
    </row>
    <row r="21" spans="1:10" ht="15">
      <c r="A21" s="1817" t="s">
        <v>1285</v>
      </c>
      <c r="B21" s="1818" t="s">
        <v>1286</v>
      </c>
      <c r="C21" s="1819">
        <v>4788314</v>
      </c>
      <c r="D21" s="1819">
        <v>4076316</v>
      </c>
      <c r="E21" s="1820">
        <f t="shared" si="0"/>
        <v>85.13050731426553</v>
      </c>
      <c r="F21" s="1791">
        <v>2828830</v>
      </c>
      <c r="H21" s="1791">
        <v>59450</v>
      </c>
      <c r="J21" s="1791">
        <f>SUM(F21:I21)</f>
        <v>2888280</v>
      </c>
    </row>
    <row r="22" spans="1:10" ht="15">
      <c r="A22" s="1817" t="s">
        <v>1287</v>
      </c>
      <c r="B22" s="1821" t="s">
        <v>1288</v>
      </c>
      <c r="C22" s="1819">
        <v>3537584</v>
      </c>
      <c r="D22" s="1819">
        <v>3817792</v>
      </c>
      <c r="E22" s="1820">
        <f t="shared" si="0"/>
        <v>107.92088611888794</v>
      </c>
      <c r="F22" s="1791">
        <v>397922</v>
      </c>
      <c r="H22" s="1791">
        <v>524073</v>
      </c>
      <c r="J22" s="1791">
        <f>SUM(F22:I22)</f>
        <v>921995</v>
      </c>
    </row>
    <row r="23" spans="1:10" ht="15">
      <c r="A23" s="1817" t="s">
        <v>1289</v>
      </c>
      <c r="B23" s="1821" t="s">
        <v>1290</v>
      </c>
      <c r="C23" s="1819">
        <v>2474870</v>
      </c>
      <c r="D23" s="1819">
        <v>3241335</v>
      </c>
      <c r="E23" s="1820">
        <f t="shared" si="0"/>
        <v>130.9699095306016</v>
      </c>
      <c r="F23" s="1791">
        <v>5270</v>
      </c>
      <c r="H23" s="1791">
        <v>0</v>
      </c>
      <c r="J23" s="1791">
        <f>SUM(F23:I23)</f>
        <v>5270</v>
      </c>
    </row>
    <row r="24" spans="1:10" s="1816" customFormat="1" ht="15">
      <c r="A24" s="1811" t="s">
        <v>1291</v>
      </c>
      <c r="B24" s="1812" t="s">
        <v>1292</v>
      </c>
      <c r="C24" s="1813">
        <f>SUM(C25:C28)</f>
        <v>395657</v>
      </c>
      <c r="D24" s="1813">
        <f>SUM(D25:D28)</f>
        <v>370112</v>
      </c>
      <c r="E24" s="1814">
        <f t="shared" si="0"/>
        <v>93.54365018184943</v>
      </c>
      <c r="F24" s="1815">
        <f>SUM(F25:F28)</f>
        <v>321218</v>
      </c>
      <c r="G24" s="1815">
        <f>SUM(G25:G28)</f>
        <v>11568</v>
      </c>
      <c r="H24" s="1815">
        <f>SUM(H25:H28)</f>
        <v>83524</v>
      </c>
      <c r="I24" s="1815">
        <f>SUM(I25:I28)</f>
        <v>32274</v>
      </c>
      <c r="J24" s="1815">
        <f>SUM(J25:J28)</f>
        <v>448584</v>
      </c>
    </row>
    <row r="25" spans="1:12" ht="15">
      <c r="A25" s="1817" t="s">
        <v>1293</v>
      </c>
      <c r="B25" s="1818" t="s">
        <v>1294</v>
      </c>
      <c r="C25" s="1819">
        <f>379458+1</f>
        <v>379459</v>
      </c>
      <c r="D25" s="1819">
        <v>359794</v>
      </c>
      <c r="E25" s="1820">
        <f t="shared" si="0"/>
        <v>94.817621930169</v>
      </c>
      <c r="F25" s="1791">
        <v>266196</v>
      </c>
      <c r="G25" s="1791">
        <v>11568</v>
      </c>
      <c r="H25" s="1791">
        <v>83524</v>
      </c>
      <c r="I25" s="1791">
        <v>32274</v>
      </c>
      <c r="J25" s="1791">
        <f>SUM(F25:I25)</f>
        <v>393562</v>
      </c>
      <c r="L25" s="1791">
        <f>+D25-'14.Mérl.össz.'!E13</f>
        <v>0</v>
      </c>
    </row>
    <row r="26" spans="1:10" ht="15">
      <c r="A26" s="1817" t="s">
        <v>1295</v>
      </c>
      <c r="B26" s="1818" t="s">
        <v>1296</v>
      </c>
      <c r="C26" s="1819"/>
      <c r="D26" s="1819"/>
      <c r="E26" s="1820">
        <f t="shared" si="0"/>
        <v>0</v>
      </c>
      <c r="H26" s="1791">
        <v>0</v>
      </c>
      <c r="J26" s="1791">
        <f>SUM(F26:I26)</f>
        <v>0</v>
      </c>
    </row>
    <row r="27" spans="1:12" ht="15">
      <c r="A27" s="1817" t="s">
        <v>1297</v>
      </c>
      <c r="B27" s="1821" t="s">
        <v>1298</v>
      </c>
      <c r="C27" s="1819">
        <v>16198</v>
      </c>
      <c r="D27" s="1819">
        <v>10318</v>
      </c>
      <c r="E27" s="1820">
        <f t="shared" si="0"/>
        <v>63.699222126188424</v>
      </c>
      <c r="H27" s="1791">
        <v>0</v>
      </c>
      <c r="J27" s="1791">
        <f>SUM(F27:I27)</f>
        <v>0</v>
      </c>
      <c r="L27" s="1791">
        <f>+D27+D23+D18+D14-'14.Mérl.össz.'!E15</f>
        <v>0</v>
      </c>
    </row>
    <row r="28" spans="1:10" ht="15">
      <c r="A28" s="1817" t="s">
        <v>1299</v>
      </c>
      <c r="B28" s="1818" t="s">
        <v>1300</v>
      </c>
      <c r="C28" s="1819"/>
      <c r="D28" s="1819"/>
      <c r="E28" s="1820">
        <f t="shared" si="0"/>
        <v>0</v>
      </c>
      <c r="F28" s="1791">
        <v>55022</v>
      </c>
      <c r="H28" s="1791">
        <v>0</v>
      </c>
      <c r="J28" s="1791">
        <f>SUM(F28:I28)</f>
        <v>55022</v>
      </c>
    </row>
    <row r="29" spans="1:12" s="1816" customFormat="1" ht="15">
      <c r="A29" s="1811" t="s">
        <v>1301</v>
      </c>
      <c r="B29" s="1812" t="s">
        <v>1302</v>
      </c>
      <c r="C29" s="1813">
        <f>SUM(C30,C35)</f>
        <v>5295465</v>
      </c>
      <c r="D29" s="1813">
        <f>SUM(D30,D35)</f>
        <v>6427085</v>
      </c>
      <c r="E29" s="1814">
        <f t="shared" si="0"/>
        <v>121.36960587974805</v>
      </c>
      <c r="F29" s="1815">
        <f>SUM(F30,F35)</f>
        <v>6828722</v>
      </c>
      <c r="G29" s="1815">
        <f>SUM(G30,G35)</f>
        <v>0</v>
      </c>
      <c r="H29" s="1815">
        <f>SUM(H30,H35)</f>
        <v>0</v>
      </c>
      <c r="I29" s="1815">
        <f>SUM(I30,I35)</f>
        <v>0</v>
      </c>
      <c r="J29" s="1815">
        <f>SUM(J30,J35)</f>
        <v>6828722</v>
      </c>
      <c r="L29" s="1815">
        <f>+D29-'14.Mérl.össz.'!E21</f>
        <v>0</v>
      </c>
    </row>
    <row r="30" spans="1:10" s="1816" customFormat="1" ht="15">
      <c r="A30" s="1811" t="s">
        <v>1303</v>
      </c>
      <c r="B30" s="1812" t="s">
        <v>1304</v>
      </c>
      <c r="C30" s="1813">
        <f>SUM(C31:C32)</f>
        <v>5295465</v>
      </c>
      <c r="D30" s="1813">
        <f>SUM(D31:D32)</f>
        <v>6427085</v>
      </c>
      <c r="E30" s="1814">
        <f t="shared" si="0"/>
        <v>121.36960587974805</v>
      </c>
      <c r="F30" s="1815">
        <f>SUM(F31:F32)</f>
        <v>6828722</v>
      </c>
      <c r="G30" s="1815">
        <f>SUM(G31:G32)</f>
        <v>0</v>
      </c>
      <c r="H30" s="1815">
        <f>SUM(H31:H32)</f>
        <v>0</v>
      </c>
      <c r="I30" s="1815">
        <f>SUM(I31:I32)</f>
        <v>0</v>
      </c>
      <c r="J30" s="1815">
        <f>SUM(J31:J32)</f>
        <v>6828722</v>
      </c>
    </row>
    <row r="31" spans="1:10" s="1816" customFormat="1" ht="15">
      <c r="A31" s="1811" t="s">
        <v>1305</v>
      </c>
      <c r="B31" s="1812" t="s">
        <v>1306</v>
      </c>
      <c r="C31" s="1813"/>
      <c r="D31" s="1813"/>
      <c r="E31" s="1820">
        <f t="shared" si="0"/>
        <v>0</v>
      </c>
      <c r="F31" s="1815"/>
      <c r="G31" s="1815"/>
      <c r="H31" s="1815">
        <v>0</v>
      </c>
      <c r="I31" s="1815"/>
      <c r="J31" s="1815">
        <f>SUM(F31:I31)</f>
        <v>0</v>
      </c>
    </row>
    <row r="32" spans="1:10" s="1816" customFormat="1" ht="15">
      <c r="A32" s="1811" t="s">
        <v>1307</v>
      </c>
      <c r="B32" s="1812" t="s">
        <v>1308</v>
      </c>
      <c r="C32" s="1813">
        <f>SUM(C33:C34)</f>
        <v>5295465</v>
      </c>
      <c r="D32" s="1813">
        <f>SUM(D33:D34)</f>
        <v>6427085</v>
      </c>
      <c r="E32" s="1814">
        <f t="shared" si="0"/>
        <v>121.36960587974805</v>
      </c>
      <c r="F32" s="1815">
        <f>SUM(F33)</f>
        <v>6828722</v>
      </c>
      <c r="G32" s="1815">
        <f>SUM(G33)</f>
        <v>0</v>
      </c>
      <c r="H32" s="1815">
        <f>SUM(H33)</f>
        <v>0</v>
      </c>
      <c r="I32" s="1815">
        <f>SUM(I33)</f>
        <v>0</v>
      </c>
      <c r="J32" s="1815">
        <f>SUM(J33)</f>
        <v>6828722</v>
      </c>
    </row>
    <row r="33" spans="1:10" ht="15">
      <c r="A33" s="1817" t="s">
        <v>1309</v>
      </c>
      <c r="B33" s="1818" t="s">
        <v>1310</v>
      </c>
      <c r="C33" s="1819">
        <v>5295465</v>
      </c>
      <c r="D33" s="1819">
        <v>6427085</v>
      </c>
      <c r="E33" s="1820">
        <f t="shared" si="0"/>
        <v>121.36960587974805</v>
      </c>
      <c r="F33" s="1791">
        <v>6828722</v>
      </c>
      <c r="H33" s="1791">
        <v>0</v>
      </c>
      <c r="J33" s="1791">
        <f>SUM(F33:I33)</f>
        <v>6828722</v>
      </c>
    </row>
    <row r="34" spans="1:5" ht="15">
      <c r="A34" s="1817" t="s">
        <v>1311</v>
      </c>
      <c r="B34" s="1818" t="s">
        <v>1312</v>
      </c>
      <c r="C34" s="1819"/>
      <c r="D34" s="1819"/>
      <c r="E34" s="1820">
        <f t="shared" si="0"/>
        <v>0</v>
      </c>
    </row>
    <row r="35" spans="1:10" s="1816" customFormat="1" ht="15">
      <c r="A35" s="1811" t="s">
        <v>1313</v>
      </c>
      <c r="B35" s="1812" t="s">
        <v>1314</v>
      </c>
      <c r="C35" s="1813">
        <f>SUM(C36:C37)</f>
        <v>0</v>
      </c>
      <c r="D35" s="1813">
        <f>SUM(D36:D37)</f>
        <v>0</v>
      </c>
      <c r="E35" s="1814">
        <f t="shared" si="0"/>
        <v>0</v>
      </c>
      <c r="F35" s="1815">
        <f>SUM(F36:F37)</f>
        <v>0</v>
      </c>
      <c r="G35" s="1815">
        <f>SUM(G36:G37)</f>
        <v>0</v>
      </c>
      <c r="H35" s="1815">
        <f>SUM(H36:H37)</f>
        <v>0</v>
      </c>
      <c r="I35" s="1815">
        <f>SUM(I36:I37)</f>
        <v>0</v>
      </c>
      <c r="J35" s="1815">
        <f>SUM(J36:J37)</f>
        <v>0</v>
      </c>
    </row>
    <row r="36" spans="1:10" ht="15">
      <c r="A36" s="1817" t="s">
        <v>1315</v>
      </c>
      <c r="B36" s="1818" t="s">
        <v>1316</v>
      </c>
      <c r="C36" s="1819"/>
      <c r="D36" s="1819"/>
      <c r="E36" s="1820">
        <f t="shared" si="0"/>
        <v>0</v>
      </c>
      <c r="H36" s="1791">
        <v>0</v>
      </c>
      <c r="J36" s="1791">
        <f>SUM(F36:I36)</f>
        <v>0</v>
      </c>
    </row>
    <row r="37" spans="1:10" ht="15">
      <c r="A37" s="1817" t="s">
        <v>1317</v>
      </c>
      <c r="B37" s="1818" t="s">
        <v>1312</v>
      </c>
      <c r="C37" s="1819"/>
      <c r="D37" s="1819"/>
      <c r="E37" s="1820">
        <f t="shared" si="0"/>
        <v>0</v>
      </c>
      <c r="H37" s="1791">
        <v>0</v>
      </c>
      <c r="J37" s="1791">
        <f>SUM(F37:I37)</f>
        <v>0</v>
      </c>
    </row>
    <row r="38" spans="1:12" s="1816" customFormat="1" ht="15">
      <c r="A38" s="1811" t="s">
        <v>1318</v>
      </c>
      <c r="B38" s="1823" t="s">
        <v>1319</v>
      </c>
      <c r="C38" s="1813">
        <v>11681972</v>
      </c>
      <c r="D38" s="1813">
        <v>11914898</v>
      </c>
      <c r="E38" s="1814">
        <f t="shared" si="0"/>
        <v>101.99389281193278</v>
      </c>
      <c r="F38" s="1815">
        <v>6602961</v>
      </c>
      <c r="G38" s="1815">
        <v>265</v>
      </c>
      <c r="H38" s="1815">
        <v>0</v>
      </c>
      <c r="I38" s="1815"/>
      <c r="J38" s="1815">
        <f>SUM(F38:I38)</f>
        <v>6603226</v>
      </c>
      <c r="L38" s="1815">
        <f>+D38-'14.Mérl.össz.'!E24</f>
        <v>0</v>
      </c>
    </row>
    <row r="39" spans="1:12" s="1829" customFormat="1" ht="30">
      <c r="A39" s="1824" t="s">
        <v>1320</v>
      </c>
      <c r="B39" s="1825" t="s">
        <v>1321</v>
      </c>
      <c r="C39" s="1826">
        <f>SUM(C9:C10,C29,C38)</f>
        <v>78726014</v>
      </c>
      <c r="D39" s="1826">
        <f>SUM(D9:D10,D29,D38)</f>
        <v>82100476</v>
      </c>
      <c r="E39" s="1827">
        <f t="shared" si="0"/>
        <v>104.28633666122103</v>
      </c>
      <c r="F39" s="1828">
        <f>SUM(F9:F10,F29,F38)</f>
        <v>61724552</v>
      </c>
      <c r="G39" s="1828">
        <f>SUM(G9:G10,G29,G38)</f>
        <v>43851</v>
      </c>
      <c r="H39" s="1828">
        <f>SUM(H9:H10,H29,H38)</f>
        <v>2706732</v>
      </c>
      <c r="I39" s="1828">
        <f>SUM(I9:I10,I29,I38)</f>
        <v>342407</v>
      </c>
      <c r="J39" s="1828">
        <f>SUM(J9:J10,J29,J38)</f>
        <v>64817542</v>
      </c>
      <c r="L39" s="1828">
        <f>+D39-'14.Mérl.össz.'!E25</f>
        <v>0</v>
      </c>
    </row>
    <row r="40" spans="1:10" ht="15">
      <c r="A40" s="1817" t="s">
        <v>1322</v>
      </c>
      <c r="B40" s="1830" t="s">
        <v>1323</v>
      </c>
      <c r="C40" s="1819">
        <v>97465</v>
      </c>
      <c r="D40" s="1819">
        <v>94524</v>
      </c>
      <c r="E40" s="1820">
        <f t="shared" si="0"/>
        <v>96.98250654080952</v>
      </c>
      <c r="G40" s="1791">
        <v>541</v>
      </c>
      <c r="H40" s="1791">
        <v>28125</v>
      </c>
      <c r="I40" s="1791">
        <v>43770</v>
      </c>
      <c r="J40" s="1791">
        <f>SUM(F40:I40)</f>
        <v>72436</v>
      </c>
    </row>
    <row r="41" spans="1:10" ht="15">
      <c r="A41" s="1817" t="s">
        <v>1324</v>
      </c>
      <c r="B41" s="1830" t="s">
        <v>1325</v>
      </c>
      <c r="C41" s="1819"/>
      <c r="D41" s="1819"/>
      <c r="E41" s="1820">
        <f t="shared" si="0"/>
        <v>0</v>
      </c>
      <c r="H41" s="1791">
        <v>0</v>
      </c>
      <c r="J41" s="1791">
        <f>SUM(F41:I41)</f>
        <v>0</v>
      </c>
    </row>
    <row r="42" spans="1:12" s="1794" customFormat="1" ht="22.5" customHeight="1">
      <c r="A42" s="1824" t="s">
        <v>1326</v>
      </c>
      <c r="B42" s="1825" t="s">
        <v>1327</v>
      </c>
      <c r="C42" s="1826">
        <f>SUM(C40:C41)</f>
        <v>97465</v>
      </c>
      <c r="D42" s="1826">
        <f>SUM(D40:D41)</f>
        <v>94524</v>
      </c>
      <c r="E42" s="1827">
        <f t="shared" si="0"/>
        <v>96.98250654080952</v>
      </c>
      <c r="F42" s="1795">
        <f>SUM(F12:F12,F32,F41)</f>
        <v>42335582</v>
      </c>
      <c r="G42" s="1795">
        <f>SUM(G12:G12,G32,G41)</f>
        <v>0</v>
      </c>
      <c r="H42" s="1795">
        <f>SUM(H12:H12,H32,H41)</f>
        <v>461</v>
      </c>
      <c r="I42" s="1795">
        <f>SUM(I12:I12,I32,I41)</f>
        <v>0</v>
      </c>
      <c r="J42" s="1795">
        <f>SUM(J12:J12,J32,J41)</f>
        <v>42336043</v>
      </c>
      <c r="L42" s="1795">
        <f>+D42-'14.Mérl.össz.'!E35</f>
        <v>0</v>
      </c>
    </row>
    <row r="43" spans="1:5" ht="15">
      <c r="A43" s="1817" t="s">
        <v>1328</v>
      </c>
      <c r="B43" s="1831" t="s">
        <v>1329</v>
      </c>
      <c r="C43" s="1819"/>
      <c r="D43" s="1819"/>
      <c r="E43" s="1820">
        <f t="shared" si="0"/>
        <v>0</v>
      </c>
    </row>
    <row r="44" spans="1:12" ht="15">
      <c r="A44" s="1817" t="s">
        <v>1330</v>
      </c>
      <c r="B44" s="1831" t="s">
        <v>1331</v>
      </c>
      <c r="C44" s="1819">
        <v>2215</v>
      </c>
      <c r="D44" s="1819">
        <v>2355</v>
      </c>
      <c r="E44" s="1820">
        <f t="shared" si="0"/>
        <v>106.32054176072235</v>
      </c>
      <c r="L44" s="1791">
        <f>+D44-'14.Mérl.össz.'!E37</f>
        <v>0</v>
      </c>
    </row>
    <row r="45" spans="1:12" ht="15">
      <c r="A45" s="1817" t="s">
        <v>1332</v>
      </c>
      <c r="B45" s="1831" t="s">
        <v>1333</v>
      </c>
      <c r="C45" s="1819">
        <f>14067492+1</f>
        <v>14067493</v>
      </c>
      <c r="D45" s="1819">
        <v>18937051</v>
      </c>
      <c r="E45" s="1820">
        <f t="shared" si="0"/>
        <v>134.61567743449385</v>
      </c>
      <c r="L45" s="1791">
        <f>+D45-'14.Mérl.össz.'!E38</f>
        <v>0</v>
      </c>
    </row>
    <row r="46" spans="1:12" ht="15">
      <c r="A46" s="1817" t="s">
        <v>1334</v>
      </c>
      <c r="B46" s="1830" t="s">
        <v>1335</v>
      </c>
      <c r="C46" s="1819">
        <v>26766</v>
      </c>
      <c r="D46" s="1819">
        <v>37837</v>
      </c>
      <c r="E46" s="1820">
        <f t="shared" si="0"/>
        <v>141.36217589479187</v>
      </c>
      <c r="F46" s="1791">
        <v>740908</v>
      </c>
      <c r="G46" s="1791">
        <v>136067</v>
      </c>
      <c r="H46" s="1791">
        <v>115557</v>
      </c>
      <c r="I46" s="1791">
        <v>1303</v>
      </c>
      <c r="J46" s="1791">
        <f>SUM(F46:I46)</f>
        <v>993835</v>
      </c>
      <c r="L46" s="1791">
        <f>+D46-'14.Mérl.össz.'!E39</f>
        <v>0</v>
      </c>
    </row>
    <row r="47" spans="1:12" s="1829" customFormat="1" ht="22.5" customHeight="1">
      <c r="A47" s="1824" t="s">
        <v>1336</v>
      </c>
      <c r="B47" s="1825" t="s">
        <v>1337</v>
      </c>
      <c r="C47" s="1826">
        <f>SUM(C43:C46)</f>
        <v>14096474</v>
      </c>
      <c r="D47" s="1826">
        <f>SUM(D43:D46)</f>
        <v>18977243</v>
      </c>
      <c r="E47" s="1827">
        <f t="shared" si="0"/>
        <v>134.62404144469036</v>
      </c>
      <c r="F47" s="1828" t="e">
        <f>SUM(#REF!,F35,F46)</f>
        <v>#REF!</v>
      </c>
      <c r="G47" s="1828" t="e">
        <f>SUM(#REF!,G35,G46)</f>
        <v>#REF!</v>
      </c>
      <c r="H47" s="1828" t="e">
        <f>SUM(#REF!,H35,H46)</f>
        <v>#REF!</v>
      </c>
      <c r="I47" s="1828" t="e">
        <f>SUM(#REF!,I35,I46)</f>
        <v>#REF!</v>
      </c>
      <c r="J47" s="1828" t="e">
        <f>SUM(#REF!,J35,J46)</f>
        <v>#REF!</v>
      </c>
      <c r="L47" s="1828">
        <f>+D47-'14.Mérl.össz.'!E40</f>
        <v>0</v>
      </c>
    </row>
    <row r="48" spans="1:12" ht="15">
      <c r="A48" s="1832" t="s">
        <v>1338</v>
      </c>
      <c r="B48" s="1831" t="s">
        <v>1339</v>
      </c>
      <c r="C48" s="1819">
        <f>553888-3</f>
        <v>553885</v>
      </c>
      <c r="D48" s="1819">
        <v>620181</v>
      </c>
      <c r="E48" s="1820">
        <f t="shared" si="0"/>
        <v>111.96927159970029</v>
      </c>
      <c r="F48" s="1791">
        <v>27331</v>
      </c>
      <c r="G48" s="1791">
        <v>35521</v>
      </c>
      <c r="H48" s="1791">
        <v>16484</v>
      </c>
      <c r="I48" s="1791">
        <v>9860</v>
      </c>
      <c r="J48" s="1791">
        <f>SUM(F48:I48)</f>
        <v>89196</v>
      </c>
      <c r="L48" s="1791">
        <f>+D48-'14.Mérl.össz.'!E50</f>
        <v>0</v>
      </c>
    </row>
    <row r="49" spans="1:12" ht="15">
      <c r="A49" s="1832" t="s">
        <v>1340</v>
      </c>
      <c r="B49" s="1831" t="s">
        <v>1341</v>
      </c>
      <c r="C49" s="1819">
        <f>3289627-1</f>
        <v>3289626</v>
      </c>
      <c r="D49" s="1819">
        <v>3553819</v>
      </c>
      <c r="E49" s="1820">
        <f t="shared" si="0"/>
        <v>108.03109532816192</v>
      </c>
      <c r="L49" s="1791">
        <f>+D49-'14.Mérl.össz.'!E60</f>
        <v>0</v>
      </c>
    </row>
    <row r="50" spans="1:12" ht="15">
      <c r="A50" s="1817" t="s">
        <v>1342</v>
      </c>
      <c r="B50" s="1830" t="s">
        <v>1343</v>
      </c>
      <c r="C50" s="1819">
        <f>988217+2</f>
        <v>988219</v>
      </c>
      <c r="D50" s="1819">
        <v>1020061</v>
      </c>
      <c r="E50" s="1820">
        <f t="shared" si="0"/>
        <v>103.22216027014254</v>
      </c>
      <c r="L50" s="1791">
        <f>+D50-'14.Mérl.össz.'!E76</f>
        <v>0</v>
      </c>
    </row>
    <row r="51" spans="1:12" s="1829" customFormat="1" ht="22.5" customHeight="1">
      <c r="A51" s="1824" t="s">
        <v>1344</v>
      </c>
      <c r="B51" s="1833" t="s">
        <v>1345</v>
      </c>
      <c r="C51" s="1826">
        <f>SUM(C48,C49,C50)</f>
        <v>4831730</v>
      </c>
      <c r="D51" s="1826">
        <f>SUM(D48,D49,D50)</f>
        <v>5194061</v>
      </c>
      <c r="E51" s="1827">
        <f t="shared" si="0"/>
        <v>107.49899104461548</v>
      </c>
      <c r="F51" s="1828"/>
      <c r="G51" s="1828"/>
      <c r="H51" s="1828"/>
      <c r="I51" s="1828"/>
      <c r="J51" s="1828"/>
      <c r="L51" s="1828">
        <f>+D51-'14.Mérl.össz.'!E77</f>
        <v>0</v>
      </c>
    </row>
    <row r="52" spans="1:12" ht="15">
      <c r="A52" s="1817" t="s">
        <v>1346</v>
      </c>
      <c r="B52" s="1830" t="s">
        <v>1347</v>
      </c>
      <c r="C52" s="1819">
        <f>169405+1</f>
        <v>169406</v>
      </c>
      <c r="D52" s="1819">
        <v>226882</v>
      </c>
      <c r="E52" s="1820">
        <f t="shared" si="0"/>
        <v>133.92796004864056</v>
      </c>
      <c r="L52" s="1791">
        <f>+D52-'14.Mérl.össz.'!E78</f>
        <v>0</v>
      </c>
    </row>
    <row r="53" spans="1:12" ht="15">
      <c r="A53" s="1817" t="s">
        <v>1348</v>
      </c>
      <c r="B53" s="1830" t="s">
        <v>1349</v>
      </c>
      <c r="C53" s="1819">
        <f>-151912-1</f>
        <v>-151913</v>
      </c>
      <c r="D53" s="1819">
        <v>-149443</v>
      </c>
      <c r="E53" s="1820">
        <f t="shared" si="0"/>
        <v>98.37406936865179</v>
      </c>
      <c r="L53" s="1791">
        <f>+D53-'14.Mérl.össz.'!E79</f>
        <v>0</v>
      </c>
    </row>
    <row r="54" spans="1:12" ht="15" customHeight="1">
      <c r="A54" s="1832" t="s">
        <v>1350</v>
      </c>
      <c r="B54" s="1831" t="s">
        <v>1351</v>
      </c>
      <c r="C54" s="1819">
        <v>2584</v>
      </c>
      <c r="D54" s="1819">
        <v>6051</v>
      </c>
      <c r="E54" s="1820">
        <f t="shared" si="0"/>
        <v>234.17182662538698</v>
      </c>
      <c r="L54" s="1791">
        <f>+D54-'14.Mérl.össz.'!E80</f>
        <v>0</v>
      </c>
    </row>
    <row r="55" spans="1:12" s="1829" customFormat="1" ht="22.5" customHeight="1">
      <c r="A55" s="1824" t="s">
        <v>1352</v>
      </c>
      <c r="B55" s="1833" t="s">
        <v>1353</v>
      </c>
      <c r="C55" s="1826">
        <f>SUM(C52:C54)</f>
        <v>20077</v>
      </c>
      <c r="D55" s="1826">
        <f>SUM(D52:D54)</f>
        <v>83490</v>
      </c>
      <c r="E55" s="1827">
        <f t="shared" si="0"/>
        <v>415.84898142152707</v>
      </c>
      <c r="F55" s="1828"/>
      <c r="G55" s="1828"/>
      <c r="H55" s="1828"/>
      <c r="I55" s="1828"/>
      <c r="J55" s="1828"/>
      <c r="L55" s="1828">
        <f>+D55-'14.Mérl.össz.'!E81</f>
        <v>0</v>
      </c>
    </row>
    <row r="56" spans="1:12" s="1816" customFormat="1" ht="22.5" customHeight="1" thickBot="1">
      <c r="A56" s="1834" t="s">
        <v>1354</v>
      </c>
      <c r="B56" s="1835" t="s">
        <v>1355</v>
      </c>
      <c r="C56" s="1836">
        <f>27262+2</f>
        <v>27264</v>
      </c>
      <c r="D56" s="1836">
        <v>29305</v>
      </c>
      <c r="E56" s="1837">
        <f t="shared" si="0"/>
        <v>107.48606220657278</v>
      </c>
      <c r="F56" s="1815"/>
      <c r="G56" s="1815"/>
      <c r="H56" s="1815"/>
      <c r="I56" s="1815"/>
      <c r="J56" s="1815"/>
      <c r="L56" s="1815">
        <f>+D56-'14.Mérl.össz.'!E85</f>
        <v>0</v>
      </c>
    </row>
    <row r="57" spans="1:12" s="1794" customFormat="1" ht="30" customHeight="1" thickBot="1">
      <c r="A57" s="1838" t="s">
        <v>1356</v>
      </c>
      <c r="B57" s="1839" t="s">
        <v>1357</v>
      </c>
      <c r="C57" s="1840">
        <f>SUM(C39,C42,C47,C51,C55:C56)</f>
        <v>97799024</v>
      </c>
      <c r="D57" s="1840">
        <f>SUM(D39,D42,D47,D51,D55:D56)</f>
        <v>106479099</v>
      </c>
      <c r="E57" s="1841">
        <f t="shared" si="0"/>
        <v>108.87542088354583</v>
      </c>
      <c r="F57" s="1795" t="e">
        <f>SUM(F39,#REF!)</f>
        <v>#REF!</v>
      </c>
      <c r="G57" s="1795" t="e">
        <f>SUM(G39,#REF!)</f>
        <v>#REF!</v>
      </c>
      <c r="H57" s="1795" t="e">
        <f>SUM(H39,#REF!)</f>
        <v>#REF!</v>
      </c>
      <c r="I57" s="1795" t="e">
        <f>SUM(I39,#REF!)</f>
        <v>#REF!</v>
      </c>
      <c r="J57" s="1795" t="e">
        <f>SUM(J39,#REF!)</f>
        <v>#REF!</v>
      </c>
      <c r="L57" s="1795">
        <f>+D57-'14.Mérl.össz.'!E86</f>
        <v>0</v>
      </c>
    </row>
    <row r="58" spans="1:10" s="1794" customFormat="1" ht="30" customHeight="1" thickBot="1">
      <c r="A58" s="1842"/>
      <c r="B58" s="1843"/>
      <c r="C58" s="1844"/>
      <c r="D58" s="1844"/>
      <c r="E58" s="1845"/>
      <c r="F58" s="1795"/>
      <c r="G58" s="1795"/>
      <c r="H58" s="1795"/>
      <c r="I58" s="1795"/>
      <c r="J58" s="1795"/>
    </row>
    <row r="59" spans="1:10" s="1806" customFormat="1" ht="30.75" thickBot="1">
      <c r="A59" s="1801" t="s">
        <v>1206</v>
      </c>
      <c r="B59" s="1802" t="s">
        <v>1358</v>
      </c>
      <c r="C59" s="1803" t="s">
        <v>1074</v>
      </c>
      <c r="D59" s="1803" t="s">
        <v>1074</v>
      </c>
      <c r="E59" s="1804" t="s">
        <v>1259</v>
      </c>
      <c r="F59" s="1805" t="s">
        <v>376</v>
      </c>
      <c r="G59" s="1805" t="s">
        <v>1260</v>
      </c>
      <c r="H59" s="1805" t="s">
        <v>1261</v>
      </c>
      <c r="I59" s="1805" t="s">
        <v>1262</v>
      </c>
      <c r="J59" s="1805" t="s">
        <v>127</v>
      </c>
    </row>
    <row r="60" spans="1:12" ht="15">
      <c r="A60" s="1807" t="s">
        <v>1359</v>
      </c>
      <c r="B60" s="1808" t="s">
        <v>1360</v>
      </c>
      <c r="C60" s="1809">
        <v>83998213</v>
      </c>
      <c r="D60" s="1809">
        <v>83998213</v>
      </c>
      <c r="E60" s="1810">
        <f t="shared" si="0"/>
        <v>100</v>
      </c>
      <c r="F60" s="1791">
        <v>57339086</v>
      </c>
      <c r="G60" s="1791">
        <v>154134</v>
      </c>
      <c r="H60" s="1791">
        <v>3666860</v>
      </c>
      <c r="I60" s="1791">
        <v>416177</v>
      </c>
      <c r="J60" s="1791">
        <f>SUM(F60:I60)</f>
        <v>61576257</v>
      </c>
      <c r="L60" s="1791">
        <f>+D60-'14.Mérl.össz.'!E88</f>
        <v>0</v>
      </c>
    </row>
    <row r="61" spans="1:12" ht="15">
      <c r="A61" s="1817" t="s">
        <v>1361</v>
      </c>
      <c r="B61" s="1830" t="s">
        <v>1362</v>
      </c>
      <c r="C61" s="1819">
        <v>658865</v>
      </c>
      <c r="D61" s="1819">
        <v>680727</v>
      </c>
      <c r="E61" s="1820">
        <f t="shared" si="0"/>
        <v>103.31813042125474</v>
      </c>
      <c r="F61" s="1791">
        <v>8216345</v>
      </c>
      <c r="G61" s="1791">
        <v>-114394</v>
      </c>
      <c r="H61" s="1791">
        <v>-488525</v>
      </c>
      <c r="I61" s="1791">
        <v>-75240</v>
      </c>
      <c r="J61" s="1791">
        <f>SUM(F61:I61)</f>
        <v>7538186</v>
      </c>
      <c r="L61" s="1791">
        <f>+D61-'14.Mérl.össz.'!E89</f>
        <v>0</v>
      </c>
    </row>
    <row r="62" spans="1:12" ht="15">
      <c r="A62" s="1807" t="s">
        <v>1363</v>
      </c>
      <c r="B62" s="1830" t="s">
        <v>1364</v>
      </c>
      <c r="C62" s="1819">
        <f>999739+2</f>
        <v>999741</v>
      </c>
      <c r="D62" s="1819">
        <v>999741</v>
      </c>
      <c r="E62" s="1820">
        <f t="shared" si="0"/>
        <v>100</v>
      </c>
      <c r="H62" s="1791">
        <v>0</v>
      </c>
      <c r="J62" s="1791">
        <f>SUM(F62:I62)</f>
        <v>0</v>
      </c>
      <c r="L62" s="1791">
        <f>+D62-'14.Mérl.össz.'!E90</f>
        <v>0</v>
      </c>
    </row>
    <row r="63" spans="1:12" ht="15">
      <c r="A63" s="1817" t="s">
        <v>1365</v>
      </c>
      <c r="B63" s="1830" t="s">
        <v>1366</v>
      </c>
      <c r="C63" s="1819">
        <f>-5272670-2</f>
        <v>-5272672</v>
      </c>
      <c r="D63" s="1819">
        <v>-12853143</v>
      </c>
      <c r="E63" s="1820">
        <f t="shared" si="0"/>
        <v>243.76906054463467</v>
      </c>
      <c r="L63" s="1791">
        <f>+D63-'14.Mérl.össz.'!E91</f>
        <v>0</v>
      </c>
    </row>
    <row r="64" spans="1:5" ht="15">
      <c r="A64" s="1807" t="s">
        <v>1367</v>
      </c>
      <c r="B64" s="1830" t="s">
        <v>1368</v>
      </c>
      <c r="C64" s="1819"/>
      <c r="D64" s="1819"/>
      <c r="E64" s="1820">
        <f t="shared" si="0"/>
        <v>0</v>
      </c>
    </row>
    <row r="65" spans="1:12" ht="15.75" thickBot="1">
      <c r="A65" s="1846" t="s">
        <v>1369</v>
      </c>
      <c r="B65" s="1847" t="s">
        <v>1370</v>
      </c>
      <c r="C65" s="1848">
        <f>-7580472+1</f>
        <v>-7580471</v>
      </c>
      <c r="D65" s="1848">
        <v>1678289</v>
      </c>
      <c r="E65" s="1849">
        <f t="shared" si="0"/>
        <v>-22.139640135817416</v>
      </c>
      <c r="L65" s="1791">
        <f>+D65-'14.Mérl.össz.'!E93</f>
        <v>0</v>
      </c>
    </row>
    <row r="66" spans="1:12" s="1794" customFormat="1" ht="22.5" customHeight="1" thickBot="1">
      <c r="A66" s="1842" t="s">
        <v>1371</v>
      </c>
      <c r="B66" s="1843" t="s">
        <v>1372</v>
      </c>
      <c r="C66" s="1844">
        <f>SUM(C60:C65)</f>
        <v>72803676</v>
      </c>
      <c r="D66" s="1844">
        <f>SUM(D60:D65)</f>
        <v>74503827</v>
      </c>
      <c r="E66" s="1845">
        <f t="shared" si="0"/>
        <v>102.3352543352344</v>
      </c>
      <c r="F66" s="1795">
        <f>SUM(F60:F62)</f>
        <v>65555431</v>
      </c>
      <c r="G66" s="1795">
        <f>SUM(G60:G62)</f>
        <v>39740</v>
      </c>
      <c r="H66" s="1795">
        <f>SUM(H60:H62)</f>
        <v>3178335</v>
      </c>
      <c r="I66" s="1795">
        <f>SUM(I60:I62)</f>
        <v>340937</v>
      </c>
      <c r="J66" s="1795">
        <f>SUM(J60:J62)</f>
        <v>69114443</v>
      </c>
      <c r="L66" s="1795">
        <f>+D66-'14.Mérl.össz.'!E94</f>
        <v>0</v>
      </c>
    </row>
    <row r="67" spans="1:12" s="1855" customFormat="1" ht="15">
      <c r="A67" s="1850" t="s">
        <v>1373</v>
      </c>
      <c r="B67" s="1851" t="s">
        <v>1374</v>
      </c>
      <c r="C67" s="1852">
        <v>588134</v>
      </c>
      <c r="D67" s="1852">
        <v>32307</v>
      </c>
      <c r="E67" s="1853">
        <f t="shared" si="0"/>
        <v>5.4931359180050805</v>
      </c>
      <c r="F67" s="1854" t="e">
        <f>SUM(#REF!)</f>
        <v>#REF!</v>
      </c>
      <c r="G67" s="1854" t="e">
        <f>SUM(#REF!)</f>
        <v>#REF!</v>
      </c>
      <c r="H67" s="1854" t="e">
        <f>SUM(#REF!)</f>
        <v>#REF!</v>
      </c>
      <c r="I67" s="1854" t="e">
        <f>SUM(#REF!)</f>
        <v>#REF!</v>
      </c>
      <c r="J67" s="1854" t="e">
        <f>SUM(#REF!)</f>
        <v>#REF!</v>
      </c>
      <c r="L67" s="1854">
        <f>+D67-'14.Mérl.össz.'!E105</f>
        <v>0</v>
      </c>
    </row>
    <row r="68" spans="1:12" ht="15">
      <c r="A68" s="1856" t="s">
        <v>1375</v>
      </c>
      <c r="B68" s="1857" t="s">
        <v>1376</v>
      </c>
      <c r="C68" s="1809">
        <v>782003</v>
      </c>
      <c r="D68" s="1809">
        <v>1526746</v>
      </c>
      <c r="E68" s="1810">
        <f t="shared" si="0"/>
        <v>195.23531239649975</v>
      </c>
      <c r="F68" s="1791" t="e">
        <f>SUM(#REF!)</f>
        <v>#REF!</v>
      </c>
      <c r="G68" s="1791" t="e">
        <f>SUM(#REF!)</f>
        <v>#REF!</v>
      </c>
      <c r="H68" s="1791" t="e">
        <f>SUM(#REF!)</f>
        <v>#REF!</v>
      </c>
      <c r="I68" s="1791" t="e">
        <f>SUM(#REF!)</f>
        <v>#REF!</v>
      </c>
      <c r="J68" s="1791" t="e">
        <f>SUM(#REF!)</f>
        <v>#REF!</v>
      </c>
      <c r="L68" s="1791">
        <f>+D68-'14.Mérl.össz.'!E116</f>
        <v>0</v>
      </c>
    </row>
    <row r="69" spans="1:12" ht="15">
      <c r="A69" s="1817" t="s">
        <v>1377</v>
      </c>
      <c r="B69" s="1858" t="s">
        <v>1378</v>
      </c>
      <c r="C69" s="1819">
        <v>595943</v>
      </c>
      <c r="D69" s="1819">
        <v>700627</v>
      </c>
      <c r="E69" s="1820">
        <f t="shared" si="0"/>
        <v>117.56610951047331</v>
      </c>
      <c r="F69" s="1791">
        <v>15489</v>
      </c>
      <c r="G69" s="1791">
        <v>5</v>
      </c>
      <c r="H69" s="1791">
        <v>373</v>
      </c>
      <c r="I69" s="1791">
        <v>130</v>
      </c>
      <c r="J69" s="1791">
        <f>SUM(F69:I69)</f>
        <v>15997</v>
      </c>
      <c r="L69" s="1791">
        <f>+D69-'14.Mérl.össz.'!E127</f>
        <v>0</v>
      </c>
    </row>
    <row r="70" spans="1:12" s="1794" customFormat="1" ht="22.5" customHeight="1">
      <c r="A70" s="1824" t="s">
        <v>1379</v>
      </c>
      <c r="B70" s="1859" t="s">
        <v>1380</v>
      </c>
      <c r="C70" s="1826">
        <f>SUM(C67:C69)</f>
        <v>1966080</v>
      </c>
      <c r="D70" s="1826">
        <f>SUM(D67:D69)</f>
        <v>2259680</v>
      </c>
      <c r="E70" s="1827">
        <f t="shared" si="0"/>
        <v>114.93326822916667</v>
      </c>
      <c r="F70" s="1795" t="e">
        <f>SUM(F67,F68,F69)</f>
        <v>#REF!</v>
      </c>
      <c r="G70" s="1795" t="e">
        <f>SUM(G67,G68,G69)</f>
        <v>#REF!</v>
      </c>
      <c r="H70" s="1795" t="e">
        <f>SUM(H67,H68,H69)</f>
        <v>#REF!</v>
      </c>
      <c r="I70" s="1795" t="e">
        <f>SUM(I67,I68,I69)</f>
        <v>#REF!</v>
      </c>
      <c r="J70" s="1795" t="e">
        <f>SUM(J67,J68,J69)</f>
        <v>#REF!</v>
      </c>
      <c r="L70" s="1795">
        <f>+D70-'14.Mérl.össz.'!E128</f>
        <v>0</v>
      </c>
    </row>
    <row r="71" spans="1:10" s="1794" customFormat="1" ht="22.5" customHeight="1">
      <c r="A71" s="1824" t="s">
        <v>1381</v>
      </c>
      <c r="B71" s="1859" t="s">
        <v>1382</v>
      </c>
      <c r="C71" s="1826"/>
      <c r="D71" s="1826"/>
      <c r="E71" s="1827">
        <f t="shared" si="0"/>
        <v>0</v>
      </c>
      <c r="F71" s="1795"/>
      <c r="G71" s="1795"/>
      <c r="H71" s="1795"/>
      <c r="I71" s="1795"/>
      <c r="J71" s="1795"/>
    </row>
    <row r="72" spans="1:12" s="1794" customFormat="1" ht="22.5" customHeight="1" thickBot="1">
      <c r="A72" s="1834" t="s">
        <v>1383</v>
      </c>
      <c r="B72" s="1860" t="s">
        <v>1384</v>
      </c>
      <c r="C72" s="1836">
        <f>23029269-1</f>
        <v>23029268</v>
      </c>
      <c r="D72" s="1836">
        <v>29715592</v>
      </c>
      <c r="E72" s="1837">
        <f t="shared" si="0"/>
        <v>129.03402748189825</v>
      </c>
      <c r="F72" s="1795"/>
      <c r="G72" s="1795"/>
      <c r="H72" s="1795"/>
      <c r="I72" s="1795"/>
      <c r="J72" s="1795"/>
      <c r="L72" s="1795">
        <f>+D72-'14.Mérl.össz.'!E133</f>
        <v>0</v>
      </c>
    </row>
    <row r="73" spans="1:12" s="1794" customFormat="1" ht="30" customHeight="1" thickBot="1">
      <c r="A73" s="1838" t="s">
        <v>1385</v>
      </c>
      <c r="B73" s="1839" t="s">
        <v>1386</v>
      </c>
      <c r="C73" s="1840">
        <f>SUM(C66,C70:C72)</f>
        <v>97799024</v>
      </c>
      <c r="D73" s="1840">
        <f>SUM(D66,D70:D72)</f>
        <v>106479099</v>
      </c>
      <c r="E73" s="1861">
        <f t="shared" si="0"/>
        <v>108.87542088354583</v>
      </c>
      <c r="F73" s="1795" t="e">
        <f>SUM(F66,#REF!,F70)</f>
        <v>#REF!</v>
      </c>
      <c r="G73" s="1795" t="e">
        <f>SUM(G66,#REF!,G70)</f>
        <v>#REF!</v>
      </c>
      <c r="H73" s="1795" t="e">
        <f>SUM(H66,#REF!,H70)</f>
        <v>#REF!</v>
      </c>
      <c r="I73" s="1795" t="e">
        <f>SUM(I66,#REF!,I70)</f>
        <v>#REF!</v>
      </c>
      <c r="J73" s="1795" t="e">
        <f>SUM(J66,#REF!,J70)</f>
        <v>#REF!</v>
      </c>
      <c r="L73" s="1795">
        <f>+D73-'14.Mérl.össz.'!E134</f>
        <v>0</v>
      </c>
    </row>
    <row r="74" spans="3:4" ht="15">
      <c r="C74" s="1791">
        <f>+C57-C73</f>
        <v>0</v>
      </c>
      <c r="D74" s="1791">
        <f>+D57-D73</f>
        <v>0</v>
      </c>
    </row>
    <row r="75" spans="3:4" ht="15">
      <c r="C75" s="1791">
        <f>+C73-'14.Mérl.össz.'!C134</f>
        <v>0</v>
      </c>
      <c r="D75" s="1791">
        <f>+D73-'14.Mérl.össz.'!E134</f>
        <v>0</v>
      </c>
    </row>
  </sheetData>
  <sheetProtection/>
  <mergeCells count="5">
    <mergeCell ref="A1:B1"/>
    <mergeCell ref="A2:E2"/>
    <mergeCell ref="A3:E3"/>
    <mergeCell ref="A4:E4"/>
    <mergeCell ref="A5:E5"/>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91"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dimension ref="A1:R77"/>
  <sheetViews>
    <sheetView view="pageBreakPreview" zoomScaleSheetLayoutView="100" zoomScalePageLayoutView="0" workbookViewId="0" topLeftCell="A1">
      <selection activeCell="B1" sqref="B1:R1"/>
    </sheetView>
  </sheetViews>
  <sheetFormatPr defaultColWidth="9.125" defaultRowHeight="12.75"/>
  <cols>
    <col min="1" max="1" width="3.75390625" style="646" customWidth="1"/>
    <col min="2" max="2" width="5.75390625" style="86" customWidth="1"/>
    <col min="3" max="5" width="5.75390625" style="88" customWidth="1"/>
    <col min="6" max="6" width="59.75390625" style="47" customWidth="1"/>
    <col min="7" max="10" width="13.75390625" style="47" customWidth="1"/>
    <col min="11" max="11" width="15.75390625" style="47" customWidth="1"/>
    <col min="12" max="12" width="15.75390625" style="69" customWidth="1"/>
    <col min="13" max="16384" width="9.125" style="47" customWidth="1"/>
  </cols>
  <sheetData>
    <row r="1" spans="1:18" ht="17.25">
      <c r="A1" s="51"/>
      <c r="B1" s="2027" t="s">
        <v>1459</v>
      </c>
      <c r="C1" s="2027"/>
      <c r="D1" s="2027"/>
      <c r="E1" s="2027"/>
      <c r="F1" s="2027"/>
      <c r="G1" s="2027"/>
      <c r="H1" s="2027"/>
      <c r="I1" s="2027"/>
      <c r="J1" s="2027"/>
      <c r="K1" s="2027"/>
      <c r="L1" s="2027"/>
      <c r="M1" s="2027"/>
      <c r="N1" s="2027"/>
      <c r="O1" s="2027"/>
      <c r="P1" s="2027"/>
      <c r="Q1" s="2027"/>
      <c r="R1" s="2027"/>
    </row>
    <row r="2" spans="1:12" ht="17.25">
      <c r="A2" s="51"/>
      <c r="B2" s="1445"/>
      <c r="C2" s="1445"/>
      <c r="D2" s="1445"/>
      <c r="E2" s="1445"/>
      <c r="F2" s="1445"/>
      <c r="G2" s="1445"/>
      <c r="H2" s="1445"/>
      <c r="I2" s="1445"/>
      <c r="J2" s="1445"/>
      <c r="K2" s="1445"/>
      <c r="L2" s="2001"/>
    </row>
    <row r="3" spans="1:12" s="50" customFormat="1" ht="24.75" customHeight="1">
      <c r="A3" s="646"/>
      <c r="B3" s="2026" t="s">
        <v>170</v>
      </c>
      <c r="C3" s="2026"/>
      <c r="D3" s="2026"/>
      <c r="E3" s="2026"/>
      <c r="F3" s="2026"/>
      <c r="G3" s="2026"/>
      <c r="H3" s="2026"/>
      <c r="I3" s="2026"/>
      <c r="J3" s="2026"/>
      <c r="K3" s="2026"/>
      <c r="L3" s="2026"/>
    </row>
    <row r="4" spans="1:12" s="50" customFormat="1" ht="24.75" customHeight="1">
      <c r="A4" s="646"/>
      <c r="B4" s="2026" t="s">
        <v>1043</v>
      </c>
      <c r="C4" s="2026"/>
      <c r="D4" s="2026"/>
      <c r="E4" s="2026"/>
      <c r="F4" s="2026"/>
      <c r="G4" s="2026"/>
      <c r="H4" s="2026"/>
      <c r="I4" s="2026"/>
      <c r="J4" s="2026"/>
      <c r="K4" s="2026"/>
      <c r="L4" s="2026"/>
    </row>
    <row r="5" spans="3:12" ht="17.25">
      <c r="C5" s="87"/>
      <c r="E5" s="87"/>
      <c r="F5" s="87"/>
      <c r="G5" s="87"/>
      <c r="H5" s="48"/>
      <c r="K5" s="313"/>
      <c r="L5" s="313" t="s">
        <v>0</v>
      </c>
    </row>
    <row r="6" spans="1:12" s="88" customFormat="1" ht="18" customHeight="1" thickBot="1">
      <c r="A6" s="646"/>
      <c r="B6" s="86" t="s">
        <v>1</v>
      </c>
      <c r="C6" s="88" t="s">
        <v>3</v>
      </c>
      <c r="D6" s="88" t="s">
        <v>2</v>
      </c>
      <c r="E6" s="88" t="s">
        <v>4</v>
      </c>
      <c r="F6" s="88" t="s">
        <v>5</v>
      </c>
      <c r="G6" s="88" t="s">
        <v>15</v>
      </c>
      <c r="H6" s="88" t="s">
        <v>16</v>
      </c>
      <c r="I6" s="314" t="s">
        <v>17</v>
      </c>
      <c r="J6" s="314" t="s">
        <v>36</v>
      </c>
      <c r="K6" s="314" t="s">
        <v>30</v>
      </c>
      <c r="L6" s="88" t="s">
        <v>23</v>
      </c>
    </row>
    <row r="7" spans="1:12" s="51" customFormat="1" ht="79.5" customHeight="1" thickBot="1">
      <c r="A7" s="646"/>
      <c r="B7" s="315" t="s">
        <v>201</v>
      </c>
      <c r="C7" s="316" t="s">
        <v>19</v>
      </c>
      <c r="D7" s="302" t="s">
        <v>592</v>
      </c>
      <c r="E7" s="302" t="s">
        <v>594</v>
      </c>
      <c r="F7" s="317" t="s">
        <v>6</v>
      </c>
      <c r="G7" s="235" t="s">
        <v>585</v>
      </c>
      <c r="H7" s="235" t="s">
        <v>567</v>
      </c>
      <c r="I7" s="306" t="s">
        <v>857</v>
      </c>
      <c r="J7" s="961" t="s">
        <v>796</v>
      </c>
      <c r="K7" s="1342" t="s">
        <v>1044</v>
      </c>
      <c r="L7" s="1670" t="s">
        <v>1039</v>
      </c>
    </row>
    <row r="8" spans="1:12" s="56" customFormat="1" ht="30" customHeight="1">
      <c r="A8" s="646">
        <v>1</v>
      </c>
      <c r="B8" s="298" t="s">
        <v>498</v>
      </c>
      <c r="C8" s="52"/>
      <c r="D8" s="53"/>
      <c r="E8" s="52"/>
      <c r="F8" s="54" t="s">
        <v>202</v>
      </c>
      <c r="G8" s="55">
        <f>SUM(G9:G10)</f>
        <v>7353582</v>
      </c>
      <c r="H8" s="55">
        <f>SUM(H9:H10)</f>
        <v>7596089</v>
      </c>
      <c r="I8" s="55">
        <f>SUM(I9:I10)</f>
        <v>8054296</v>
      </c>
      <c r="J8" s="977">
        <f>SUM(J9:J10)</f>
        <v>8038573</v>
      </c>
      <c r="K8" s="55">
        <f>SUM(K9:K10)</f>
        <v>9057932</v>
      </c>
      <c r="L8" s="2002">
        <f>SUM(L9:L10)</f>
        <v>7660387</v>
      </c>
    </row>
    <row r="9" spans="1:12" ht="25.5" customHeight="1">
      <c r="A9" s="646">
        <v>2</v>
      </c>
      <c r="B9" s="57"/>
      <c r="C9" s="58"/>
      <c r="D9" s="58">
        <v>1</v>
      </c>
      <c r="E9" s="58"/>
      <c r="F9" s="59" t="s">
        <v>39</v>
      </c>
      <c r="G9" s="59">
        <v>7197678</v>
      </c>
      <c r="H9" s="59">
        <v>7431316</v>
      </c>
      <c r="I9" s="59">
        <v>7776616</v>
      </c>
      <c r="J9" s="978">
        <v>7971537</v>
      </c>
      <c r="K9" s="59">
        <v>8845896</v>
      </c>
      <c r="L9" s="1671">
        <f>'4.Inki'!K250+'4.Inki'!L250+'4.Inki'!M250+'4.Inki'!N250+'4.Inki'!O250</f>
        <v>7486012</v>
      </c>
    </row>
    <row r="10" spans="1:12" ht="25.5" customHeight="1">
      <c r="A10" s="646">
        <v>3</v>
      </c>
      <c r="B10" s="57"/>
      <c r="C10" s="58"/>
      <c r="D10" s="58">
        <v>2</v>
      </c>
      <c r="E10" s="58"/>
      <c r="F10" s="59" t="s">
        <v>161</v>
      </c>
      <c r="G10" s="59">
        <f>SUM(G11:G12)</f>
        <v>155904</v>
      </c>
      <c r="H10" s="59">
        <f>SUM(H11:H12)</f>
        <v>164773</v>
      </c>
      <c r="I10" s="59">
        <f>SUM(I11:I12)</f>
        <v>277680</v>
      </c>
      <c r="J10" s="978">
        <f>SUM(J11:J12)</f>
        <v>67036</v>
      </c>
      <c r="K10" s="59">
        <f>SUM(K11:K12)</f>
        <v>212036</v>
      </c>
      <c r="L10" s="1671">
        <f>SUM(L11:L12)</f>
        <v>174375</v>
      </c>
    </row>
    <row r="11" spans="1:12" ht="17.25">
      <c r="A11" s="646">
        <v>4</v>
      </c>
      <c r="B11" s="57"/>
      <c r="C11" s="58"/>
      <c r="D11" s="58"/>
      <c r="E11" s="58">
        <v>1</v>
      </c>
      <c r="F11" s="60" t="s">
        <v>227</v>
      </c>
      <c r="G11" s="59">
        <v>155449</v>
      </c>
      <c r="H11" s="59">
        <v>164773</v>
      </c>
      <c r="I11" s="59">
        <v>277321</v>
      </c>
      <c r="J11" s="978">
        <v>67036</v>
      </c>
      <c r="K11" s="59">
        <v>208919</v>
      </c>
      <c r="L11" s="1671">
        <f>'4.Inki'!P250</f>
        <v>171260</v>
      </c>
    </row>
    <row r="12" spans="1:12" ht="17.25">
      <c r="A12" s="646">
        <v>5</v>
      </c>
      <c r="B12" s="57"/>
      <c r="C12" s="58"/>
      <c r="D12" s="58"/>
      <c r="E12" s="58">
        <v>2</v>
      </c>
      <c r="F12" s="60" t="s">
        <v>228</v>
      </c>
      <c r="G12" s="59">
        <v>455</v>
      </c>
      <c r="H12" s="59"/>
      <c r="I12" s="59">
        <v>359</v>
      </c>
      <c r="J12" s="978"/>
      <c r="K12" s="59">
        <v>3117</v>
      </c>
      <c r="L12" s="1671">
        <f>'4.Inki'!Q250</f>
        <v>3115</v>
      </c>
    </row>
    <row r="13" spans="1:12" s="56" customFormat="1" ht="30" customHeight="1">
      <c r="A13" s="646">
        <v>6</v>
      </c>
      <c r="B13" s="299" t="s">
        <v>499</v>
      </c>
      <c r="C13" s="61"/>
      <c r="D13" s="62"/>
      <c r="E13" s="62"/>
      <c r="F13" s="63" t="s">
        <v>125</v>
      </c>
      <c r="G13" s="63">
        <f aca="true" t="shared" si="0" ref="G13:L13">SUM(G14:G15,G26,G27)</f>
        <v>13225053</v>
      </c>
      <c r="H13" s="63">
        <f t="shared" si="0"/>
        <v>19900460</v>
      </c>
      <c r="I13" s="63">
        <f t="shared" si="0"/>
        <v>11881117</v>
      </c>
      <c r="J13" s="979">
        <f t="shared" si="0"/>
        <v>29513701</v>
      </c>
      <c r="K13" s="63">
        <f t="shared" si="0"/>
        <v>37270883</v>
      </c>
      <c r="L13" s="2003">
        <f t="shared" si="0"/>
        <v>14306769</v>
      </c>
    </row>
    <row r="14" spans="1:12" s="56" customFormat="1" ht="25.5" customHeight="1">
      <c r="A14" s="646">
        <v>7</v>
      </c>
      <c r="B14" s="57"/>
      <c r="C14" s="64"/>
      <c r="D14" s="58">
        <v>1</v>
      </c>
      <c r="E14" s="64"/>
      <c r="F14" s="65" t="s">
        <v>39</v>
      </c>
      <c r="G14" s="65">
        <v>4718378</v>
      </c>
      <c r="H14" s="65">
        <v>5579739</v>
      </c>
      <c r="I14" s="65">
        <v>6400942</v>
      </c>
      <c r="J14" s="980">
        <v>6655947</v>
      </c>
      <c r="K14" s="65">
        <v>6554990</v>
      </c>
      <c r="L14" s="2004">
        <f>'6.Önk.műk.'!I819+'7.Beruh.'!I271+'8.Felúj.'!I115+'9.Projekt'!I169+'9.Projekt'!J169+'9.Projekt'!K169+'9.Projekt'!L169+'10.MVP és hazai'!I99+'10.MVP és hazai'!J99+'10.MVP és hazai'!K99+'10.MVP és hazai'!L99+'11.EKF'!I163+'11.EKF'!J163+'11.EKF'!K163+'11.EKF'!L163</f>
        <v>5608944</v>
      </c>
    </row>
    <row r="15" spans="1:12" ht="25.5" customHeight="1">
      <c r="A15" s="646">
        <v>8</v>
      </c>
      <c r="B15" s="57"/>
      <c r="C15" s="64"/>
      <c r="D15" s="64"/>
      <c r="E15" s="64"/>
      <c r="F15" s="65" t="s">
        <v>203</v>
      </c>
      <c r="G15" s="65">
        <f>SUM(G16,G22)</f>
        <v>0</v>
      </c>
      <c r="H15" s="65">
        <f>SUM(H16,H22)</f>
        <v>394518</v>
      </c>
      <c r="I15" s="65">
        <f>SUM(I16,I22)</f>
        <v>0</v>
      </c>
      <c r="J15" s="980">
        <f>SUM(J16,J22)</f>
        <v>520204</v>
      </c>
      <c r="K15" s="65">
        <f>SUM(K16,K22)</f>
        <v>1587564</v>
      </c>
      <c r="L15" s="2004"/>
    </row>
    <row r="16" spans="1:12" s="69" customFormat="1" ht="25.5" customHeight="1">
      <c r="A16" s="646">
        <v>9</v>
      </c>
      <c r="B16" s="300"/>
      <c r="C16" s="66"/>
      <c r="D16" s="58">
        <v>1</v>
      </c>
      <c r="E16" s="66"/>
      <c r="F16" s="67" t="s">
        <v>549</v>
      </c>
      <c r="G16" s="68">
        <f>SUM(G17:G20)</f>
        <v>0</v>
      </c>
      <c r="H16" s="68">
        <f>SUM(H17:H20)</f>
        <v>105109</v>
      </c>
      <c r="I16" s="68">
        <f>SUM(I17:I21)</f>
        <v>0</v>
      </c>
      <c r="J16" s="981">
        <f>SUM(J17:J20)</f>
        <v>135616</v>
      </c>
      <c r="K16" s="68">
        <f>SUM(K17:K21)</f>
        <v>944577</v>
      </c>
      <c r="L16" s="1671"/>
    </row>
    <row r="17" spans="1:12" ht="17.25">
      <c r="A17" s="646">
        <v>10</v>
      </c>
      <c r="B17" s="57"/>
      <c r="C17" s="58"/>
      <c r="D17" s="58"/>
      <c r="E17" s="58"/>
      <c r="F17" s="70" t="s">
        <v>1014</v>
      </c>
      <c r="G17" s="59"/>
      <c r="H17" s="59">
        <v>76368</v>
      </c>
      <c r="I17" s="59"/>
      <c r="J17" s="978">
        <v>111616</v>
      </c>
      <c r="K17" s="59">
        <v>51626</v>
      </c>
      <c r="L17" s="1671"/>
    </row>
    <row r="18" spans="1:12" ht="17.25">
      <c r="A18" s="646">
        <v>11</v>
      </c>
      <c r="B18" s="57"/>
      <c r="C18" s="58"/>
      <c r="D18" s="58"/>
      <c r="E18" s="58"/>
      <c r="F18" s="70" t="s">
        <v>725</v>
      </c>
      <c r="G18" s="59"/>
      <c r="H18" s="59">
        <v>24000</v>
      </c>
      <c r="I18" s="59"/>
      <c r="J18" s="978">
        <v>24000</v>
      </c>
      <c r="K18" s="59">
        <v>0</v>
      </c>
      <c r="L18" s="1671"/>
    </row>
    <row r="19" spans="1:12" ht="17.25">
      <c r="A19" s="646">
        <v>12</v>
      </c>
      <c r="B19" s="57"/>
      <c r="C19" s="58"/>
      <c r="D19" s="58"/>
      <c r="E19" s="58"/>
      <c r="F19" s="70" t="s">
        <v>563</v>
      </c>
      <c r="G19" s="59"/>
      <c r="H19" s="59">
        <v>4741</v>
      </c>
      <c r="I19" s="59"/>
      <c r="J19" s="978"/>
      <c r="K19" s="59"/>
      <c r="L19" s="1671"/>
    </row>
    <row r="20" spans="1:12" ht="17.25">
      <c r="A20" s="646">
        <v>13</v>
      </c>
      <c r="B20" s="57"/>
      <c r="C20" s="58"/>
      <c r="D20" s="58"/>
      <c r="E20" s="58"/>
      <c r="F20" s="70" t="s">
        <v>586</v>
      </c>
      <c r="G20" s="59"/>
      <c r="H20" s="59"/>
      <c r="I20" s="59"/>
      <c r="J20" s="978"/>
      <c r="K20" s="59">
        <v>652951</v>
      </c>
      <c r="L20" s="1671"/>
    </row>
    <row r="21" spans="1:12" ht="17.25">
      <c r="A21" s="646">
        <v>14</v>
      </c>
      <c r="B21" s="57"/>
      <c r="C21" s="58"/>
      <c r="D21" s="58"/>
      <c r="E21" s="58"/>
      <c r="F21" s="70" t="s">
        <v>587</v>
      </c>
      <c r="G21" s="59"/>
      <c r="H21" s="59"/>
      <c r="I21" s="59"/>
      <c r="J21" s="978"/>
      <c r="K21" s="59">
        <v>240000</v>
      </c>
      <c r="L21" s="1671"/>
    </row>
    <row r="22" spans="1:12" s="69" customFormat="1" ht="25.5" customHeight="1">
      <c r="A22" s="646">
        <v>15</v>
      </c>
      <c r="B22" s="300"/>
      <c r="C22" s="66"/>
      <c r="D22" s="58">
        <v>2</v>
      </c>
      <c r="E22" s="66"/>
      <c r="F22" s="67" t="s">
        <v>550</v>
      </c>
      <c r="G22" s="68">
        <f>SUM(G23:G25)</f>
        <v>0</v>
      </c>
      <c r="H22" s="68">
        <f>SUM(H23:H25)</f>
        <v>289409</v>
      </c>
      <c r="I22" s="68"/>
      <c r="J22" s="981">
        <f>SUM(J23:J25)</f>
        <v>384588</v>
      </c>
      <c r="K22" s="68">
        <f>SUM(K23:K25)</f>
        <v>642987</v>
      </c>
      <c r="L22" s="1671"/>
    </row>
    <row r="23" spans="1:12" ht="18" thickBot="1">
      <c r="A23" s="646">
        <v>16</v>
      </c>
      <c r="B23" s="57"/>
      <c r="C23" s="58"/>
      <c r="D23" s="66"/>
      <c r="E23" s="58"/>
      <c r="F23" s="70" t="s">
        <v>204</v>
      </c>
      <c r="G23" s="59"/>
      <c r="H23" s="59"/>
      <c r="I23" s="59"/>
      <c r="J23" s="978"/>
      <c r="K23" s="59"/>
      <c r="L23" s="1671"/>
    </row>
    <row r="24" spans="1:12" ht="17.25">
      <c r="A24" s="646">
        <v>17</v>
      </c>
      <c r="B24" s="57"/>
      <c r="C24" s="58"/>
      <c r="D24" s="66"/>
      <c r="E24" s="58"/>
      <c r="F24" s="469" t="s">
        <v>562</v>
      </c>
      <c r="G24" s="59"/>
      <c r="H24" s="470">
        <v>248370</v>
      </c>
      <c r="I24" s="470"/>
      <c r="J24" s="982"/>
      <c r="K24" s="470">
        <v>249058</v>
      </c>
      <c r="L24" s="1671"/>
    </row>
    <row r="25" spans="1:12" ht="17.25">
      <c r="A25" s="646">
        <v>18</v>
      </c>
      <c r="B25" s="57"/>
      <c r="C25" s="58"/>
      <c r="D25" s="66"/>
      <c r="E25" s="58"/>
      <c r="F25" s="70" t="s">
        <v>479</v>
      </c>
      <c r="G25" s="59"/>
      <c r="H25" s="59">
        <v>41039</v>
      </c>
      <c r="I25" s="59"/>
      <c r="J25" s="978">
        <v>384588</v>
      </c>
      <c r="K25" s="59">
        <v>393929</v>
      </c>
      <c r="L25" s="1671"/>
    </row>
    <row r="26" spans="1:12" s="50" customFormat="1" ht="25.5" customHeight="1">
      <c r="A26" s="646">
        <v>19</v>
      </c>
      <c r="B26" s="301"/>
      <c r="C26" s="71"/>
      <c r="D26" s="71"/>
      <c r="E26" s="71"/>
      <c r="F26" s="72" t="s">
        <v>205</v>
      </c>
      <c r="G26" s="72"/>
      <c r="H26" s="72">
        <v>150000</v>
      </c>
      <c r="I26" s="72"/>
      <c r="J26" s="983">
        <v>177471</v>
      </c>
      <c r="K26" s="72">
        <v>0</v>
      </c>
      <c r="L26" s="2005"/>
    </row>
    <row r="27" spans="1:12" s="56" customFormat="1" ht="25.5" customHeight="1">
      <c r="A27" s="646">
        <v>20</v>
      </c>
      <c r="B27" s="57"/>
      <c r="C27" s="64"/>
      <c r="D27" s="58">
        <v>2</v>
      </c>
      <c r="E27" s="64"/>
      <c r="F27" s="65" t="s">
        <v>161</v>
      </c>
      <c r="G27" s="65">
        <f aca="true" t="shared" si="1" ref="G27:L27">SUM(G28:G30)</f>
        <v>8506675</v>
      </c>
      <c r="H27" s="65">
        <f t="shared" si="1"/>
        <v>13776203</v>
      </c>
      <c r="I27" s="65">
        <f t="shared" si="1"/>
        <v>5480175</v>
      </c>
      <c r="J27" s="980">
        <f t="shared" si="1"/>
        <v>22160079</v>
      </c>
      <c r="K27" s="65">
        <f t="shared" si="1"/>
        <v>29128329</v>
      </c>
      <c r="L27" s="2004">
        <f t="shared" si="1"/>
        <v>8697825</v>
      </c>
    </row>
    <row r="28" spans="1:12" ht="17.25">
      <c r="A28" s="646">
        <v>21</v>
      </c>
      <c r="B28" s="57"/>
      <c r="C28" s="64"/>
      <c r="D28" s="58"/>
      <c r="E28" s="58">
        <v>1</v>
      </c>
      <c r="F28" s="60" t="s">
        <v>227</v>
      </c>
      <c r="G28" s="59">
        <v>7792799</v>
      </c>
      <c r="H28" s="59">
        <v>13014190</v>
      </c>
      <c r="I28" s="59">
        <v>5000126</v>
      </c>
      <c r="J28" s="978">
        <v>21222147</v>
      </c>
      <c r="K28" s="59">
        <v>26000677</v>
      </c>
      <c r="L28" s="1671">
        <f>'7.Beruh.'!J271+'9.Projekt'!M169+'10.MVP és hazai'!M99+'11.EKF'!M163</f>
        <v>5639171</v>
      </c>
    </row>
    <row r="29" spans="1:12" ht="17.25">
      <c r="A29" s="646">
        <v>22</v>
      </c>
      <c r="B29" s="57"/>
      <c r="C29" s="64"/>
      <c r="D29" s="58"/>
      <c r="E29" s="58">
        <v>2</v>
      </c>
      <c r="F29" s="60" t="s">
        <v>162</v>
      </c>
      <c r="G29" s="59">
        <v>502120</v>
      </c>
      <c r="H29" s="59">
        <v>197022</v>
      </c>
      <c r="I29" s="59">
        <v>55982</v>
      </c>
      <c r="J29" s="978">
        <v>549493</v>
      </c>
      <c r="K29" s="59">
        <v>2967533</v>
      </c>
      <c r="L29" s="1671">
        <f>'7.Beruh.'!K271+'9.Projekt'!N169+'10.MVP és hazai'!N99+'11.EKF'!O163</f>
        <v>2927040</v>
      </c>
    </row>
    <row r="30" spans="1:14" ht="17.25">
      <c r="A30" s="646">
        <v>23</v>
      </c>
      <c r="B30" s="57"/>
      <c r="C30" s="64"/>
      <c r="D30" s="58"/>
      <c r="E30" s="58">
        <v>3</v>
      </c>
      <c r="F30" s="60" t="s">
        <v>228</v>
      </c>
      <c r="G30" s="59">
        <v>211756</v>
      </c>
      <c r="H30" s="59">
        <v>564991</v>
      </c>
      <c r="I30" s="59">
        <v>424067</v>
      </c>
      <c r="J30" s="978">
        <v>388439</v>
      </c>
      <c r="K30" s="59">
        <v>160119</v>
      </c>
      <c r="L30" s="1671">
        <f>'8.Felúj.'!J115+'11.EKF'!N163</f>
        <v>131614</v>
      </c>
      <c r="N30" s="59"/>
    </row>
    <row r="31" spans="1:12" s="56" customFormat="1" ht="30" customHeight="1">
      <c r="A31" s="646">
        <v>24</v>
      </c>
      <c r="B31" s="299" t="s">
        <v>499</v>
      </c>
      <c r="C31" s="61"/>
      <c r="D31" s="62"/>
      <c r="E31" s="61"/>
      <c r="F31" s="63" t="s">
        <v>206</v>
      </c>
      <c r="G31" s="63">
        <f>SUM(G32:G33)</f>
        <v>0</v>
      </c>
      <c r="H31" s="63">
        <f>SUM(H32:H33)</f>
        <v>0</v>
      </c>
      <c r="I31" s="63">
        <f>SUM(I32:I33)</f>
        <v>0</v>
      </c>
      <c r="J31" s="979">
        <f>SUM(J32:J33)</f>
        <v>0</v>
      </c>
      <c r="K31" s="63">
        <f>SUM(K32:K33)</f>
        <v>0</v>
      </c>
      <c r="L31" s="2003">
        <f>SUM(L32:L33)</f>
        <v>0</v>
      </c>
    </row>
    <row r="32" spans="1:12" s="49" customFormat="1" ht="24" customHeight="1">
      <c r="A32" s="647">
        <v>25</v>
      </c>
      <c r="B32" s="57"/>
      <c r="C32" s="58"/>
      <c r="D32" s="58">
        <v>1</v>
      </c>
      <c r="E32" s="58"/>
      <c r="F32" s="73" t="s">
        <v>39</v>
      </c>
      <c r="G32" s="82"/>
      <c r="H32" s="82"/>
      <c r="I32" s="82"/>
      <c r="J32" s="984"/>
      <c r="K32" s="82"/>
      <c r="L32" s="1916"/>
    </row>
    <row r="33" spans="1:12" s="49" customFormat="1" ht="24" customHeight="1" thickBot="1">
      <c r="A33" s="647">
        <v>26</v>
      </c>
      <c r="B33" s="57"/>
      <c r="C33" s="58"/>
      <c r="D33" s="58">
        <v>2</v>
      </c>
      <c r="E33" s="58"/>
      <c r="F33" s="566" t="s">
        <v>161</v>
      </c>
      <c r="G33" s="82"/>
      <c r="H33" s="82"/>
      <c r="I33" s="82"/>
      <c r="J33" s="984"/>
      <c r="K33" s="82"/>
      <c r="L33" s="1916"/>
    </row>
    <row r="34" spans="1:12" s="72" customFormat="1" ht="39.75" customHeight="1" thickBot="1">
      <c r="A34" s="646">
        <v>27</v>
      </c>
      <c r="B34" s="78"/>
      <c r="C34" s="79"/>
      <c r="D34" s="80"/>
      <c r="E34" s="79"/>
      <c r="F34" s="81" t="s">
        <v>207</v>
      </c>
      <c r="G34" s="81">
        <f>SUM(G8,G13,G31)</f>
        <v>20578635</v>
      </c>
      <c r="H34" s="81">
        <f>SUM(H8,H13,H31)</f>
        <v>27496549</v>
      </c>
      <c r="I34" s="81">
        <f>SUM(I8,I13,I31)</f>
        <v>19935413</v>
      </c>
      <c r="J34" s="985">
        <f>SUM(J8,J13,J31)</f>
        <v>37552274</v>
      </c>
      <c r="K34" s="81">
        <f>SUM(K8,K13,K31)</f>
        <v>46328815</v>
      </c>
      <c r="L34" s="2006">
        <f>SUM(L8,L13,L31)</f>
        <v>21967156</v>
      </c>
    </row>
    <row r="35" spans="1:12" s="49" customFormat="1" ht="30" customHeight="1">
      <c r="A35" s="646">
        <v>28</v>
      </c>
      <c r="B35" s="57" t="s">
        <v>499</v>
      </c>
      <c r="C35" s="58"/>
      <c r="D35" s="58"/>
      <c r="E35" s="58"/>
      <c r="F35" s="65" t="s">
        <v>208</v>
      </c>
      <c r="G35" s="65">
        <f>SUM(G39:G40,G36:G37)</f>
        <v>215713</v>
      </c>
      <c r="H35" s="65">
        <f>SUM(H39:H40,H36:H37)</f>
        <v>209635</v>
      </c>
      <c r="I35" s="65">
        <f>SUM(I39:I40,I36:I37)</f>
        <v>241248</v>
      </c>
      <c r="J35" s="980">
        <f>SUM(J39:J40,J36:J37)</f>
        <v>219771</v>
      </c>
      <c r="K35" s="65">
        <f>SUM(K39:K40,K36:K37)</f>
        <v>548135</v>
      </c>
      <c r="L35" s="2004">
        <f>SUM(L39:L40,L36:L37)</f>
        <v>367272</v>
      </c>
    </row>
    <row r="36" spans="1:12" s="49" customFormat="1" ht="17.25">
      <c r="A36" s="646">
        <v>29</v>
      </c>
      <c r="B36" s="57"/>
      <c r="C36" s="58"/>
      <c r="D36" s="58">
        <v>1</v>
      </c>
      <c r="E36" s="58"/>
      <c r="F36" s="82" t="s">
        <v>209</v>
      </c>
      <c r="G36" s="82"/>
      <c r="H36" s="82"/>
      <c r="I36" s="82"/>
      <c r="J36" s="984"/>
      <c r="K36" s="82"/>
      <c r="L36" s="1916"/>
    </row>
    <row r="37" spans="1:12" s="49" customFormat="1" ht="17.25">
      <c r="A37" s="646">
        <v>30</v>
      </c>
      <c r="B37" s="57"/>
      <c r="C37" s="58"/>
      <c r="D37" s="58">
        <v>1</v>
      </c>
      <c r="E37" s="58"/>
      <c r="F37" s="82" t="s">
        <v>260</v>
      </c>
      <c r="G37" s="82">
        <v>108118</v>
      </c>
      <c r="H37" s="82">
        <v>96040</v>
      </c>
      <c r="I37" s="82">
        <v>127653</v>
      </c>
      <c r="J37" s="984">
        <v>111267</v>
      </c>
      <c r="K37" s="82">
        <v>439630</v>
      </c>
      <c r="L37" s="1916">
        <v>258768</v>
      </c>
    </row>
    <row r="38" spans="1:12" ht="17.25">
      <c r="A38" s="646">
        <v>31</v>
      </c>
      <c r="B38" s="57"/>
      <c r="C38" s="58"/>
      <c r="D38" s="58">
        <v>2</v>
      </c>
      <c r="E38" s="58"/>
      <c r="F38" s="82" t="s">
        <v>210</v>
      </c>
      <c r="G38" s="59"/>
      <c r="H38" s="59"/>
      <c r="I38" s="59"/>
      <c r="J38" s="978"/>
      <c r="K38" s="82"/>
      <c r="L38" s="1671"/>
    </row>
    <row r="39" spans="1:12" ht="17.25">
      <c r="A39" s="646">
        <v>32</v>
      </c>
      <c r="B39" s="57"/>
      <c r="C39" s="58"/>
      <c r="D39" s="58"/>
      <c r="E39" s="58"/>
      <c r="F39" s="83" t="s">
        <v>211</v>
      </c>
      <c r="G39" s="59">
        <v>107595</v>
      </c>
      <c r="H39" s="59">
        <v>113595</v>
      </c>
      <c r="I39" s="59">
        <v>113595</v>
      </c>
      <c r="J39" s="978">
        <v>108504</v>
      </c>
      <c r="K39" s="82">
        <v>108505</v>
      </c>
      <c r="L39" s="1671">
        <v>108504</v>
      </c>
    </row>
    <row r="40" spans="1:12" s="77" customFormat="1" ht="18" customHeight="1" thickBot="1">
      <c r="A40" s="646">
        <v>33</v>
      </c>
      <c r="B40" s="74"/>
      <c r="C40" s="75"/>
      <c r="D40" s="75"/>
      <c r="E40" s="75"/>
      <c r="F40" s="84" t="s">
        <v>212</v>
      </c>
      <c r="G40" s="76"/>
      <c r="H40" s="76"/>
      <c r="I40" s="76"/>
      <c r="J40" s="986"/>
      <c r="K40" s="76"/>
      <c r="L40" s="2007"/>
    </row>
    <row r="41" spans="1:12" s="72" customFormat="1" ht="39.75" customHeight="1" thickBot="1">
      <c r="A41" s="646">
        <v>34</v>
      </c>
      <c r="B41" s="78"/>
      <c r="C41" s="79"/>
      <c r="D41" s="80"/>
      <c r="E41" s="79"/>
      <c r="F41" s="81" t="s">
        <v>213</v>
      </c>
      <c r="G41" s="81">
        <f>SUM(G34:G35)</f>
        <v>20794348</v>
      </c>
      <c r="H41" s="81">
        <f>SUM(H34:H35)</f>
        <v>27706184</v>
      </c>
      <c r="I41" s="81">
        <f>SUM(I34:I35)</f>
        <v>20176661</v>
      </c>
      <c r="J41" s="985">
        <f>SUM(J34:J35)</f>
        <v>37772045</v>
      </c>
      <c r="K41" s="81">
        <f>SUM(K34:K35)</f>
        <v>46876950</v>
      </c>
      <c r="L41" s="2006">
        <f>SUM(L34:L35)</f>
        <v>22334428</v>
      </c>
    </row>
    <row r="42" spans="2:11" ht="17.25">
      <c r="B42" s="85"/>
      <c r="C42" s="58"/>
      <c r="D42" s="58"/>
      <c r="E42" s="58"/>
      <c r="F42" s="59"/>
      <c r="G42" s="59">
        <f>+'1.Onbe'!G64-'2.Onki'!G41</f>
        <v>13074152</v>
      </c>
      <c r="H42" s="59">
        <f>+'1.Onbe'!H64-'2.Onki'!H41</f>
        <v>0</v>
      </c>
      <c r="I42" s="59">
        <f>+'1.Onbe'!I64-'2.Onki'!I41</f>
        <v>14215038</v>
      </c>
      <c r="J42" s="59"/>
      <c r="K42" s="59">
        <f>+'1.Onbe'!K64-'2.Onki'!K41</f>
        <v>0</v>
      </c>
    </row>
    <row r="43" spans="2:10" ht="17.25">
      <c r="B43" s="85"/>
      <c r="C43" s="58"/>
      <c r="D43" s="58"/>
      <c r="E43" s="58"/>
      <c r="F43" s="59"/>
      <c r="G43" s="59"/>
      <c r="H43" s="59"/>
      <c r="I43" s="59"/>
      <c r="J43" s="59"/>
    </row>
    <row r="44" spans="2:10" ht="17.25">
      <c r="B44" s="85"/>
      <c r="C44" s="58"/>
      <c r="D44" s="58"/>
      <c r="E44" s="58"/>
      <c r="F44" s="59"/>
      <c r="G44" s="59"/>
      <c r="H44" s="59"/>
      <c r="I44" s="59"/>
      <c r="J44" s="59"/>
    </row>
    <row r="45" spans="2:10" ht="17.25">
      <c r="B45" s="85"/>
      <c r="C45" s="58"/>
      <c r="D45" s="58"/>
      <c r="E45" s="58"/>
      <c r="F45" s="59"/>
      <c r="G45" s="59"/>
      <c r="H45" s="59"/>
      <c r="I45" s="59"/>
      <c r="J45" s="59"/>
    </row>
    <row r="46" spans="2:10" ht="17.25">
      <c r="B46" s="85"/>
      <c r="C46" s="64"/>
      <c r="D46" s="58"/>
      <c r="E46" s="64"/>
      <c r="F46" s="65"/>
      <c r="G46" s="65"/>
      <c r="H46" s="65"/>
      <c r="I46" s="65"/>
      <c r="J46" s="65"/>
    </row>
    <row r="47" spans="2:10" ht="17.25">
      <c r="B47" s="85"/>
      <c r="C47" s="58"/>
      <c r="D47" s="58"/>
      <c r="E47" s="58"/>
      <c r="F47" s="59"/>
      <c r="G47" s="59"/>
      <c r="H47" s="59"/>
      <c r="I47" s="59"/>
      <c r="J47" s="59"/>
    </row>
    <row r="48" spans="2:10" ht="17.25">
      <c r="B48" s="85"/>
      <c r="C48" s="58"/>
      <c r="D48" s="58"/>
      <c r="E48" s="58"/>
      <c r="F48" s="59"/>
      <c r="G48" s="59"/>
      <c r="H48" s="59"/>
      <c r="I48" s="59"/>
      <c r="J48" s="59"/>
    </row>
    <row r="57" spans="1:12" s="56" customFormat="1" ht="17.25">
      <c r="A57" s="648"/>
      <c r="B57" s="86"/>
      <c r="C57" s="87"/>
      <c r="D57" s="88"/>
      <c r="E57" s="87"/>
      <c r="L57" s="2008"/>
    </row>
    <row r="62" spans="1:12" s="56" customFormat="1" ht="17.25">
      <c r="A62" s="648"/>
      <c r="B62" s="86"/>
      <c r="C62" s="87"/>
      <c r="D62" s="88"/>
      <c r="E62" s="87"/>
      <c r="L62" s="2008"/>
    </row>
    <row r="64" spans="1:12" s="56" customFormat="1" ht="17.25">
      <c r="A64" s="648"/>
      <c r="B64" s="86"/>
      <c r="C64" s="87"/>
      <c r="D64" s="88"/>
      <c r="E64" s="87"/>
      <c r="L64" s="2008"/>
    </row>
    <row r="71" ht="17.25">
      <c r="F71" s="59"/>
    </row>
    <row r="72" ht="17.25">
      <c r="F72" s="59"/>
    </row>
    <row r="73" ht="17.25">
      <c r="F73" s="59"/>
    </row>
    <row r="74" ht="17.25">
      <c r="F74" s="59"/>
    </row>
    <row r="75" ht="17.25">
      <c r="F75" s="59"/>
    </row>
    <row r="76" ht="17.25">
      <c r="F76" s="59"/>
    </row>
    <row r="77" ht="17.25">
      <c r="F77" s="59"/>
    </row>
  </sheetData>
  <sheetProtection/>
  <mergeCells count="3">
    <mergeCell ref="B3:L3"/>
    <mergeCell ref="B4:L4"/>
    <mergeCell ref="B1:R1"/>
  </mergeCells>
  <printOptions horizontalCentered="1"/>
  <pageMargins left="0.1968503937007874" right="0.1968503937007874" top="0.5905511811023623" bottom="0.5905511811023623" header="0.31496062992125984" footer="0.31496062992125984"/>
  <pageSetup fitToHeight="2" horizontalDpi="600" verticalDpi="600" orientation="portrait" paperSize="9" scale="53" r:id="rId1"/>
  <headerFooter alignWithMargins="0">
    <oddFooter>&amp;C-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view="pageBreakPreview" zoomScaleSheetLayoutView="100" zoomScalePageLayoutView="0" workbookViewId="0" topLeftCell="A1">
      <selection activeCell="B1" sqref="B1:R1"/>
    </sheetView>
  </sheetViews>
  <sheetFormatPr defaultColWidth="9.125" defaultRowHeight="12.75"/>
  <cols>
    <col min="1" max="1" width="3.75390625" style="496" customWidth="1"/>
    <col min="2" max="2" width="5.75390625" style="212" customWidth="1"/>
    <col min="3" max="3" width="5.75390625" style="215" customWidth="1"/>
    <col min="4" max="4" width="4.75390625" style="215" customWidth="1"/>
    <col min="5" max="5" width="51.75390625" style="215" customWidth="1"/>
    <col min="6" max="6" width="10.00390625" style="212" customWidth="1"/>
    <col min="7" max="7" width="14.00390625" style="212" bestFit="1" customWidth="1"/>
    <col min="8" max="8" width="11.75390625" style="212" customWidth="1"/>
    <col min="9" max="9" width="12.375" style="212" bestFit="1" customWidth="1"/>
    <col min="10" max="10" width="14.00390625" style="212" customWidth="1"/>
    <col min="11" max="12" width="12.75390625" style="212" customWidth="1"/>
    <col min="13" max="13" width="10.75390625" style="212" customWidth="1"/>
    <col min="14" max="14" width="12.75390625" style="1651" customWidth="1"/>
    <col min="15" max="15" width="13.75390625" style="214" customWidth="1"/>
    <col min="16" max="16384" width="9.125" style="212" customWidth="1"/>
  </cols>
  <sheetData>
    <row r="1" spans="1:18" ht="16.5" customHeight="1">
      <c r="A1" s="1404"/>
      <c r="B1" s="2027" t="s">
        <v>1460</v>
      </c>
      <c r="C1" s="2027"/>
      <c r="D1" s="2027"/>
      <c r="E1" s="2027"/>
      <c r="F1" s="2027"/>
      <c r="G1" s="2027"/>
      <c r="H1" s="2027"/>
      <c r="I1" s="2027"/>
      <c r="J1" s="2027"/>
      <c r="K1" s="2027"/>
      <c r="L1" s="2027"/>
      <c r="M1" s="2027"/>
      <c r="N1" s="2027"/>
      <c r="O1" s="2027"/>
      <c r="P1" s="2027"/>
      <c r="Q1" s="2027"/>
      <c r="R1" s="2027"/>
    </row>
    <row r="2" spans="1:16" s="224" customFormat="1" ht="18" customHeight="1">
      <c r="A2" s="1407"/>
      <c r="B2" s="1411"/>
      <c r="C2" s="1411"/>
      <c r="D2" s="1411"/>
      <c r="E2" s="1411"/>
      <c r="F2" s="1411"/>
      <c r="G2" s="1411"/>
      <c r="H2" s="1411"/>
      <c r="I2" s="1411"/>
      <c r="J2" s="1411"/>
      <c r="K2" s="1411"/>
      <c r="L2" s="1411"/>
      <c r="M2" s="1411"/>
      <c r="N2" s="1411"/>
      <c r="O2" s="1411"/>
      <c r="P2" s="495"/>
    </row>
    <row r="3" spans="1:16" s="224" customFormat="1" ht="24.75" customHeight="1">
      <c r="A3" s="37"/>
      <c r="B3" s="2028" t="s">
        <v>140</v>
      </c>
      <c r="C3" s="2028"/>
      <c r="D3" s="2028"/>
      <c r="E3" s="2028"/>
      <c r="F3" s="2028"/>
      <c r="G3" s="2028"/>
      <c r="H3" s="2028"/>
      <c r="I3" s="2028"/>
      <c r="J3" s="2028"/>
      <c r="K3" s="2028"/>
      <c r="L3" s="2028"/>
      <c r="M3" s="2028"/>
      <c r="N3" s="2028"/>
      <c r="O3" s="2028"/>
      <c r="P3" s="495"/>
    </row>
    <row r="4" spans="1:16" s="224" customFormat="1" ht="24.75" customHeight="1">
      <c r="A4" s="37"/>
      <c r="B4" s="2028" t="s">
        <v>1042</v>
      </c>
      <c r="C4" s="2028"/>
      <c r="D4" s="2028"/>
      <c r="E4" s="2028"/>
      <c r="F4" s="2028"/>
      <c r="G4" s="2028"/>
      <c r="H4" s="2028"/>
      <c r="I4" s="2028"/>
      <c r="J4" s="2028"/>
      <c r="K4" s="2028"/>
      <c r="L4" s="2028"/>
      <c r="M4" s="2028"/>
      <c r="N4" s="2028"/>
      <c r="O4" s="2028"/>
      <c r="P4" s="495"/>
    </row>
    <row r="5" spans="1:16" ht="18" customHeight="1">
      <c r="A5" s="37"/>
      <c r="B5" s="27"/>
      <c r="C5" s="29"/>
      <c r="D5" s="29"/>
      <c r="E5" s="29"/>
      <c r="F5" s="28"/>
      <c r="G5" s="28"/>
      <c r="H5" s="28"/>
      <c r="I5" s="28"/>
      <c r="J5" s="28"/>
      <c r="K5" s="28"/>
      <c r="L5" s="25"/>
      <c r="M5" s="25"/>
      <c r="N5" s="2029" t="s">
        <v>0</v>
      </c>
      <c r="O5" s="2029"/>
      <c r="P5" s="25"/>
    </row>
    <row r="6" spans="2:15" s="37" customFormat="1" ht="18" customHeight="1" thickBot="1">
      <c r="B6" s="37" t="s">
        <v>1</v>
      </c>
      <c r="C6" s="37" t="s">
        <v>3</v>
      </c>
      <c r="D6" s="2030" t="s">
        <v>2</v>
      </c>
      <c r="E6" s="2030"/>
      <c r="F6" s="98" t="s">
        <v>4</v>
      </c>
      <c r="G6" s="98" t="s">
        <v>5</v>
      </c>
      <c r="H6" s="98" t="s">
        <v>15</v>
      </c>
      <c r="I6" s="98" t="s">
        <v>16</v>
      </c>
      <c r="J6" s="98" t="s">
        <v>17</v>
      </c>
      <c r="K6" s="98" t="s">
        <v>36</v>
      </c>
      <c r="L6" s="37" t="s">
        <v>30</v>
      </c>
      <c r="M6" s="37" t="s">
        <v>23</v>
      </c>
      <c r="N6" s="37" t="s">
        <v>37</v>
      </c>
      <c r="O6" s="37" t="s">
        <v>38</v>
      </c>
    </row>
    <row r="7" spans="1:15" s="27" customFormat="1" ht="30" customHeight="1">
      <c r="A7" s="37"/>
      <c r="B7" s="2048" t="s">
        <v>18</v>
      </c>
      <c r="C7" s="2050" t="s">
        <v>19</v>
      </c>
      <c r="D7" s="2052" t="s">
        <v>6</v>
      </c>
      <c r="E7" s="2053"/>
      <c r="F7" s="2056" t="s">
        <v>141</v>
      </c>
      <c r="G7" s="2056"/>
      <c r="H7" s="2056"/>
      <c r="I7" s="2031" t="s">
        <v>142</v>
      </c>
      <c r="J7" s="2031"/>
      <c r="K7" s="2031"/>
      <c r="L7" s="2031" t="s">
        <v>258</v>
      </c>
      <c r="M7" s="2031" t="s">
        <v>143</v>
      </c>
      <c r="N7" s="2031"/>
      <c r="O7" s="2032" t="s">
        <v>571</v>
      </c>
    </row>
    <row r="8" spans="1:16" ht="60.75" thickBot="1">
      <c r="A8" s="37"/>
      <c r="B8" s="2049"/>
      <c r="C8" s="2051"/>
      <c r="D8" s="2054"/>
      <c r="E8" s="2055"/>
      <c r="F8" s="1913" t="s">
        <v>144</v>
      </c>
      <c r="G8" s="1913" t="s">
        <v>145</v>
      </c>
      <c r="H8" s="1913" t="s">
        <v>146</v>
      </c>
      <c r="I8" s="1913" t="s">
        <v>147</v>
      </c>
      <c r="J8" s="1913" t="s">
        <v>148</v>
      </c>
      <c r="K8" s="1913" t="s">
        <v>149</v>
      </c>
      <c r="L8" s="2047"/>
      <c r="M8" s="1913" t="s">
        <v>127</v>
      </c>
      <c r="N8" s="1959" t="s">
        <v>378</v>
      </c>
      <c r="O8" s="2033"/>
      <c r="P8" s="25"/>
    </row>
    <row r="9" spans="1:15" s="29" customFormat="1" ht="22.5" customHeight="1">
      <c r="A9" s="37">
        <v>1</v>
      </c>
      <c r="B9" s="248">
        <v>1</v>
      </c>
      <c r="C9" s="249"/>
      <c r="D9" s="487" t="s">
        <v>306</v>
      </c>
      <c r="E9" s="480"/>
      <c r="F9" s="256"/>
      <c r="G9" s="256"/>
      <c r="H9" s="256"/>
      <c r="I9" s="256"/>
      <c r="J9" s="256"/>
      <c r="K9" s="256"/>
      <c r="L9" s="256"/>
      <c r="M9" s="256"/>
      <c r="N9" s="1955"/>
      <c r="O9" s="257"/>
    </row>
    <row r="10" spans="1:15" s="29" customFormat="1" ht="18" customHeight="1">
      <c r="A10" s="37">
        <v>2</v>
      </c>
      <c r="B10" s="237"/>
      <c r="C10" s="238"/>
      <c r="D10" s="488" t="s">
        <v>334</v>
      </c>
      <c r="E10" s="1912"/>
      <c r="F10" s="95"/>
      <c r="G10" s="95"/>
      <c r="H10" s="95"/>
      <c r="I10" s="95"/>
      <c r="J10" s="95"/>
      <c r="K10" s="95"/>
      <c r="L10" s="95"/>
      <c r="M10" s="95"/>
      <c r="N10" s="116"/>
      <c r="O10" s="253"/>
    </row>
    <row r="11" spans="1:16" s="582" customFormat="1" ht="18" customHeight="1">
      <c r="A11" s="37">
        <v>3</v>
      </c>
      <c r="B11" s="574"/>
      <c r="C11" s="575"/>
      <c r="D11" s="576"/>
      <c r="E11" s="577" t="s">
        <v>303</v>
      </c>
      <c r="F11" s="578">
        <v>4940</v>
      </c>
      <c r="G11" s="578"/>
      <c r="H11" s="578"/>
      <c r="I11" s="578"/>
      <c r="J11" s="578"/>
      <c r="K11" s="578"/>
      <c r="L11" s="578">
        <v>710</v>
      </c>
      <c r="M11" s="578">
        <v>207975</v>
      </c>
      <c r="N11" s="579">
        <v>142608</v>
      </c>
      <c r="O11" s="580">
        <f>SUM(F11:M11)</f>
        <v>213625</v>
      </c>
      <c r="P11" s="581"/>
    </row>
    <row r="12" spans="1:16" s="582" customFormat="1" ht="18" customHeight="1">
      <c r="A12" s="37">
        <v>4</v>
      </c>
      <c r="B12" s="574"/>
      <c r="C12" s="575"/>
      <c r="D12" s="1021"/>
      <c r="E12" s="483" t="s">
        <v>994</v>
      </c>
      <c r="F12" s="1022">
        <v>4940</v>
      </c>
      <c r="G12" s="1022"/>
      <c r="H12" s="1022"/>
      <c r="I12" s="1022"/>
      <c r="J12" s="1022"/>
      <c r="K12" s="1022"/>
      <c r="L12" s="1022">
        <v>6024</v>
      </c>
      <c r="M12" s="1022">
        <v>209902</v>
      </c>
      <c r="N12" s="1960">
        <v>153131</v>
      </c>
      <c r="O12" s="253">
        <f>SUM(F12:M12)</f>
        <v>220866</v>
      </c>
      <c r="P12" s="581"/>
    </row>
    <row r="13" spans="1:16" s="213" customFormat="1" ht="18" customHeight="1">
      <c r="A13" s="37">
        <v>5</v>
      </c>
      <c r="B13" s="1018"/>
      <c r="C13" s="886"/>
      <c r="D13" s="1019"/>
      <c r="E13" s="1020" t="s">
        <v>1035</v>
      </c>
      <c r="F13" s="116">
        <v>3634</v>
      </c>
      <c r="G13" s="116"/>
      <c r="H13" s="116"/>
      <c r="I13" s="116"/>
      <c r="J13" s="116"/>
      <c r="K13" s="116"/>
      <c r="L13" s="116">
        <v>6024</v>
      </c>
      <c r="M13" s="116">
        <v>209902</v>
      </c>
      <c r="N13" s="116">
        <v>151240</v>
      </c>
      <c r="O13" s="888">
        <f>SUM(F13:M13)</f>
        <v>219560</v>
      </c>
      <c r="P13" s="26"/>
    </row>
    <row r="14" spans="1:15" s="111" customFormat="1" ht="22.5" customHeight="1">
      <c r="A14" s="37">
        <v>6</v>
      </c>
      <c r="B14" s="237">
        <v>2</v>
      </c>
      <c r="C14" s="238"/>
      <c r="D14" s="482" t="s">
        <v>377</v>
      </c>
      <c r="E14" s="482"/>
      <c r="F14" s="245"/>
      <c r="G14" s="245"/>
      <c r="H14" s="245"/>
      <c r="I14" s="245"/>
      <c r="J14" s="245"/>
      <c r="K14" s="245"/>
      <c r="L14" s="245"/>
      <c r="M14" s="245"/>
      <c r="N14" s="1961"/>
      <c r="O14" s="246"/>
    </row>
    <row r="15" spans="1:15" s="111" customFormat="1" ht="18" customHeight="1">
      <c r="A15" s="37">
        <v>7</v>
      </c>
      <c r="B15" s="237"/>
      <c r="C15" s="238"/>
      <c r="D15" s="1627" t="s">
        <v>304</v>
      </c>
      <c r="E15" s="1627"/>
      <c r="F15" s="245"/>
      <c r="G15" s="245"/>
      <c r="H15" s="245"/>
      <c r="I15" s="245"/>
      <c r="J15" s="245"/>
      <c r="K15" s="245"/>
      <c r="L15" s="245"/>
      <c r="M15" s="245"/>
      <c r="N15" s="1961"/>
      <c r="O15" s="246"/>
    </row>
    <row r="16" spans="1:15" s="583" customFormat="1" ht="18" customHeight="1">
      <c r="A16" s="37">
        <v>8</v>
      </c>
      <c r="B16" s="574"/>
      <c r="C16" s="575"/>
      <c r="D16" s="576"/>
      <c r="E16" s="577" t="s">
        <v>303</v>
      </c>
      <c r="F16" s="578">
        <v>9516</v>
      </c>
      <c r="G16" s="578"/>
      <c r="H16" s="578"/>
      <c r="I16" s="578"/>
      <c r="J16" s="578"/>
      <c r="K16" s="578"/>
      <c r="L16" s="578">
        <v>700</v>
      </c>
      <c r="M16" s="578">
        <v>356874</v>
      </c>
      <c r="N16" s="579">
        <v>277977</v>
      </c>
      <c r="O16" s="580">
        <f>SUM(F16:M16)</f>
        <v>367090</v>
      </c>
    </row>
    <row r="17" spans="1:15" s="583" customFormat="1" ht="18" customHeight="1">
      <c r="A17" s="37">
        <v>9</v>
      </c>
      <c r="B17" s="574"/>
      <c r="C17" s="575"/>
      <c r="D17" s="576"/>
      <c r="E17" s="483" t="s">
        <v>994</v>
      </c>
      <c r="F17" s="1022">
        <v>7516</v>
      </c>
      <c r="G17" s="1022"/>
      <c r="H17" s="1022"/>
      <c r="I17" s="1022"/>
      <c r="J17" s="1022"/>
      <c r="K17" s="1022"/>
      <c r="L17" s="1022">
        <v>27852</v>
      </c>
      <c r="M17" s="1022">
        <v>363908</v>
      </c>
      <c r="N17" s="1960">
        <v>281825</v>
      </c>
      <c r="O17" s="253">
        <f>SUM(F17:M17)</f>
        <v>399276</v>
      </c>
    </row>
    <row r="18" spans="1:16" s="213" customFormat="1" ht="18" customHeight="1">
      <c r="A18" s="37">
        <v>10</v>
      </c>
      <c r="B18" s="1018"/>
      <c r="C18" s="886"/>
      <c r="D18" s="1019"/>
      <c r="E18" s="1020" t="s">
        <v>1035</v>
      </c>
      <c r="F18" s="116">
        <v>6016</v>
      </c>
      <c r="G18" s="116"/>
      <c r="H18" s="116">
        <v>50</v>
      </c>
      <c r="I18" s="116"/>
      <c r="J18" s="116"/>
      <c r="K18" s="116"/>
      <c r="L18" s="116">
        <v>27852</v>
      </c>
      <c r="M18" s="116">
        <v>363908</v>
      </c>
      <c r="N18" s="116">
        <v>277839</v>
      </c>
      <c r="O18" s="888">
        <f>SUM(F18:M18)</f>
        <v>397826</v>
      </c>
      <c r="P18" s="26"/>
    </row>
    <row r="19" spans="1:15" s="110" customFormat="1" ht="22.5" customHeight="1">
      <c r="A19" s="37">
        <v>11</v>
      </c>
      <c r="B19" s="237">
        <v>3</v>
      </c>
      <c r="C19" s="238"/>
      <c r="D19" s="482" t="s">
        <v>261</v>
      </c>
      <c r="E19" s="482"/>
      <c r="F19" s="245"/>
      <c r="G19" s="245"/>
      <c r="H19" s="245"/>
      <c r="I19" s="245"/>
      <c r="J19" s="245"/>
      <c r="K19" s="245"/>
      <c r="L19" s="245"/>
      <c r="M19" s="245"/>
      <c r="N19" s="1961"/>
      <c r="O19" s="246"/>
    </row>
    <row r="20" spans="1:15" s="29" customFormat="1" ht="18" customHeight="1">
      <c r="A20" s="37">
        <v>12</v>
      </c>
      <c r="B20" s="239"/>
      <c r="C20" s="238"/>
      <c r="D20" s="481" t="s">
        <v>151</v>
      </c>
      <c r="E20" s="481"/>
      <c r="F20" s="247"/>
      <c r="G20" s="247"/>
      <c r="H20" s="247"/>
      <c r="I20" s="247"/>
      <c r="J20" s="247"/>
      <c r="K20" s="247"/>
      <c r="L20" s="247"/>
      <c r="M20" s="247"/>
      <c r="N20" s="1962"/>
      <c r="O20" s="255"/>
    </row>
    <row r="21" spans="1:16" s="582" customFormat="1" ht="18" customHeight="1">
      <c r="A21" s="37">
        <v>13</v>
      </c>
      <c r="B21" s="574"/>
      <c r="C21" s="575"/>
      <c r="D21" s="576"/>
      <c r="E21" s="577" t="s">
        <v>303</v>
      </c>
      <c r="F21" s="578">
        <v>17581</v>
      </c>
      <c r="G21" s="578"/>
      <c r="H21" s="578"/>
      <c r="I21" s="578"/>
      <c r="J21" s="578"/>
      <c r="K21" s="578"/>
      <c r="L21" s="578"/>
      <c r="M21" s="578">
        <v>411379</v>
      </c>
      <c r="N21" s="579">
        <v>365584</v>
      </c>
      <c r="O21" s="580">
        <f>SUM(F21:M21)</f>
        <v>428960</v>
      </c>
      <c r="P21" s="581"/>
    </row>
    <row r="22" spans="1:16" s="582" customFormat="1" ht="18" customHeight="1">
      <c r="A22" s="37">
        <v>14</v>
      </c>
      <c r="B22" s="574"/>
      <c r="C22" s="575"/>
      <c r="D22" s="576"/>
      <c r="E22" s="483" t="s">
        <v>994</v>
      </c>
      <c r="F22" s="1022">
        <v>12581</v>
      </c>
      <c r="G22" s="1022"/>
      <c r="H22" s="1022"/>
      <c r="I22" s="1022"/>
      <c r="J22" s="1022"/>
      <c r="K22" s="1022"/>
      <c r="L22" s="1022">
        <v>14940</v>
      </c>
      <c r="M22" s="1022">
        <v>423251</v>
      </c>
      <c r="N22" s="1960">
        <v>352435</v>
      </c>
      <c r="O22" s="253">
        <f>SUM(F22:M22)</f>
        <v>450772</v>
      </c>
      <c r="P22" s="581"/>
    </row>
    <row r="23" spans="1:16" s="213" customFormat="1" ht="18" customHeight="1">
      <c r="A23" s="37">
        <v>15</v>
      </c>
      <c r="B23" s="1018"/>
      <c r="C23" s="886"/>
      <c r="D23" s="1019"/>
      <c r="E23" s="1020" t="s">
        <v>1035</v>
      </c>
      <c r="F23" s="116">
        <v>9514</v>
      </c>
      <c r="G23" s="116"/>
      <c r="H23" s="116"/>
      <c r="I23" s="116"/>
      <c r="J23" s="116"/>
      <c r="K23" s="116"/>
      <c r="L23" s="116">
        <v>14940</v>
      </c>
      <c r="M23" s="116">
        <v>423251</v>
      </c>
      <c r="N23" s="116">
        <v>345127</v>
      </c>
      <c r="O23" s="888">
        <f>SUM(F23:M23)</f>
        <v>447705</v>
      </c>
      <c r="P23" s="26"/>
    </row>
    <row r="24" spans="1:15" s="111" customFormat="1" ht="22.5" customHeight="1">
      <c r="A24" s="37">
        <v>16</v>
      </c>
      <c r="B24" s="237">
        <v>4</v>
      </c>
      <c r="C24" s="238"/>
      <c r="D24" s="483" t="s">
        <v>262</v>
      </c>
      <c r="E24" s="483"/>
      <c r="F24" s="245"/>
      <c r="G24" s="245"/>
      <c r="H24" s="245"/>
      <c r="I24" s="245"/>
      <c r="J24" s="245"/>
      <c r="K24" s="245"/>
      <c r="L24" s="245"/>
      <c r="M24" s="245"/>
      <c r="N24" s="1961"/>
      <c r="O24" s="246"/>
    </row>
    <row r="25" spans="1:15" s="110" customFormat="1" ht="18" customHeight="1">
      <c r="A25" s="37">
        <v>17</v>
      </c>
      <c r="B25" s="239"/>
      <c r="C25" s="238"/>
      <c r="D25" s="481" t="s">
        <v>152</v>
      </c>
      <c r="E25" s="481"/>
      <c r="F25" s="247"/>
      <c r="G25" s="247"/>
      <c r="H25" s="247"/>
      <c r="I25" s="247"/>
      <c r="J25" s="247"/>
      <c r="K25" s="247"/>
      <c r="L25" s="247"/>
      <c r="M25" s="247"/>
      <c r="N25" s="1962"/>
      <c r="O25" s="255"/>
    </row>
    <row r="26" spans="1:15" s="584" customFormat="1" ht="18" customHeight="1">
      <c r="A26" s="37">
        <v>18</v>
      </c>
      <c r="B26" s="574"/>
      <c r="C26" s="575"/>
      <c r="D26" s="576"/>
      <c r="E26" s="577" t="s">
        <v>303</v>
      </c>
      <c r="F26" s="578">
        <v>10020</v>
      </c>
      <c r="G26" s="578"/>
      <c r="H26" s="578"/>
      <c r="I26" s="578"/>
      <c r="J26" s="578"/>
      <c r="K26" s="578"/>
      <c r="L26" s="578"/>
      <c r="M26" s="578">
        <v>309492</v>
      </c>
      <c r="N26" s="579">
        <v>193144</v>
      </c>
      <c r="O26" s="580">
        <f>SUM(F26:M26)</f>
        <v>319512</v>
      </c>
    </row>
    <row r="27" spans="1:15" s="584" customFormat="1" ht="18" customHeight="1">
      <c r="A27" s="37">
        <v>19</v>
      </c>
      <c r="B27" s="574"/>
      <c r="C27" s="575"/>
      <c r="D27" s="576"/>
      <c r="E27" s="483" t="s">
        <v>994</v>
      </c>
      <c r="F27" s="1022">
        <v>8030</v>
      </c>
      <c r="G27" s="1022">
        <v>150</v>
      </c>
      <c r="H27" s="1022"/>
      <c r="I27" s="1022"/>
      <c r="J27" s="1022"/>
      <c r="K27" s="1022"/>
      <c r="L27" s="1022">
        <v>18433</v>
      </c>
      <c r="M27" s="1022">
        <v>306945</v>
      </c>
      <c r="N27" s="1960">
        <v>222860</v>
      </c>
      <c r="O27" s="253">
        <f>SUM(F27:M27)</f>
        <v>333558</v>
      </c>
    </row>
    <row r="28" spans="1:16" s="213" customFormat="1" ht="18" customHeight="1">
      <c r="A28" s="37">
        <v>20</v>
      </c>
      <c r="B28" s="1018"/>
      <c r="C28" s="886"/>
      <c r="D28" s="1019"/>
      <c r="E28" s="1020" t="s">
        <v>1035</v>
      </c>
      <c r="F28" s="116">
        <v>8264</v>
      </c>
      <c r="G28" s="116">
        <v>150</v>
      </c>
      <c r="H28" s="116"/>
      <c r="I28" s="116"/>
      <c r="J28" s="116"/>
      <c r="K28" s="116"/>
      <c r="L28" s="116">
        <v>18433</v>
      </c>
      <c r="M28" s="116">
        <v>306945</v>
      </c>
      <c r="N28" s="116">
        <v>219982</v>
      </c>
      <c r="O28" s="888">
        <f>SUM(F28:M28)</f>
        <v>333792</v>
      </c>
      <c r="P28" s="26"/>
    </row>
    <row r="29" spans="1:15" s="32" customFormat="1" ht="22.5" customHeight="1">
      <c r="A29" s="37">
        <v>21</v>
      </c>
      <c r="B29" s="237">
        <v>5</v>
      </c>
      <c r="C29" s="238"/>
      <c r="D29" s="483" t="s">
        <v>263</v>
      </c>
      <c r="E29" s="483"/>
      <c r="F29" s="245"/>
      <c r="G29" s="245"/>
      <c r="H29" s="245"/>
      <c r="I29" s="245"/>
      <c r="J29" s="245"/>
      <c r="K29" s="245"/>
      <c r="L29" s="245"/>
      <c r="M29" s="245"/>
      <c r="N29" s="1961"/>
      <c r="O29" s="246"/>
    </row>
    <row r="30" spans="1:15" s="111" customFormat="1" ht="18" customHeight="1">
      <c r="A30" s="37">
        <v>22</v>
      </c>
      <c r="B30" s="239"/>
      <c r="C30" s="238"/>
      <c r="D30" s="481" t="s">
        <v>153</v>
      </c>
      <c r="E30" s="481"/>
      <c r="F30" s="247"/>
      <c r="G30" s="247"/>
      <c r="H30" s="247"/>
      <c r="I30" s="247"/>
      <c r="J30" s="247"/>
      <c r="K30" s="247"/>
      <c r="L30" s="247"/>
      <c r="M30" s="247"/>
      <c r="N30" s="1962"/>
      <c r="O30" s="255"/>
    </row>
    <row r="31" spans="1:15" s="583" customFormat="1" ht="18" customHeight="1">
      <c r="A31" s="37">
        <v>23</v>
      </c>
      <c r="B31" s="574"/>
      <c r="C31" s="575"/>
      <c r="D31" s="576"/>
      <c r="E31" s="577" t="s">
        <v>303</v>
      </c>
      <c r="F31" s="578">
        <v>18635</v>
      </c>
      <c r="G31" s="578"/>
      <c r="H31" s="578"/>
      <c r="I31" s="578"/>
      <c r="J31" s="578"/>
      <c r="K31" s="578"/>
      <c r="L31" s="578"/>
      <c r="M31" s="578">
        <v>322903</v>
      </c>
      <c r="N31" s="579">
        <v>237570</v>
      </c>
      <c r="O31" s="580">
        <f>SUM(F31:M31)</f>
        <v>341538</v>
      </c>
    </row>
    <row r="32" spans="1:15" s="583" customFormat="1" ht="18" customHeight="1">
      <c r="A32" s="37">
        <v>24</v>
      </c>
      <c r="B32" s="574"/>
      <c r="C32" s="575"/>
      <c r="D32" s="576"/>
      <c r="E32" s="483" t="s">
        <v>994</v>
      </c>
      <c r="F32" s="1022">
        <v>14535</v>
      </c>
      <c r="G32" s="1022"/>
      <c r="H32" s="1022"/>
      <c r="I32" s="1022"/>
      <c r="J32" s="1022"/>
      <c r="K32" s="1022"/>
      <c r="L32" s="1022">
        <v>11805</v>
      </c>
      <c r="M32" s="1022">
        <v>339622</v>
      </c>
      <c r="N32" s="1960">
        <v>254373</v>
      </c>
      <c r="O32" s="253">
        <f>SUM(F32:M32)</f>
        <v>365962</v>
      </c>
    </row>
    <row r="33" spans="1:16" s="213" customFormat="1" ht="18" customHeight="1">
      <c r="A33" s="37">
        <v>25</v>
      </c>
      <c r="B33" s="1018"/>
      <c r="C33" s="886"/>
      <c r="D33" s="1019"/>
      <c r="E33" s="1020" t="s">
        <v>1035</v>
      </c>
      <c r="F33" s="116">
        <v>14426</v>
      </c>
      <c r="G33" s="116"/>
      <c r="H33" s="116"/>
      <c r="I33" s="116"/>
      <c r="J33" s="116"/>
      <c r="K33" s="116"/>
      <c r="L33" s="116">
        <v>11805</v>
      </c>
      <c r="M33" s="116">
        <v>339622</v>
      </c>
      <c r="N33" s="116">
        <v>252534</v>
      </c>
      <c r="O33" s="888">
        <f>SUM(F33:M33)</f>
        <v>365853</v>
      </c>
      <c r="P33" s="26"/>
    </row>
    <row r="34" spans="1:15" s="32" customFormat="1" ht="22.5" customHeight="1">
      <c r="A34" s="37">
        <v>26</v>
      </c>
      <c r="B34" s="237">
        <v>6</v>
      </c>
      <c r="C34" s="238"/>
      <c r="D34" s="483" t="s">
        <v>264</v>
      </c>
      <c r="E34" s="483"/>
      <c r="F34" s="245"/>
      <c r="G34" s="245"/>
      <c r="H34" s="245"/>
      <c r="I34" s="245"/>
      <c r="J34" s="245"/>
      <c r="K34" s="245"/>
      <c r="L34" s="245"/>
      <c r="M34" s="245"/>
      <c r="N34" s="1961"/>
      <c r="O34" s="246"/>
    </row>
    <row r="35" spans="1:15" s="32" customFormat="1" ht="18" customHeight="1">
      <c r="A35" s="37">
        <v>27</v>
      </c>
      <c r="B35" s="239"/>
      <c r="C35" s="238"/>
      <c r="D35" s="481" t="s">
        <v>154</v>
      </c>
      <c r="E35" s="481"/>
      <c r="F35" s="247"/>
      <c r="G35" s="247"/>
      <c r="H35" s="247"/>
      <c r="I35" s="247"/>
      <c r="J35" s="247"/>
      <c r="K35" s="247"/>
      <c r="L35" s="247"/>
      <c r="M35" s="247"/>
      <c r="N35" s="1962"/>
      <c r="O35" s="255"/>
    </row>
    <row r="36" spans="1:15" s="585" customFormat="1" ht="18" customHeight="1">
      <c r="A36" s="37">
        <v>28</v>
      </c>
      <c r="B36" s="574"/>
      <c r="C36" s="575"/>
      <c r="D36" s="576"/>
      <c r="E36" s="577" t="s">
        <v>303</v>
      </c>
      <c r="F36" s="578">
        <v>5441</v>
      </c>
      <c r="G36" s="578"/>
      <c r="H36" s="578"/>
      <c r="I36" s="578"/>
      <c r="J36" s="578"/>
      <c r="K36" s="578"/>
      <c r="L36" s="578"/>
      <c r="M36" s="578">
        <v>166965</v>
      </c>
      <c r="N36" s="579">
        <v>119083</v>
      </c>
      <c r="O36" s="580">
        <f>SUM(F36:M36)</f>
        <v>172406</v>
      </c>
    </row>
    <row r="37" spans="1:15" s="585" customFormat="1" ht="18" customHeight="1">
      <c r="A37" s="37">
        <v>29</v>
      </c>
      <c r="B37" s="574"/>
      <c r="C37" s="575"/>
      <c r="D37" s="576"/>
      <c r="E37" s="483" t="s">
        <v>994</v>
      </c>
      <c r="F37" s="1022">
        <v>2968</v>
      </c>
      <c r="G37" s="1022"/>
      <c r="H37" s="1022"/>
      <c r="I37" s="1022"/>
      <c r="J37" s="1022"/>
      <c r="K37" s="1022"/>
      <c r="L37" s="1022">
        <v>15211</v>
      </c>
      <c r="M37" s="1022">
        <v>169160</v>
      </c>
      <c r="N37" s="1960">
        <v>125520</v>
      </c>
      <c r="O37" s="253">
        <f>SUM(F37:M37)</f>
        <v>187339</v>
      </c>
    </row>
    <row r="38" spans="1:16" s="213" customFormat="1" ht="18" customHeight="1">
      <c r="A38" s="37">
        <v>30</v>
      </c>
      <c r="B38" s="1018"/>
      <c r="C38" s="886"/>
      <c r="D38" s="1019"/>
      <c r="E38" s="1020" t="s">
        <v>1035</v>
      </c>
      <c r="F38" s="116">
        <v>5191</v>
      </c>
      <c r="G38" s="116"/>
      <c r="H38" s="116"/>
      <c r="I38" s="116"/>
      <c r="J38" s="116"/>
      <c r="K38" s="116"/>
      <c r="L38" s="116">
        <v>15211</v>
      </c>
      <c r="M38" s="116">
        <v>169160</v>
      </c>
      <c r="N38" s="116">
        <v>131019</v>
      </c>
      <c r="O38" s="888">
        <f>SUM(F38:M38)</f>
        <v>189562</v>
      </c>
      <c r="P38" s="26"/>
    </row>
    <row r="39" spans="1:16" ht="18" customHeight="1">
      <c r="A39" s="37">
        <v>31</v>
      </c>
      <c r="B39" s="240"/>
      <c r="C39" s="238">
        <v>1</v>
      </c>
      <c r="D39" s="2034" t="s">
        <v>150</v>
      </c>
      <c r="E39" s="2035"/>
      <c r="F39" s="242"/>
      <c r="G39" s="242"/>
      <c r="H39" s="242"/>
      <c r="I39" s="242"/>
      <c r="J39" s="242"/>
      <c r="K39" s="242"/>
      <c r="L39" s="242"/>
      <c r="M39" s="242"/>
      <c r="N39" s="243"/>
      <c r="O39" s="244"/>
      <c r="P39" s="25"/>
    </row>
    <row r="40" spans="1:16" s="582" customFormat="1" ht="18" customHeight="1">
      <c r="A40" s="37">
        <v>32</v>
      </c>
      <c r="B40" s="586"/>
      <c r="C40" s="587"/>
      <c r="D40" s="588"/>
      <c r="E40" s="589" t="s">
        <v>303</v>
      </c>
      <c r="F40" s="590"/>
      <c r="G40" s="590">
        <v>2225</v>
      </c>
      <c r="H40" s="590"/>
      <c r="I40" s="590"/>
      <c r="J40" s="590"/>
      <c r="K40" s="590"/>
      <c r="L40" s="590"/>
      <c r="M40" s="590"/>
      <c r="N40" s="1963"/>
      <c r="O40" s="591">
        <f>SUM(F40:M40)</f>
        <v>2225</v>
      </c>
      <c r="P40" s="581"/>
    </row>
    <row r="41" spans="1:16" s="582" customFormat="1" ht="18" customHeight="1">
      <c r="A41" s="37">
        <v>33</v>
      </c>
      <c r="B41" s="586"/>
      <c r="C41" s="587"/>
      <c r="D41" s="588"/>
      <c r="E41" s="483" t="s">
        <v>994</v>
      </c>
      <c r="F41" s="590"/>
      <c r="G41" s="1278">
        <v>2225</v>
      </c>
      <c r="H41" s="590"/>
      <c r="I41" s="590"/>
      <c r="J41" s="590"/>
      <c r="K41" s="590"/>
      <c r="L41" s="590"/>
      <c r="M41" s="590"/>
      <c r="N41" s="1963"/>
      <c r="O41" s="253">
        <f>SUM(F41:M41)</f>
        <v>2225</v>
      </c>
      <c r="P41" s="581"/>
    </row>
    <row r="42" spans="1:16" s="213" customFormat="1" ht="18" customHeight="1" thickBot="1">
      <c r="A42" s="37">
        <v>34</v>
      </c>
      <c r="B42" s="1018"/>
      <c r="C42" s="886"/>
      <c r="D42" s="1019"/>
      <c r="E42" s="1020" t="s">
        <v>1036</v>
      </c>
      <c r="F42" s="116"/>
      <c r="G42" s="116">
        <v>0</v>
      </c>
      <c r="H42" s="116"/>
      <c r="I42" s="116"/>
      <c r="J42" s="116"/>
      <c r="K42" s="116"/>
      <c r="L42" s="116"/>
      <c r="M42" s="116"/>
      <c r="N42" s="116"/>
      <c r="O42" s="888">
        <f>SUM(F42:M42)</f>
        <v>0</v>
      </c>
      <c r="P42" s="26"/>
    </row>
    <row r="43" spans="1:15" s="25" customFormat="1" ht="22.5" customHeight="1" thickTop="1">
      <c r="A43" s="37">
        <v>35</v>
      </c>
      <c r="B43" s="239"/>
      <c r="C43" s="2036" t="s">
        <v>588</v>
      </c>
      <c r="D43" s="2037"/>
      <c r="E43" s="2038"/>
      <c r="F43" s="572"/>
      <c r="G43" s="572"/>
      <c r="H43" s="572"/>
      <c r="I43" s="572"/>
      <c r="J43" s="572"/>
      <c r="K43" s="572"/>
      <c r="L43" s="572"/>
      <c r="M43" s="572"/>
      <c r="N43" s="511"/>
      <c r="O43" s="573"/>
    </row>
    <row r="44" spans="1:16" s="582" customFormat="1" ht="18" customHeight="1">
      <c r="A44" s="37">
        <v>36</v>
      </c>
      <c r="B44" s="586"/>
      <c r="C44" s="587"/>
      <c r="D44" s="588"/>
      <c r="E44" s="589" t="s">
        <v>303</v>
      </c>
      <c r="F44" s="590">
        <f aca="true" t="shared" si="0" ref="F44:N44">SUM(F11,F16,F21,F26,F31,F36,F40)</f>
        <v>66133</v>
      </c>
      <c r="G44" s="590">
        <f t="shared" si="0"/>
        <v>2225</v>
      </c>
      <c r="H44" s="590">
        <f t="shared" si="0"/>
        <v>0</v>
      </c>
      <c r="I44" s="590">
        <f t="shared" si="0"/>
        <v>0</v>
      </c>
      <c r="J44" s="590">
        <f t="shared" si="0"/>
        <v>0</v>
      </c>
      <c r="K44" s="590">
        <f t="shared" si="0"/>
        <v>0</v>
      </c>
      <c r="L44" s="590">
        <f t="shared" si="0"/>
        <v>1410</v>
      </c>
      <c r="M44" s="590">
        <f t="shared" si="0"/>
        <v>1775588</v>
      </c>
      <c r="N44" s="1963">
        <f t="shared" si="0"/>
        <v>1335966</v>
      </c>
      <c r="O44" s="591">
        <f>SUM(F44:M44)</f>
        <v>1845356</v>
      </c>
      <c r="P44" s="581"/>
    </row>
    <row r="45" spans="1:16" s="582" customFormat="1" ht="18" customHeight="1">
      <c r="A45" s="37">
        <v>37</v>
      </c>
      <c r="B45" s="586"/>
      <c r="C45" s="587"/>
      <c r="D45" s="588"/>
      <c r="E45" s="483" t="s">
        <v>994</v>
      </c>
      <c r="F45" s="1278">
        <f aca="true" t="shared" si="1" ref="F45:N45">SUM(F12,F17,F22,F27,F32,F37,F41)</f>
        <v>50570</v>
      </c>
      <c r="G45" s="1278">
        <f t="shared" si="1"/>
        <v>2375</v>
      </c>
      <c r="H45" s="1278">
        <f t="shared" si="1"/>
        <v>0</v>
      </c>
      <c r="I45" s="1278">
        <f t="shared" si="1"/>
        <v>0</v>
      </c>
      <c r="J45" s="1278">
        <f t="shared" si="1"/>
        <v>0</v>
      </c>
      <c r="K45" s="1278">
        <f t="shared" si="1"/>
        <v>0</v>
      </c>
      <c r="L45" s="1278">
        <f t="shared" si="1"/>
        <v>94265</v>
      </c>
      <c r="M45" s="1278">
        <f t="shared" si="1"/>
        <v>1812788</v>
      </c>
      <c r="N45" s="1964">
        <f t="shared" si="1"/>
        <v>1390144</v>
      </c>
      <c r="O45" s="1279">
        <f>SUM(F45:M45)</f>
        <v>1959998</v>
      </c>
      <c r="P45" s="581"/>
    </row>
    <row r="46" spans="1:16" s="213" customFormat="1" ht="18" customHeight="1" thickBot="1">
      <c r="A46" s="37">
        <v>38</v>
      </c>
      <c r="B46" s="1018"/>
      <c r="C46" s="1503"/>
      <c r="D46" s="1504"/>
      <c r="E46" s="1505" t="s">
        <v>1036</v>
      </c>
      <c r="F46" s="1506">
        <f aca="true" t="shared" si="2" ref="F46:N46">SUM(F13:F13,F18:F18,F23:F23,F28:F28,F33:F33,F38:F38,F42)</f>
        <v>47045</v>
      </c>
      <c r="G46" s="1506">
        <f t="shared" si="2"/>
        <v>150</v>
      </c>
      <c r="H46" s="1506">
        <f t="shared" si="2"/>
        <v>50</v>
      </c>
      <c r="I46" s="1506">
        <f t="shared" si="2"/>
        <v>0</v>
      </c>
      <c r="J46" s="1506">
        <f t="shared" si="2"/>
        <v>0</v>
      </c>
      <c r="K46" s="1506">
        <f t="shared" si="2"/>
        <v>0</v>
      </c>
      <c r="L46" s="1506">
        <f t="shared" si="2"/>
        <v>94265</v>
      </c>
      <c r="M46" s="1506">
        <f t="shared" si="2"/>
        <v>1812788</v>
      </c>
      <c r="N46" s="1506">
        <f t="shared" si="2"/>
        <v>1377741</v>
      </c>
      <c r="O46" s="1507">
        <f>SUM(F46:M46)</f>
        <v>1954298</v>
      </c>
      <c r="P46" s="26"/>
    </row>
    <row r="47" spans="1:15" s="29" customFormat="1" ht="22.5" customHeight="1" thickTop="1">
      <c r="A47" s="37">
        <v>39</v>
      </c>
      <c r="B47" s="248">
        <v>7</v>
      </c>
      <c r="C47" s="249"/>
      <c r="D47" s="484" t="s">
        <v>354</v>
      </c>
      <c r="E47" s="484"/>
      <c r="F47" s="250"/>
      <c r="G47" s="250"/>
      <c r="H47" s="250"/>
      <c r="I47" s="250"/>
      <c r="J47" s="250"/>
      <c r="K47" s="250"/>
      <c r="L47" s="250"/>
      <c r="M47" s="250"/>
      <c r="N47" s="1965"/>
      <c r="O47" s="251"/>
    </row>
    <row r="48" spans="1:15" s="581" customFormat="1" ht="18" customHeight="1">
      <c r="A48" s="37">
        <v>40</v>
      </c>
      <c r="B48" s="574"/>
      <c r="C48" s="575"/>
      <c r="D48" s="576"/>
      <c r="E48" s="577" t="s">
        <v>303</v>
      </c>
      <c r="F48" s="594">
        <v>21777</v>
      </c>
      <c r="G48" s="594">
        <v>1473</v>
      </c>
      <c r="H48" s="594"/>
      <c r="I48" s="594"/>
      <c r="J48" s="594"/>
      <c r="K48" s="594"/>
      <c r="L48" s="594">
        <v>1630</v>
      </c>
      <c r="M48" s="594">
        <v>972097</v>
      </c>
      <c r="N48" s="595">
        <v>747388</v>
      </c>
      <c r="O48" s="592">
        <f>SUM(F48:M48)</f>
        <v>996977</v>
      </c>
    </row>
    <row r="49" spans="1:15" s="581" customFormat="1" ht="18" customHeight="1">
      <c r="A49" s="37">
        <v>41</v>
      </c>
      <c r="B49" s="574"/>
      <c r="C49" s="575"/>
      <c r="D49" s="576"/>
      <c r="E49" s="483" t="s">
        <v>994</v>
      </c>
      <c r="F49" s="1036">
        <v>15700</v>
      </c>
      <c r="G49" s="1036">
        <v>10508</v>
      </c>
      <c r="H49" s="1036"/>
      <c r="I49" s="1036">
        <v>1550</v>
      </c>
      <c r="J49" s="1036"/>
      <c r="K49" s="1036"/>
      <c r="L49" s="1036">
        <v>48020</v>
      </c>
      <c r="M49" s="1036">
        <v>1016287</v>
      </c>
      <c r="N49" s="1045">
        <v>786556</v>
      </c>
      <c r="O49" s="253">
        <f>SUM(F49:M49)</f>
        <v>1092065</v>
      </c>
    </row>
    <row r="50" spans="1:16" s="213" customFormat="1" ht="18" customHeight="1">
      <c r="A50" s="37">
        <v>42</v>
      </c>
      <c r="B50" s="1018"/>
      <c r="C50" s="886"/>
      <c r="D50" s="1019"/>
      <c r="E50" s="1020" t="s">
        <v>1035</v>
      </c>
      <c r="F50" s="116">
        <v>21493</v>
      </c>
      <c r="G50" s="116">
        <v>10872</v>
      </c>
      <c r="H50" s="116"/>
      <c r="I50" s="116">
        <v>1550</v>
      </c>
      <c r="J50" s="116"/>
      <c r="K50" s="116"/>
      <c r="L50" s="116">
        <v>48020</v>
      </c>
      <c r="M50" s="116">
        <v>1016287</v>
      </c>
      <c r="N50" s="116">
        <v>783789</v>
      </c>
      <c r="O50" s="888">
        <f>SUM(F50:N50)</f>
        <v>1882011</v>
      </c>
      <c r="P50" s="26"/>
    </row>
    <row r="51" spans="1:16" s="215" customFormat="1" ht="22.5" customHeight="1">
      <c r="A51" s="37">
        <v>43</v>
      </c>
      <c r="B51" s="237">
        <v>8</v>
      </c>
      <c r="C51" s="238"/>
      <c r="D51" s="483" t="s">
        <v>123</v>
      </c>
      <c r="E51" s="483"/>
      <c r="F51" s="242"/>
      <c r="G51" s="242"/>
      <c r="H51" s="242"/>
      <c r="I51" s="242"/>
      <c r="J51" s="242"/>
      <c r="K51" s="242"/>
      <c r="L51" s="242"/>
      <c r="M51" s="242"/>
      <c r="N51" s="243"/>
      <c r="O51" s="244"/>
      <c r="P51" s="29"/>
    </row>
    <row r="52" spans="1:15" s="583" customFormat="1" ht="18" customHeight="1">
      <c r="A52" s="37">
        <v>44</v>
      </c>
      <c r="B52" s="574"/>
      <c r="C52" s="575"/>
      <c r="D52" s="576"/>
      <c r="E52" s="577" t="s">
        <v>303</v>
      </c>
      <c r="F52" s="594">
        <v>13800</v>
      </c>
      <c r="G52" s="594"/>
      <c r="H52" s="594"/>
      <c r="I52" s="594"/>
      <c r="J52" s="594"/>
      <c r="K52" s="594"/>
      <c r="L52" s="594"/>
      <c r="M52" s="594">
        <v>55450</v>
      </c>
      <c r="N52" s="595">
        <v>32245</v>
      </c>
      <c r="O52" s="592">
        <f>SUM(F52:M52)</f>
        <v>69250</v>
      </c>
    </row>
    <row r="53" spans="1:15" s="583" customFormat="1" ht="18" customHeight="1">
      <c r="A53" s="37">
        <v>45</v>
      </c>
      <c r="B53" s="574"/>
      <c r="C53" s="575"/>
      <c r="D53" s="576"/>
      <c r="E53" s="483" t="s">
        <v>994</v>
      </c>
      <c r="F53" s="1036">
        <v>10425</v>
      </c>
      <c r="G53" s="1036"/>
      <c r="H53" s="1036"/>
      <c r="I53" s="1036"/>
      <c r="J53" s="1036"/>
      <c r="K53" s="1036"/>
      <c r="L53" s="1036">
        <v>16507</v>
      </c>
      <c r="M53" s="1036">
        <v>78013</v>
      </c>
      <c r="N53" s="1045">
        <v>53534</v>
      </c>
      <c r="O53" s="253">
        <f>SUM(F53:M53)</f>
        <v>104945</v>
      </c>
    </row>
    <row r="54" spans="1:16" s="213" customFormat="1" ht="18" customHeight="1">
      <c r="A54" s="37">
        <v>46</v>
      </c>
      <c r="B54" s="1018"/>
      <c r="C54" s="886"/>
      <c r="D54" s="1019"/>
      <c r="E54" s="1020" t="s">
        <v>1035</v>
      </c>
      <c r="F54" s="116">
        <v>9656</v>
      </c>
      <c r="G54" s="116"/>
      <c r="H54" s="116"/>
      <c r="I54" s="116"/>
      <c r="J54" s="116"/>
      <c r="K54" s="116"/>
      <c r="L54" s="116">
        <v>16507</v>
      </c>
      <c r="M54" s="116">
        <v>78013</v>
      </c>
      <c r="N54" s="116">
        <f>47066+6529</f>
        <v>53595</v>
      </c>
      <c r="O54" s="888">
        <f>SUM(F54:M54)</f>
        <v>104176</v>
      </c>
      <c r="P54" s="26"/>
    </row>
    <row r="55" spans="1:16" s="215" customFormat="1" ht="22.5" customHeight="1">
      <c r="A55" s="37">
        <v>47</v>
      </c>
      <c r="B55" s="237">
        <v>9</v>
      </c>
      <c r="C55" s="238"/>
      <c r="D55" s="483" t="s">
        <v>495</v>
      </c>
      <c r="E55" s="483"/>
      <c r="F55" s="242"/>
      <c r="G55" s="242"/>
      <c r="H55" s="242"/>
      <c r="I55" s="242"/>
      <c r="J55" s="242"/>
      <c r="K55" s="242"/>
      <c r="L55" s="242"/>
      <c r="M55" s="242"/>
      <c r="N55" s="243"/>
      <c r="O55" s="244"/>
      <c r="P55" s="29"/>
    </row>
    <row r="56" spans="1:15" s="583" customFormat="1" ht="18" customHeight="1">
      <c r="A56" s="37">
        <v>48</v>
      </c>
      <c r="B56" s="574"/>
      <c r="C56" s="587"/>
      <c r="D56" s="588"/>
      <c r="E56" s="598" t="s">
        <v>303</v>
      </c>
      <c r="F56" s="599">
        <v>1800</v>
      </c>
      <c r="G56" s="599"/>
      <c r="H56" s="599"/>
      <c r="I56" s="599"/>
      <c r="J56" s="599"/>
      <c r="K56" s="599"/>
      <c r="L56" s="599">
        <v>1150</v>
      </c>
      <c r="M56" s="599">
        <v>240692</v>
      </c>
      <c r="N56" s="1956">
        <v>148192</v>
      </c>
      <c r="O56" s="593">
        <f>SUM(F56:M56)</f>
        <v>243642</v>
      </c>
    </row>
    <row r="57" spans="1:15" s="583" customFormat="1" ht="18" customHeight="1">
      <c r="A57" s="37">
        <v>49</v>
      </c>
      <c r="B57" s="574"/>
      <c r="C57" s="587"/>
      <c r="D57" s="588"/>
      <c r="E57" s="483" t="s">
        <v>994</v>
      </c>
      <c r="F57" s="1056">
        <v>1800</v>
      </c>
      <c r="G57" s="1056"/>
      <c r="H57" s="1056"/>
      <c r="I57" s="1056"/>
      <c r="J57" s="1056"/>
      <c r="K57" s="1056"/>
      <c r="L57" s="1056">
        <v>28349</v>
      </c>
      <c r="M57" s="1056">
        <v>312578</v>
      </c>
      <c r="N57" s="1957">
        <v>232122</v>
      </c>
      <c r="O57" s="253">
        <f>SUM(F57:M57)</f>
        <v>342727</v>
      </c>
    </row>
    <row r="58" spans="1:16" s="213" customFormat="1" ht="18" customHeight="1" thickBot="1">
      <c r="A58" s="37">
        <v>50</v>
      </c>
      <c r="B58" s="1018"/>
      <c r="C58" s="886"/>
      <c r="D58" s="1019"/>
      <c r="E58" s="1020" t="s">
        <v>1035</v>
      </c>
      <c r="F58" s="116">
        <v>2937</v>
      </c>
      <c r="G58" s="116"/>
      <c r="H58" s="116"/>
      <c r="I58" s="116"/>
      <c r="J58" s="116"/>
      <c r="K58" s="116"/>
      <c r="L58" s="116">
        <v>28349</v>
      </c>
      <c r="M58" s="116">
        <v>312578</v>
      </c>
      <c r="N58" s="116">
        <v>225060</v>
      </c>
      <c r="O58" s="888">
        <f>SUM(F58:M58)</f>
        <v>343864</v>
      </c>
      <c r="P58" s="26"/>
    </row>
    <row r="59" spans="1:15" s="32" customFormat="1" ht="22.5" customHeight="1" thickTop="1">
      <c r="A59" s="37">
        <v>51</v>
      </c>
      <c r="B59" s="239"/>
      <c r="C59" s="2036" t="s">
        <v>589</v>
      </c>
      <c r="D59" s="2037"/>
      <c r="E59" s="2038"/>
      <c r="F59" s="572"/>
      <c r="G59" s="572"/>
      <c r="H59" s="572"/>
      <c r="I59" s="572"/>
      <c r="J59" s="572"/>
      <c r="K59" s="572"/>
      <c r="L59" s="572"/>
      <c r="M59" s="572"/>
      <c r="N59" s="572"/>
      <c r="O59" s="573"/>
    </row>
    <row r="60" spans="1:15" s="583" customFormat="1" ht="18" customHeight="1">
      <c r="A60" s="37">
        <v>52</v>
      </c>
      <c r="B60" s="574"/>
      <c r="C60" s="587"/>
      <c r="D60" s="588"/>
      <c r="E60" s="598" t="s">
        <v>303</v>
      </c>
      <c r="F60" s="599">
        <f aca="true" t="shared" si="3" ref="F60:N60">SUM(F48,F52,F56)</f>
        <v>37377</v>
      </c>
      <c r="G60" s="599">
        <f t="shared" si="3"/>
        <v>1473</v>
      </c>
      <c r="H60" s="599">
        <f t="shared" si="3"/>
        <v>0</v>
      </c>
      <c r="I60" s="599">
        <f t="shared" si="3"/>
        <v>0</v>
      </c>
      <c r="J60" s="599">
        <f t="shared" si="3"/>
        <v>0</v>
      </c>
      <c r="K60" s="599">
        <f t="shared" si="3"/>
        <v>0</v>
      </c>
      <c r="L60" s="599">
        <f t="shared" si="3"/>
        <v>2780</v>
      </c>
      <c r="M60" s="599">
        <f t="shared" si="3"/>
        <v>1268239</v>
      </c>
      <c r="N60" s="1956">
        <f t="shared" si="3"/>
        <v>927825</v>
      </c>
      <c r="O60" s="593">
        <f>SUM(F60:M60)</f>
        <v>1309869</v>
      </c>
    </row>
    <row r="61" spans="1:15" s="583" customFormat="1" ht="18" customHeight="1">
      <c r="A61" s="37">
        <v>53</v>
      </c>
      <c r="B61" s="574"/>
      <c r="C61" s="587"/>
      <c r="D61" s="588"/>
      <c r="E61" s="483" t="s">
        <v>994</v>
      </c>
      <c r="F61" s="1056">
        <f aca="true" t="shared" si="4" ref="F61:N61">SUM(F49,F53,F57)</f>
        <v>27925</v>
      </c>
      <c r="G61" s="1056">
        <f t="shared" si="4"/>
        <v>10508</v>
      </c>
      <c r="H61" s="1056">
        <f t="shared" si="4"/>
        <v>0</v>
      </c>
      <c r="I61" s="1056">
        <f t="shared" si="4"/>
        <v>1550</v>
      </c>
      <c r="J61" s="1056">
        <f t="shared" si="4"/>
        <v>0</v>
      </c>
      <c r="K61" s="1056">
        <f t="shared" si="4"/>
        <v>0</v>
      </c>
      <c r="L61" s="1056">
        <f t="shared" si="4"/>
        <v>92876</v>
      </c>
      <c r="M61" s="1056">
        <f t="shared" si="4"/>
        <v>1406878</v>
      </c>
      <c r="N61" s="1957">
        <f t="shared" si="4"/>
        <v>1072212</v>
      </c>
      <c r="O61" s="1280">
        <f>SUM(F61:M61)</f>
        <v>1539737</v>
      </c>
    </row>
    <row r="62" spans="1:16" s="213" customFormat="1" ht="18" customHeight="1" thickBot="1">
      <c r="A62" s="37">
        <v>54</v>
      </c>
      <c r="B62" s="1018"/>
      <c r="C62" s="1503"/>
      <c r="D62" s="1504"/>
      <c r="E62" s="1505" t="s">
        <v>1036</v>
      </c>
      <c r="F62" s="1506">
        <f aca="true" t="shared" si="5" ref="F62:N62">SUM(F50:F50,F54:F54,F58:F58)</f>
        <v>34086</v>
      </c>
      <c r="G62" s="1506">
        <f t="shared" si="5"/>
        <v>10872</v>
      </c>
      <c r="H62" s="1506">
        <f t="shared" si="5"/>
        <v>0</v>
      </c>
      <c r="I62" s="1506">
        <f t="shared" si="5"/>
        <v>1550</v>
      </c>
      <c r="J62" s="1506">
        <f t="shared" si="5"/>
        <v>0</v>
      </c>
      <c r="K62" s="1506">
        <f t="shared" si="5"/>
        <v>0</v>
      </c>
      <c r="L62" s="1506">
        <f t="shared" si="5"/>
        <v>92876</v>
      </c>
      <c r="M62" s="1506">
        <f t="shared" si="5"/>
        <v>1406878</v>
      </c>
      <c r="N62" s="1506">
        <f t="shared" si="5"/>
        <v>1062444</v>
      </c>
      <c r="O62" s="1507">
        <f>SUM(F62:M62)</f>
        <v>1546262</v>
      </c>
      <c r="P62" s="26"/>
    </row>
    <row r="63" spans="1:16" s="26" customFormat="1" ht="22.5" customHeight="1" thickTop="1">
      <c r="A63" s="37">
        <v>55</v>
      </c>
      <c r="B63" s="248">
        <v>10</v>
      </c>
      <c r="C63" s="249"/>
      <c r="D63" s="484" t="s">
        <v>497</v>
      </c>
      <c r="E63" s="485"/>
      <c r="F63" s="256"/>
      <c r="G63" s="256"/>
      <c r="H63" s="256"/>
      <c r="I63" s="256"/>
      <c r="J63" s="256"/>
      <c r="K63" s="256"/>
      <c r="L63" s="256"/>
      <c r="M63" s="256"/>
      <c r="N63" s="1955"/>
      <c r="O63" s="257"/>
      <c r="P63" s="25"/>
    </row>
    <row r="64" spans="1:15" s="581" customFormat="1" ht="18" customHeight="1">
      <c r="A64" s="37">
        <v>56</v>
      </c>
      <c r="B64" s="574"/>
      <c r="C64" s="575"/>
      <c r="D64" s="576"/>
      <c r="E64" s="577" t="s">
        <v>303</v>
      </c>
      <c r="F64" s="594">
        <v>39412</v>
      </c>
      <c r="G64" s="594"/>
      <c r="H64" s="594"/>
      <c r="I64" s="594"/>
      <c r="J64" s="594"/>
      <c r="K64" s="594"/>
      <c r="L64" s="594"/>
      <c r="M64" s="594">
        <v>173717</v>
      </c>
      <c r="N64" s="595"/>
      <c r="O64" s="592">
        <f>SUM(F64:M64)</f>
        <v>213129</v>
      </c>
    </row>
    <row r="65" spans="1:15" s="581" customFormat="1" ht="18" customHeight="1">
      <c r="A65" s="37">
        <v>57</v>
      </c>
      <c r="B65" s="574"/>
      <c r="C65" s="575"/>
      <c r="D65" s="576"/>
      <c r="E65" s="483" t="s">
        <v>994</v>
      </c>
      <c r="F65" s="1036">
        <v>23539</v>
      </c>
      <c r="G65" s="1036">
        <v>7478</v>
      </c>
      <c r="H65" s="1036"/>
      <c r="I65" s="1036"/>
      <c r="J65" s="1036"/>
      <c r="K65" s="1036"/>
      <c r="L65" s="1036">
        <v>39055</v>
      </c>
      <c r="M65" s="1036">
        <v>185366</v>
      </c>
      <c r="N65" s="1045">
        <v>6630</v>
      </c>
      <c r="O65" s="253">
        <f>SUM(F65:M65)</f>
        <v>255438</v>
      </c>
    </row>
    <row r="66" spans="1:16" s="213" customFormat="1" ht="18" customHeight="1">
      <c r="A66" s="37">
        <v>58</v>
      </c>
      <c r="B66" s="1018"/>
      <c r="C66" s="886"/>
      <c r="D66" s="1019"/>
      <c r="E66" s="1020" t="s">
        <v>1034</v>
      </c>
      <c r="F66" s="116">
        <v>24647</v>
      </c>
      <c r="G66" s="116">
        <v>7478</v>
      </c>
      <c r="H66" s="116"/>
      <c r="I66" s="116">
        <v>220</v>
      </c>
      <c r="J66" s="116"/>
      <c r="K66" s="116"/>
      <c r="L66" s="116">
        <v>39055</v>
      </c>
      <c r="M66" s="116">
        <v>185366</v>
      </c>
      <c r="N66" s="116">
        <f>41027-556</f>
        <v>40471</v>
      </c>
      <c r="O66" s="888">
        <f>SUM(F66:M66)</f>
        <v>256766</v>
      </c>
      <c r="P66" s="26"/>
    </row>
    <row r="67" spans="1:16" s="33" customFormat="1" ht="18" customHeight="1">
      <c r="A67" s="37">
        <v>59</v>
      </c>
      <c r="B67" s="237"/>
      <c r="C67" s="238">
        <v>1</v>
      </c>
      <c r="D67" s="1627" t="s">
        <v>581</v>
      </c>
      <c r="E67" s="1627"/>
      <c r="F67" s="95"/>
      <c r="G67" s="95"/>
      <c r="H67" s="95"/>
      <c r="I67" s="95"/>
      <c r="J67" s="95"/>
      <c r="K67" s="95"/>
      <c r="L67" s="95"/>
      <c r="M67" s="95"/>
      <c r="N67" s="116"/>
      <c r="O67" s="253"/>
      <c r="P67" s="25"/>
    </row>
    <row r="68" spans="1:15" s="581" customFormat="1" ht="18" customHeight="1">
      <c r="A68" s="37">
        <v>60</v>
      </c>
      <c r="B68" s="586"/>
      <c r="C68" s="587"/>
      <c r="D68" s="588"/>
      <c r="E68" s="589" t="s">
        <v>303</v>
      </c>
      <c r="F68" s="590"/>
      <c r="G68" s="590">
        <v>66905</v>
      </c>
      <c r="H68" s="590"/>
      <c r="I68" s="590"/>
      <c r="J68" s="590">
        <v>4050</v>
      </c>
      <c r="K68" s="590"/>
      <c r="L68" s="590">
        <v>18424</v>
      </c>
      <c r="M68" s="590"/>
      <c r="N68" s="1963"/>
      <c r="O68" s="591">
        <f>SUM(F68:M68)</f>
        <v>89379</v>
      </c>
    </row>
    <row r="69" spans="1:15" s="581" customFormat="1" ht="18" customHeight="1">
      <c r="A69" s="37">
        <v>61</v>
      </c>
      <c r="B69" s="586"/>
      <c r="C69" s="587"/>
      <c r="D69" s="588"/>
      <c r="E69" s="483" t="s">
        <v>994</v>
      </c>
      <c r="F69" s="590"/>
      <c r="G69" s="1278">
        <v>66905</v>
      </c>
      <c r="H69" s="1278"/>
      <c r="I69" s="1278"/>
      <c r="J69" s="1278">
        <v>4050</v>
      </c>
      <c r="K69" s="1278"/>
      <c r="L69" s="1278">
        <v>18424</v>
      </c>
      <c r="M69" s="1278"/>
      <c r="N69" s="1964"/>
      <c r="O69" s="253">
        <f>SUM(F69:M69)</f>
        <v>89379</v>
      </c>
    </row>
    <row r="70" spans="1:16" s="213" customFormat="1" ht="18" customHeight="1">
      <c r="A70" s="37">
        <v>62</v>
      </c>
      <c r="B70" s="1018"/>
      <c r="C70" s="886"/>
      <c r="D70" s="1019"/>
      <c r="E70" s="1020" t="s">
        <v>1035</v>
      </c>
      <c r="F70" s="116"/>
      <c r="G70" s="116">
        <v>15185</v>
      </c>
      <c r="H70" s="116"/>
      <c r="I70" s="116"/>
      <c r="J70" s="116"/>
      <c r="K70" s="116"/>
      <c r="L70" s="116">
        <v>18424</v>
      </c>
      <c r="M70" s="116"/>
      <c r="N70" s="116"/>
      <c r="O70" s="888">
        <f>SUM(F70:M70)</f>
        <v>33609</v>
      </c>
      <c r="P70" s="26"/>
    </row>
    <row r="71" spans="1:16" s="33" customFormat="1" ht="22.5" customHeight="1">
      <c r="A71" s="37">
        <v>63</v>
      </c>
      <c r="B71" s="237">
        <v>11</v>
      </c>
      <c r="C71" s="238"/>
      <c r="D71" s="483" t="s">
        <v>480</v>
      </c>
      <c r="E71" s="483"/>
      <c r="F71" s="242"/>
      <c r="G71" s="242"/>
      <c r="H71" s="242"/>
      <c r="I71" s="242"/>
      <c r="J71" s="242"/>
      <c r="K71" s="242"/>
      <c r="L71" s="242"/>
      <c r="M71" s="242"/>
      <c r="N71" s="243"/>
      <c r="O71" s="244"/>
      <c r="P71" s="25"/>
    </row>
    <row r="72" spans="1:15" s="581" customFormat="1" ht="18" customHeight="1">
      <c r="A72" s="37">
        <v>64</v>
      </c>
      <c r="B72" s="574"/>
      <c r="C72" s="575"/>
      <c r="D72" s="576"/>
      <c r="E72" s="577" t="s">
        <v>303</v>
      </c>
      <c r="F72" s="594">
        <v>9529</v>
      </c>
      <c r="G72" s="594">
        <v>400</v>
      </c>
      <c r="H72" s="594"/>
      <c r="I72" s="594"/>
      <c r="J72" s="594"/>
      <c r="K72" s="594"/>
      <c r="L72" s="594"/>
      <c r="M72" s="594">
        <v>115399</v>
      </c>
      <c r="N72" s="595"/>
      <c r="O72" s="592">
        <f aca="true" t="shared" si="6" ref="O72:O77">SUM(F72:M72)</f>
        <v>125328</v>
      </c>
    </row>
    <row r="73" spans="1:15" s="581" customFormat="1" ht="18" customHeight="1">
      <c r="A73" s="37">
        <v>65</v>
      </c>
      <c r="B73" s="574"/>
      <c r="C73" s="575"/>
      <c r="D73" s="576"/>
      <c r="E73" s="483" t="s">
        <v>994</v>
      </c>
      <c r="F73" s="1036">
        <v>5780</v>
      </c>
      <c r="G73" s="1036">
        <v>12375</v>
      </c>
      <c r="H73" s="1036">
        <v>1485</v>
      </c>
      <c r="I73" s="1036"/>
      <c r="J73" s="1036"/>
      <c r="K73" s="1036"/>
      <c r="L73" s="1036">
        <v>12322</v>
      </c>
      <c r="M73" s="1036">
        <v>122328</v>
      </c>
      <c r="N73" s="1045">
        <v>5980</v>
      </c>
      <c r="O73" s="253">
        <f t="shared" si="6"/>
        <v>154290</v>
      </c>
    </row>
    <row r="74" spans="1:16" s="213" customFormat="1" ht="18" customHeight="1">
      <c r="A74" s="37">
        <v>66</v>
      </c>
      <c r="B74" s="1018"/>
      <c r="C74" s="886"/>
      <c r="D74" s="1019"/>
      <c r="E74" s="1020" t="s">
        <v>1035</v>
      </c>
      <c r="F74" s="116">
        <v>5799</v>
      </c>
      <c r="G74" s="116">
        <v>12375</v>
      </c>
      <c r="H74" s="116">
        <v>1485</v>
      </c>
      <c r="I74" s="116"/>
      <c r="J74" s="116"/>
      <c r="K74" s="116"/>
      <c r="L74" s="116">
        <v>12322</v>
      </c>
      <c r="M74" s="116">
        <v>122328</v>
      </c>
      <c r="N74" s="116">
        <v>5980</v>
      </c>
      <c r="O74" s="888">
        <f t="shared" si="6"/>
        <v>154309</v>
      </c>
      <c r="P74" s="26"/>
    </row>
    <row r="75" spans="1:16" s="214" customFormat="1" ht="18" customHeight="1">
      <c r="A75" s="37">
        <v>67</v>
      </c>
      <c r="B75" s="357"/>
      <c r="C75" s="238">
        <v>1</v>
      </c>
      <c r="D75" s="482" t="s">
        <v>955</v>
      </c>
      <c r="E75" s="1627"/>
      <c r="F75" s="95"/>
      <c r="G75" s="95"/>
      <c r="H75" s="1022"/>
      <c r="I75" s="1022"/>
      <c r="J75" s="1022"/>
      <c r="K75" s="1022"/>
      <c r="L75" s="1022"/>
      <c r="M75" s="1022"/>
      <c r="N75" s="1022"/>
      <c r="O75" s="253"/>
      <c r="P75" s="33"/>
    </row>
    <row r="76" spans="1:16" s="214" customFormat="1" ht="18" customHeight="1">
      <c r="A76" s="37">
        <v>68</v>
      </c>
      <c r="B76" s="357"/>
      <c r="C76" s="238"/>
      <c r="D76" s="1643"/>
      <c r="E76" s="483" t="s">
        <v>994</v>
      </c>
      <c r="F76" s="95"/>
      <c r="G76" s="95"/>
      <c r="H76" s="1022">
        <v>1879</v>
      </c>
      <c r="I76" s="1022"/>
      <c r="J76" s="1022"/>
      <c r="K76" s="1022"/>
      <c r="L76" s="1022"/>
      <c r="M76" s="1022"/>
      <c r="N76" s="1022"/>
      <c r="O76" s="253">
        <f>SUM(F76:N76)</f>
        <v>1879</v>
      </c>
      <c r="P76" s="33"/>
    </row>
    <row r="77" spans="1:16" s="214" customFormat="1" ht="18" customHeight="1">
      <c r="A77" s="37">
        <v>69</v>
      </c>
      <c r="B77" s="357"/>
      <c r="C77" s="1644"/>
      <c r="D77" s="1021"/>
      <c r="E77" s="1020" t="s">
        <v>1035</v>
      </c>
      <c r="F77" s="1022"/>
      <c r="G77" s="1022"/>
      <c r="H77" s="116">
        <v>1879</v>
      </c>
      <c r="I77" s="1022"/>
      <c r="J77" s="1022"/>
      <c r="K77" s="1022"/>
      <c r="L77" s="1022"/>
      <c r="M77" s="1022"/>
      <c r="N77" s="1022"/>
      <c r="O77" s="888">
        <f t="shared" si="6"/>
        <v>1879</v>
      </c>
      <c r="P77" s="33"/>
    </row>
    <row r="78" spans="1:15" s="110" customFormat="1" ht="22.5" customHeight="1">
      <c r="A78" s="37">
        <v>70</v>
      </c>
      <c r="B78" s="237">
        <v>12</v>
      </c>
      <c r="C78" s="238"/>
      <c r="D78" s="483" t="s">
        <v>25</v>
      </c>
      <c r="E78" s="486"/>
      <c r="F78" s="245"/>
      <c r="G78" s="245"/>
      <c r="H78" s="245"/>
      <c r="I78" s="245"/>
      <c r="J78" s="245"/>
      <c r="K78" s="245"/>
      <c r="L78" s="245"/>
      <c r="M78" s="245"/>
      <c r="N78" s="1961"/>
      <c r="O78" s="246"/>
    </row>
    <row r="79" spans="1:15" s="584" customFormat="1" ht="18" customHeight="1">
      <c r="A79" s="37">
        <v>71</v>
      </c>
      <c r="B79" s="574"/>
      <c r="C79" s="575"/>
      <c r="D79" s="576"/>
      <c r="E79" s="577" t="s">
        <v>303</v>
      </c>
      <c r="F79" s="594">
        <v>21200</v>
      </c>
      <c r="G79" s="594"/>
      <c r="H79" s="594"/>
      <c r="I79" s="594"/>
      <c r="J79" s="594"/>
      <c r="K79" s="594"/>
      <c r="L79" s="594"/>
      <c r="M79" s="594">
        <v>390704</v>
      </c>
      <c r="N79" s="595">
        <v>290848</v>
      </c>
      <c r="O79" s="592">
        <f>SUM(F79:M79)</f>
        <v>411904</v>
      </c>
    </row>
    <row r="80" spans="1:15" s="584" customFormat="1" ht="18" customHeight="1">
      <c r="A80" s="37">
        <v>72</v>
      </c>
      <c r="B80" s="574"/>
      <c r="C80" s="575"/>
      <c r="D80" s="576"/>
      <c r="E80" s="483" t="s">
        <v>994</v>
      </c>
      <c r="F80" s="1036">
        <v>29249</v>
      </c>
      <c r="G80" s="1036">
        <v>842</v>
      </c>
      <c r="H80" s="1036">
        <v>549</v>
      </c>
      <c r="I80" s="594"/>
      <c r="J80" s="1036">
        <v>250</v>
      </c>
      <c r="K80" s="594"/>
      <c r="L80" s="1036">
        <v>21524</v>
      </c>
      <c r="M80" s="1036">
        <v>408032</v>
      </c>
      <c r="N80" s="1045">
        <v>307690</v>
      </c>
      <c r="O80" s="253">
        <f>SUM(F80:M80)</f>
        <v>460446</v>
      </c>
    </row>
    <row r="81" spans="1:16" s="213" customFormat="1" ht="18" customHeight="1">
      <c r="A81" s="37">
        <v>73</v>
      </c>
      <c r="B81" s="1018"/>
      <c r="C81" s="886"/>
      <c r="D81" s="1019"/>
      <c r="E81" s="1020" t="s">
        <v>1035</v>
      </c>
      <c r="F81" s="116">
        <v>29249</v>
      </c>
      <c r="G81" s="116">
        <v>842</v>
      </c>
      <c r="H81" s="116">
        <v>549</v>
      </c>
      <c r="I81" s="116"/>
      <c r="J81" s="116">
        <v>250</v>
      </c>
      <c r="K81" s="116"/>
      <c r="L81" s="116">
        <v>21524</v>
      </c>
      <c r="M81" s="116">
        <v>408032</v>
      </c>
      <c r="N81" s="116">
        <v>307690</v>
      </c>
      <c r="O81" s="888">
        <f>SUM(F81:N81)</f>
        <v>768136</v>
      </c>
      <c r="P81" s="26"/>
    </row>
    <row r="82" spans="1:15" s="110" customFormat="1" ht="18" customHeight="1">
      <c r="A82" s="37">
        <v>74</v>
      </c>
      <c r="B82" s="239"/>
      <c r="C82" s="238">
        <v>2</v>
      </c>
      <c r="D82" s="1627" t="s">
        <v>581</v>
      </c>
      <c r="E82" s="1627"/>
      <c r="F82" s="242"/>
      <c r="G82" s="242"/>
      <c r="H82" s="242"/>
      <c r="I82" s="242"/>
      <c r="J82" s="242"/>
      <c r="K82" s="242"/>
      <c r="L82" s="242"/>
      <c r="M82" s="242"/>
      <c r="N82" s="243"/>
      <c r="O82" s="244"/>
    </row>
    <row r="83" spans="1:16" s="582" customFormat="1" ht="18" customHeight="1">
      <c r="A83" s="37">
        <v>75</v>
      </c>
      <c r="B83" s="586"/>
      <c r="C83" s="575"/>
      <c r="D83" s="576"/>
      <c r="E83" s="1645" t="s">
        <v>303</v>
      </c>
      <c r="F83" s="1646"/>
      <c r="G83" s="1646">
        <v>43191</v>
      </c>
      <c r="H83" s="1646"/>
      <c r="I83" s="1646"/>
      <c r="J83" s="1646"/>
      <c r="K83" s="1646"/>
      <c r="L83" s="1646">
        <f>9983+2400</f>
        <v>12383</v>
      </c>
      <c r="M83" s="1646"/>
      <c r="N83" s="1966"/>
      <c r="O83" s="1647">
        <f>SUM(F83:M83)</f>
        <v>55574</v>
      </c>
      <c r="P83" s="581"/>
    </row>
    <row r="84" spans="1:16" s="582" customFormat="1" ht="18" customHeight="1">
      <c r="A84" s="37">
        <v>76</v>
      </c>
      <c r="B84" s="586"/>
      <c r="C84" s="575"/>
      <c r="D84" s="576"/>
      <c r="E84" s="483" t="s">
        <v>994</v>
      </c>
      <c r="F84" s="1646"/>
      <c r="G84" s="1648">
        <v>43191</v>
      </c>
      <c r="H84" s="1648"/>
      <c r="I84" s="1648"/>
      <c r="J84" s="1648"/>
      <c r="K84" s="1648"/>
      <c r="L84" s="1648">
        <v>12300</v>
      </c>
      <c r="M84" s="1648"/>
      <c r="N84" s="1967"/>
      <c r="O84" s="253">
        <f>SUM(F84:M84)</f>
        <v>55491</v>
      </c>
      <c r="P84" s="581"/>
    </row>
    <row r="85" spans="1:16" s="213" customFormat="1" ht="18" customHeight="1">
      <c r="A85" s="37">
        <v>77</v>
      </c>
      <c r="B85" s="1018"/>
      <c r="C85" s="886"/>
      <c r="D85" s="1019"/>
      <c r="E85" s="1020" t="s">
        <v>1035</v>
      </c>
      <c r="F85" s="116"/>
      <c r="G85" s="116">
        <v>6342</v>
      </c>
      <c r="H85" s="116"/>
      <c r="I85" s="116"/>
      <c r="J85" s="116"/>
      <c r="K85" s="116"/>
      <c r="L85" s="116">
        <v>12300</v>
      </c>
      <c r="M85" s="116"/>
      <c r="N85" s="116"/>
      <c r="O85" s="888">
        <f>SUM(F85:M85)</f>
        <v>18642</v>
      </c>
      <c r="P85" s="26"/>
    </row>
    <row r="86" spans="1:15" s="110" customFormat="1" ht="22.5" customHeight="1">
      <c r="A86" s="37">
        <v>78</v>
      </c>
      <c r="B86" s="237">
        <v>13</v>
      </c>
      <c r="C86" s="238"/>
      <c r="D86" s="483" t="s">
        <v>34</v>
      </c>
      <c r="E86" s="486"/>
      <c r="F86" s="245"/>
      <c r="G86" s="245"/>
      <c r="H86" s="245"/>
      <c r="I86" s="245"/>
      <c r="J86" s="245"/>
      <c r="K86" s="245"/>
      <c r="L86" s="245"/>
      <c r="M86" s="245"/>
      <c r="N86" s="1961"/>
      <c r="O86" s="246"/>
    </row>
    <row r="87" spans="1:15" s="584" customFormat="1" ht="18" customHeight="1">
      <c r="A87" s="37">
        <v>79</v>
      </c>
      <c r="B87" s="574"/>
      <c r="C87" s="575"/>
      <c r="D87" s="576"/>
      <c r="E87" s="577" t="s">
        <v>303</v>
      </c>
      <c r="F87" s="594">
        <v>209389</v>
      </c>
      <c r="G87" s="594">
        <v>400</v>
      </c>
      <c r="H87" s="594"/>
      <c r="I87" s="594">
        <v>3000</v>
      </c>
      <c r="J87" s="594"/>
      <c r="K87" s="594"/>
      <c r="L87" s="594">
        <v>1200</v>
      </c>
      <c r="M87" s="594">
        <v>192730</v>
      </c>
      <c r="N87" s="595">
        <v>120660</v>
      </c>
      <c r="O87" s="592">
        <f aca="true" t="shared" si="7" ref="O87:O92">SUM(F87:M87)</f>
        <v>406719</v>
      </c>
    </row>
    <row r="88" spans="1:15" s="584" customFormat="1" ht="18" customHeight="1">
      <c r="A88" s="37">
        <v>80</v>
      </c>
      <c r="B88" s="574"/>
      <c r="C88" s="575"/>
      <c r="D88" s="576"/>
      <c r="E88" s="483" t="s">
        <v>994</v>
      </c>
      <c r="F88" s="1036">
        <v>222155</v>
      </c>
      <c r="G88" s="1036">
        <v>2800</v>
      </c>
      <c r="H88" s="1036"/>
      <c r="I88" s="1036">
        <v>3200</v>
      </c>
      <c r="J88" s="1036"/>
      <c r="K88" s="1036"/>
      <c r="L88" s="1036">
        <v>37910</v>
      </c>
      <c r="M88" s="1036">
        <v>208568</v>
      </c>
      <c r="N88" s="1045">
        <v>134551</v>
      </c>
      <c r="O88" s="253">
        <f t="shared" si="7"/>
        <v>474633</v>
      </c>
    </row>
    <row r="89" spans="1:16" s="213" customFormat="1" ht="18" customHeight="1">
      <c r="A89" s="37">
        <v>81</v>
      </c>
      <c r="B89" s="1018"/>
      <c r="C89" s="886"/>
      <c r="D89" s="1019"/>
      <c r="E89" s="1020" t="s">
        <v>1035</v>
      </c>
      <c r="F89" s="116">
        <v>185069</v>
      </c>
      <c r="G89" s="116">
        <v>2800</v>
      </c>
      <c r="H89" s="116"/>
      <c r="I89" s="116">
        <v>3200</v>
      </c>
      <c r="J89" s="116"/>
      <c r="K89" s="116"/>
      <c r="L89" s="116">
        <v>37910</v>
      </c>
      <c r="M89" s="116">
        <v>208568</v>
      </c>
      <c r="N89" s="116">
        <v>134551</v>
      </c>
      <c r="O89" s="888">
        <f>SUM(F89:N89)</f>
        <v>572098</v>
      </c>
      <c r="P89" s="26"/>
    </row>
    <row r="90" spans="1:16" s="214" customFormat="1" ht="18" customHeight="1">
      <c r="A90" s="37">
        <v>82</v>
      </c>
      <c r="B90" s="357"/>
      <c r="C90" s="238">
        <v>1</v>
      </c>
      <c r="D90" s="2039" t="s">
        <v>955</v>
      </c>
      <c r="E90" s="2040"/>
      <c r="F90" s="1022"/>
      <c r="G90" s="1022"/>
      <c r="H90" s="1022"/>
      <c r="I90" s="1022"/>
      <c r="J90" s="1022"/>
      <c r="K90" s="1022"/>
      <c r="L90" s="1022"/>
      <c r="M90" s="1022"/>
      <c r="N90" s="1022"/>
      <c r="O90" s="253"/>
      <c r="P90" s="33"/>
    </row>
    <row r="91" spans="1:16" s="214" customFormat="1" ht="18" customHeight="1">
      <c r="A91" s="37">
        <v>83</v>
      </c>
      <c r="B91" s="357"/>
      <c r="C91" s="238"/>
      <c r="D91" s="1649"/>
      <c r="E91" s="483" t="s">
        <v>994</v>
      </c>
      <c r="F91" s="1022"/>
      <c r="G91" s="1022"/>
      <c r="H91" s="1022">
        <v>8944</v>
      </c>
      <c r="I91" s="1022"/>
      <c r="J91" s="1022"/>
      <c r="K91" s="1022"/>
      <c r="L91" s="1022"/>
      <c r="M91" s="1022"/>
      <c r="N91" s="1022"/>
      <c r="O91" s="253">
        <f t="shared" si="7"/>
        <v>8944</v>
      </c>
      <c r="P91" s="33"/>
    </row>
    <row r="92" spans="1:16" s="214" customFormat="1" ht="18" customHeight="1">
      <c r="A92" s="37">
        <v>84</v>
      </c>
      <c r="B92" s="357"/>
      <c r="C92" s="1644"/>
      <c r="D92" s="1021"/>
      <c r="E92" s="1020" t="s">
        <v>1036</v>
      </c>
      <c r="F92" s="1022"/>
      <c r="G92" s="1022"/>
      <c r="H92" s="116">
        <v>8944</v>
      </c>
      <c r="I92" s="1022"/>
      <c r="J92" s="1022"/>
      <c r="K92" s="1022"/>
      <c r="L92" s="1022"/>
      <c r="M92" s="1022"/>
      <c r="N92" s="1022"/>
      <c r="O92" s="888">
        <f t="shared" si="7"/>
        <v>8944</v>
      </c>
      <c r="P92" s="33"/>
    </row>
    <row r="93" spans="1:15" s="110" customFormat="1" ht="22.5" customHeight="1">
      <c r="A93" s="37">
        <v>85</v>
      </c>
      <c r="B93" s="237">
        <v>14</v>
      </c>
      <c r="C93" s="238"/>
      <c r="D93" s="483" t="s">
        <v>481</v>
      </c>
      <c r="E93" s="483"/>
      <c r="F93" s="245"/>
      <c r="G93" s="245"/>
      <c r="H93" s="245"/>
      <c r="I93" s="245"/>
      <c r="J93" s="245"/>
      <c r="K93" s="245"/>
      <c r="L93" s="245"/>
      <c r="M93" s="245"/>
      <c r="N93" s="1961"/>
      <c r="O93" s="246"/>
    </row>
    <row r="94" spans="1:15" s="584" customFormat="1" ht="18" customHeight="1">
      <c r="A94" s="37">
        <v>86</v>
      </c>
      <c r="B94" s="574"/>
      <c r="C94" s="575"/>
      <c r="D94" s="576"/>
      <c r="E94" s="577" t="s">
        <v>303</v>
      </c>
      <c r="F94" s="594">
        <v>30270</v>
      </c>
      <c r="G94" s="594">
        <v>9000</v>
      </c>
      <c r="H94" s="594"/>
      <c r="I94" s="594"/>
      <c r="J94" s="594"/>
      <c r="K94" s="594"/>
      <c r="L94" s="594"/>
      <c r="M94" s="594">
        <v>90292</v>
      </c>
      <c r="N94" s="595">
        <v>49700</v>
      </c>
      <c r="O94" s="592">
        <f>SUM(F94:M94)</f>
        <v>129562</v>
      </c>
    </row>
    <row r="95" spans="1:15" s="584" customFormat="1" ht="18" customHeight="1">
      <c r="A95" s="37">
        <v>87</v>
      </c>
      <c r="B95" s="574"/>
      <c r="C95" s="575"/>
      <c r="D95" s="576"/>
      <c r="E95" s="483" t="s">
        <v>994</v>
      </c>
      <c r="F95" s="1036">
        <v>15414</v>
      </c>
      <c r="G95" s="1036">
        <v>17465</v>
      </c>
      <c r="H95" s="1036">
        <v>1306</v>
      </c>
      <c r="I95" s="1036"/>
      <c r="J95" s="1036">
        <v>85</v>
      </c>
      <c r="K95" s="1036"/>
      <c r="L95" s="1036">
        <v>5246</v>
      </c>
      <c r="M95" s="1036">
        <v>107629</v>
      </c>
      <c r="N95" s="1045">
        <v>66565</v>
      </c>
      <c r="O95" s="253">
        <f>SUM(F95:M95)</f>
        <v>147145</v>
      </c>
    </row>
    <row r="96" spans="1:15" s="584" customFormat="1" ht="18" customHeight="1">
      <c r="A96" s="37">
        <v>88</v>
      </c>
      <c r="B96" s="574"/>
      <c r="C96" s="575"/>
      <c r="D96" s="576"/>
      <c r="E96" s="1020" t="s">
        <v>1035</v>
      </c>
      <c r="F96" s="243">
        <f>9399-228</f>
        <v>9171</v>
      </c>
      <c r="G96" s="243">
        <f>18104-639</f>
        <v>17465</v>
      </c>
      <c r="H96" s="243">
        <v>1306</v>
      </c>
      <c r="I96" s="243"/>
      <c r="J96" s="243">
        <v>85</v>
      </c>
      <c r="K96" s="242"/>
      <c r="L96" s="243">
        <v>5246</v>
      </c>
      <c r="M96" s="243">
        <v>107629</v>
      </c>
      <c r="N96" s="243">
        <f>54632+11943</f>
        <v>66575</v>
      </c>
      <c r="O96" s="888">
        <f>SUM(F96:N96)</f>
        <v>207477</v>
      </c>
    </row>
    <row r="97" spans="1:16" s="213" customFormat="1" ht="18" customHeight="1">
      <c r="A97" s="37">
        <v>89</v>
      </c>
      <c r="B97" s="240"/>
      <c r="C97" s="238">
        <v>1</v>
      </c>
      <c r="D97" s="1627" t="s">
        <v>150</v>
      </c>
      <c r="E97" s="1627"/>
      <c r="F97" s="95"/>
      <c r="G97" s="95"/>
      <c r="H97" s="95"/>
      <c r="I97" s="95"/>
      <c r="J97" s="95"/>
      <c r="K97" s="95"/>
      <c r="L97" s="95"/>
      <c r="M97" s="95"/>
      <c r="N97" s="116"/>
      <c r="O97" s="253"/>
      <c r="P97" s="26"/>
    </row>
    <row r="98" spans="1:16" s="597" customFormat="1" ht="18" customHeight="1">
      <c r="A98" s="37">
        <v>90</v>
      </c>
      <c r="B98" s="586"/>
      <c r="C98" s="575"/>
      <c r="D98" s="576"/>
      <c r="E98" s="1645" t="s">
        <v>303</v>
      </c>
      <c r="F98" s="578"/>
      <c r="G98" s="578">
        <v>2455</v>
      </c>
      <c r="H98" s="578"/>
      <c r="I98" s="578"/>
      <c r="J98" s="578"/>
      <c r="K98" s="578"/>
      <c r="L98" s="578"/>
      <c r="M98" s="578"/>
      <c r="N98" s="579"/>
      <c r="O98" s="1647">
        <f>SUM(F98:M98)</f>
        <v>2455</v>
      </c>
      <c r="P98" s="596"/>
    </row>
    <row r="99" spans="1:16" s="597" customFormat="1" ht="18" customHeight="1">
      <c r="A99" s="37">
        <v>91</v>
      </c>
      <c r="B99" s="586"/>
      <c r="C99" s="575"/>
      <c r="D99" s="576"/>
      <c r="E99" s="483" t="s">
        <v>994</v>
      </c>
      <c r="F99" s="578"/>
      <c r="G99" s="1022">
        <v>1064</v>
      </c>
      <c r="H99" s="578"/>
      <c r="I99" s="578"/>
      <c r="J99" s="578"/>
      <c r="K99" s="578"/>
      <c r="L99" s="578"/>
      <c r="M99" s="578"/>
      <c r="N99" s="579"/>
      <c r="O99" s="253">
        <f>SUM(F99:M99)</f>
        <v>1064</v>
      </c>
      <c r="P99" s="596"/>
    </row>
    <row r="100" spans="1:16" s="213" customFormat="1" ht="18" customHeight="1">
      <c r="A100" s="37">
        <v>92</v>
      </c>
      <c r="B100" s="1018"/>
      <c r="C100" s="886"/>
      <c r="D100" s="1019"/>
      <c r="E100" s="1020" t="s">
        <v>1035</v>
      </c>
      <c r="F100" s="116"/>
      <c r="G100" s="116">
        <v>639</v>
      </c>
      <c r="H100" s="116"/>
      <c r="I100" s="116"/>
      <c r="J100" s="116"/>
      <c r="K100" s="116"/>
      <c r="L100" s="116"/>
      <c r="M100" s="116"/>
      <c r="N100" s="116"/>
      <c r="O100" s="888">
        <f>SUM(F100:M100)</f>
        <v>639</v>
      </c>
      <c r="P100" s="26"/>
    </row>
    <row r="101" spans="1:16" s="213" customFormat="1" ht="29.25" customHeight="1">
      <c r="A101" s="37">
        <v>93</v>
      </c>
      <c r="B101" s="240"/>
      <c r="C101" s="241">
        <v>2</v>
      </c>
      <c r="D101" s="2039" t="s">
        <v>484</v>
      </c>
      <c r="E101" s="2040"/>
      <c r="F101" s="95"/>
      <c r="G101" s="95"/>
      <c r="H101" s="95"/>
      <c r="I101" s="95"/>
      <c r="J101" s="95"/>
      <c r="K101" s="95"/>
      <c r="L101" s="95"/>
      <c r="M101" s="95"/>
      <c r="N101" s="116"/>
      <c r="O101" s="253"/>
      <c r="P101" s="26"/>
    </row>
    <row r="102" spans="1:16" s="597" customFormat="1" ht="18" customHeight="1">
      <c r="A102" s="37">
        <v>94</v>
      </c>
      <c r="B102" s="586"/>
      <c r="C102" s="575"/>
      <c r="D102" s="576"/>
      <c r="E102" s="1645" t="s">
        <v>303</v>
      </c>
      <c r="F102" s="578"/>
      <c r="G102" s="578"/>
      <c r="H102" s="578"/>
      <c r="I102" s="578"/>
      <c r="J102" s="578"/>
      <c r="K102" s="578"/>
      <c r="L102" s="578">
        <v>5725</v>
      </c>
      <c r="M102" s="578"/>
      <c r="N102" s="579"/>
      <c r="O102" s="1647">
        <f>SUM(F102:M102)</f>
        <v>5725</v>
      </c>
      <c r="P102" s="596"/>
    </row>
    <row r="103" spans="1:16" s="597" customFormat="1" ht="18" customHeight="1">
      <c r="A103" s="37">
        <v>95</v>
      </c>
      <c r="B103" s="586"/>
      <c r="C103" s="575"/>
      <c r="D103" s="576"/>
      <c r="E103" s="483" t="s">
        <v>994</v>
      </c>
      <c r="F103" s="1022">
        <v>228</v>
      </c>
      <c r="G103" s="1022"/>
      <c r="H103" s="1022"/>
      <c r="I103" s="1022"/>
      <c r="J103" s="1022"/>
      <c r="K103" s="1022"/>
      <c r="L103" s="1022">
        <v>5124</v>
      </c>
      <c r="M103" s="1022"/>
      <c r="N103" s="1960"/>
      <c r="O103" s="253">
        <f>SUM(F103:M103)</f>
        <v>5352</v>
      </c>
      <c r="P103" s="596"/>
    </row>
    <row r="104" spans="1:16" s="213" customFormat="1" ht="18" customHeight="1">
      <c r="A104" s="37">
        <v>96</v>
      </c>
      <c r="B104" s="1018"/>
      <c r="C104" s="886"/>
      <c r="D104" s="1019"/>
      <c r="E104" s="1020" t="s">
        <v>1036</v>
      </c>
      <c r="F104" s="116">
        <v>228</v>
      </c>
      <c r="G104" s="116"/>
      <c r="H104" s="116"/>
      <c r="I104" s="116"/>
      <c r="J104" s="116"/>
      <c r="K104" s="116"/>
      <c r="L104" s="116">
        <v>5124</v>
      </c>
      <c r="M104" s="116"/>
      <c r="N104" s="116"/>
      <c r="O104" s="888">
        <f>SUM(F104:M104)</f>
        <v>5352</v>
      </c>
      <c r="P104" s="26"/>
    </row>
    <row r="105" spans="1:16" s="214" customFormat="1" ht="18" customHeight="1">
      <c r="A105" s="37">
        <v>97</v>
      </c>
      <c r="B105" s="357"/>
      <c r="C105" s="238">
        <v>3</v>
      </c>
      <c r="D105" s="2039" t="s">
        <v>955</v>
      </c>
      <c r="E105" s="2040"/>
      <c r="F105" s="1022"/>
      <c r="G105" s="1022"/>
      <c r="H105" s="1022"/>
      <c r="I105" s="1022"/>
      <c r="J105" s="1022"/>
      <c r="K105" s="1022"/>
      <c r="L105" s="1022"/>
      <c r="M105" s="1022"/>
      <c r="N105" s="1960"/>
      <c r="O105" s="253"/>
      <c r="P105" s="33"/>
    </row>
    <row r="106" spans="1:16" s="214" customFormat="1" ht="18" customHeight="1">
      <c r="A106" s="37">
        <v>98</v>
      </c>
      <c r="B106" s="357"/>
      <c r="C106" s="238"/>
      <c r="D106" s="1649"/>
      <c r="E106" s="483" t="s">
        <v>994</v>
      </c>
      <c r="F106" s="1022"/>
      <c r="G106" s="1022"/>
      <c r="H106" s="1022">
        <v>2602</v>
      </c>
      <c r="I106" s="1022"/>
      <c r="J106" s="1022"/>
      <c r="K106" s="1022"/>
      <c r="L106" s="1022"/>
      <c r="M106" s="1022"/>
      <c r="N106" s="1960"/>
      <c r="O106" s="253">
        <f>SUM(F106:M106)</f>
        <v>2602</v>
      </c>
      <c r="P106" s="33"/>
    </row>
    <row r="107" spans="1:16" s="214" customFormat="1" ht="18" customHeight="1">
      <c r="A107" s="37">
        <v>99</v>
      </c>
      <c r="B107" s="357"/>
      <c r="C107" s="1644"/>
      <c r="D107" s="1021"/>
      <c r="E107" s="1020" t="s">
        <v>1036</v>
      </c>
      <c r="F107" s="1022"/>
      <c r="G107" s="1022"/>
      <c r="H107" s="116">
        <v>2627</v>
      </c>
      <c r="I107" s="1022"/>
      <c r="J107" s="1022"/>
      <c r="K107" s="1022"/>
      <c r="L107" s="1022"/>
      <c r="M107" s="1022"/>
      <c r="N107" s="1960"/>
      <c r="O107" s="1654">
        <f>SUM(F107:N107)</f>
        <v>2627</v>
      </c>
      <c r="P107" s="33"/>
    </row>
    <row r="108" spans="1:15" s="111" customFormat="1" ht="22.5" customHeight="1">
      <c r="A108" s="37">
        <v>100</v>
      </c>
      <c r="B108" s="237">
        <v>15</v>
      </c>
      <c r="C108" s="238"/>
      <c r="D108" s="483" t="s">
        <v>155</v>
      </c>
      <c r="E108" s="486"/>
      <c r="F108" s="245"/>
      <c r="G108" s="245"/>
      <c r="H108" s="245"/>
      <c r="I108" s="245"/>
      <c r="J108" s="245"/>
      <c r="K108" s="245"/>
      <c r="L108" s="245"/>
      <c r="M108" s="245"/>
      <c r="N108" s="1961"/>
      <c r="O108" s="246"/>
    </row>
    <row r="109" spans="1:15" s="583" customFormat="1" ht="18" customHeight="1">
      <c r="A109" s="37">
        <v>101</v>
      </c>
      <c r="B109" s="574"/>
      <c r="C109" s="587"/>
      <c r="D109" s="588"/>
      <c r="E109" s="598" t="s">
        <v>303</v>
      </c>
      <c r="F109" s="599">
        <v>205000</v>
      </c>
      <c r="G109" s="599">
        <v>110000</v>
      </c>
      <c r="H109" s="599"/>
      <c r="I109" s="599"/>
      <c r="J109" s="599"/>
      <c r="K109" s="599"/>
      <c r="L109" s="599">
        <v>2000</v>
      </c>
      <c r="M109" s="599">
        <v>425553</v>
      </c>
      <c r="N109" s="1956">
        <v>259100</v>
      </c>
      <c r="O109" s="593">
        <f>SUM(F109:M109)</f>
        <v>742553</v>
      </c>
    </row>
    <row r="110" spans="1:15" s="583" customFormat="1" ht="18" customHeight="1">
      <c r="A110" s="37">
        <v>102</v>
      </c>
      <c r="B110" s="574"/>
      <c r="C110" s="587"/>
      <c r="D110" s="588"/>
      <c r="E110" s="483" t="s">
        <v>994</v>
      </c>
      <c r="F110" s="1056">
        <v>122514</v>
      </c>
      <c r="G110" s="1056">
        <v>93407</v>
      </c>
      <c r="H110" s="1056"/>
      <c r="I110" s="1056">
        <v>22</v>
      </c>
      <c r="J110" s="1056"/>
      <c r="K110" s="1056"/>
      <c r="L110" s="1056">
        <v>205592</v>
      </c>
      <c r="M110" s="1056">
        <v>547783</v>
      </c>
      <c r="N110" s="1957">
        <v>374191</v>
      </c>
      <c r="O110" s="253">
        <f>SUM(F110:M110)</f>
        <v>969318</v>
      </c>
    </row>
    <row r="111" spans="1:16" s="213" customFormat="1" ht="18" customHeight="1" thickBot="1">
      <c r="A111" s="37">
        <v>103</v>
      </c>
      <c r="B111" s="1018"/>
      <c r="C111" s="886"/>
      <c r="D111" s="1019"/>
      <c r="E111" s="1020" t="s">
        <v>1035</v>
      </c>
      <c r="F111" s="116">
        <v>122522</v>
      </c>
      <c r="G111" s="116">
        <v>93407</v>
      </c>
      <c r="H111" s="116"/>
      <c r="I111" s="116">
        <v>22</v>
      </c>
      <c r="J111" s="116"/>
      <c r="K111" s="116"/>
      <c r="L111" s="116">
        <v>205592</v>
      </c>
      <c r="M111" s="116">
        <v>547783</v>
      </c>
      <c r="N111" s="116">
        <f>277607+96584</f>
        <v>374191</v>
      </c>
      <c r="O111" s="888">
        <f>SUM(F111:M111)</f>
        <v>969326</v>
      </c>
      <c r="P111" s="26"/>
    </row>
    <row r="112" spans="1:15" s="111" customFormat="1" ht="22.5" customHeight="1" thickTop="1">
      <c r="A112" s="37">
        <v>104</v>
      </c>
      <c r="B112" s="239"/>
      <c r="C112" s="2036" t="s">
        <v>590</v>
      </c>
      <c r="D112" s="2037"/>
      <c r="E112" s="2038"/>
      <c r="F112" s="572"/>
      <c r="G112" s="572"/>
      <c r="H112" s="572"/>
      <c r="I112" s="572"/>
      <c r="J112" s="572"/>
      <c r="K112" s="572"/>
      <c r="L112" s="572"/>
      <c r="M112" s="572"/>
      <c r="N112" s="572"/>
      <c r="O112" s="573"/>
    </row>
    <row r="113" spans="1:15" s="583" customFormat="1" ht="18" customHeight="1">
      <c r="A113" s="37">
        <v>105</v>
      </c>
      <c r="B113" s="574"/>
      <c r="C113" s="587"/>
      <c r="D113" s="588"/>
      <c r="E113" s="598" t="s">
        <v>303</v>
      </c>
      <c r="F113" s="599">
        <f aca="true" t="shared" si="8" ref="F113:N113">SUM(F64,F68,F72,F79,F83,F87,F94,F98,F102,F109)</f>
        <v>514800</v>
      </c>
      <c r="G113" s="599">
        <f t="shared" si="8"/>
        <v>232351</v>
      </c>
      <c r="H113" s="599">
        <f t="shared" si="8"/>
        <v>0</v>
      </c>
      <c r="I113" s="599">
        <f t="shared" si="8"/>
        <v>3000</v>
      </c>
      <c r="J113" s="599">
        <f t="shared" si="8"/>
        <v>4050</v>
      </c>
      <c r="K113" s="599">
        <f t="shared" si="8"/>
        <v>0</v>
      </c>
      <c r="L113" s="599">
        <f t="shared" si="8"/>
        <v>39732</v>
      </c>
      <c r="M113" s="599">
        <f t="shared" si="8"/>
        <v>1388395</v>
      </c>
      <c r="N113" s="1956">
        <f t="shared" si="8"/>
        <v>720308</v>
      </c>
      <c r="O113" s="593">
        <f>SUM(F113:M113)</f>
        <v>2182328</v>
      </c>
    </row>
    <row r="114" spans="1:15" s="583" customFormat="1" ht="18" customHeight="1">
      <c r="A114" s="37">
        <v>106</v>
      </c>
      <c r="B114" s="574"/>
      <c r="C114" s="587"/>
      <c r="D114" s="588"/>
      <c r="E114" s="483" t="s">
        <v>994</v>
      </c>
      <c r="F114" s="1056">
        <f aca="true" t="shared" si="9" ref="F114:N114">SUM(F65,F69,F73,F80,F84,F88,F95,F99,F103,F110)+F76+F106+F91</f>
        <v>418879</v>
      </c>
      <c r="G114" s="1056">
        <f t="shared" si="9"/>
        <v>245527</v>
      </c>
      <c r="H114" s="1056">
        <f t="shared" si="9"/>
        <v>16765</v>
      </c>
      <c r="I114" s="1056">
        <f t="shared" si="9"/>
        <v>3222</v>
      </c>
      <c r="J114" s="1056">
        <f t="shared" si="9"/>
        <v>4385</v>
      </c>
      <c r="K114" s="1056">
        <f t="shared" si="9"/>
        <v>0</v>
      </c>
      <c r="L114" s="1056">
        <f t="shared" si="9"/>
        <v>357497</v>
      </c>
      <c r="M114" s="1056">
        <f t="shared" si="9"/>
        <v>1579706</v>
      </c>
      <c r="N114" s="1056">
        <f t="shared" si="9"/>
        <v>895607</v>
      </c>
      <c r="O114" s="1280">
        <f>SUM(F114:M114)</f>
        <v>2625981</v>
      </c>
    </row>
    <row r="115" spans="1:16" s="213" customFormat="1" ht="18" customHeight="1" thickBot="1">
      <c r="A115" s="37">
        <v>107</v>
      </c>
      <c r="B115" s="1018"/>
      <c r="C115" s="1503"/>
      <c r="D115" s="1504"/>
      <c r="E115" s="1505" t="s">
        <v>1036</v>
      </c>
      <c r="F115" s="1506">
        <f aca="true" t="shared" si="10" ref="F115:N115">SUM(F66:F66,F70:F70,F74:F74,F81:F81,F85:F85,F89:F89,F96:F96,F100:F100,F104:F104,F111:F111,)+F77+F107+F92</f>
        <v>376685</v>
      </c>
      <c r="G115" s="1506">
        <f t="shared" si="10"/>
        <v>156533</v>
      </c>
      <c r="H115" s="1506">
        <f t="shared" si="10"/>
        <v>16790</v>
      </c>
      <c r="I115" s="1506">
        <f t="shared" si="10"/>
        <v>3442</v>
      </c>
      <c r="J115" s="1506">
        <f t="shared" si="10"/>
        <v>335</v>
      </c>
      <c r="K115" s="1506">
        <f t="shared" si="10"/>
        <v>0</v>
      </c>
      <c r="L115" s="1506">
        <f t="shared" si="10"/>
        <v>357497</v>
      </c>
      <c r="M115" s="1506">
        <f t="shared" si="10"/>
        <v>1579706</v>
      </c>
      <c r="N115" s="1506">
        <f t="shared" si="10"/>
        <v>929458</v>
      </c>
      <c r="O115" s="1507">
        <f>SUM(F115:M115)</f>
        <v>2490988</v>
      </c>
      <c r="P115" s="26"/>
    </row>
    <row r="116" spans="1:16" ht="22.5" customHeight="1" thickTop="1">
      <c r="A116" s="37">
        <v>108</v>
      </c>
      <c r="B116" s="248">
        <v>16</v>
      </c>
      <c r="C116" s="249"/>
      <c r="D116" s="484" t="s">
        <v>265</v>
      </c>
      <c r="E116" s="484"/>
      <c r="F116" s="256"/>
      <c r="G116" s="256"/>
      <c r="H116" s="256"/>
      <c r="I116" s="256"/>
      <c r="J116" s="256"/>
      <c r="K116" s="256"/>
      <c r="L116" s="256"/>
      <c r="M116" s="256"/>
      <c r="N116" s="1955"/>
      <c r="O116" s="257"/>
      <c r="P116" s="25"/>
    </row>
    <row r="117" spans="1:16" s="597" customFormat="1" ht="18" customHeight="1">
      <c r="A117" s="37">
        <v>109</v>
      </c>
      <c r="B117" s="603"/>
      <c r="C117" s="587"/>
      <c r="D117" s="588"/>
      <c r="E117" s="598" t="s">
        <v>303</v>
      </c>
      <c r="F117" s="599">
        <v>410302</v>
      </c>
      <c r="G117" s="599"/>
      <c r="H117" s="599"/>
      <c r="I117" s="599"/>
      <c r="J117" s="599"/>
      <c r="K117" s="599"/>
      <c r="L117" s="599"/>
      <c r="M117" s="599">
        <v>615157</v>
      </c>
      <c r="N117" s="1956">
        <v>193026</v>
      </c>
      <c r="O117" s="593">
        <f>SUM(F117:M117)</f>
        <v>1025459</v>
      </c>
      <c r="P117" s="596"/>
    </row>
    <row r="118" spans="1:16" s="597" customFormat="1" ht="18" customHeight="1">
      <c r="A118" s="37">
        <v>110</v>
      </c>
      <c r="B118" s="603"/>
      <c r="C118" s="587"/>
      <c r="D118" s="588"/>
      <c r="E118" s="483" t="s">
        <v>994</v>
      </c>
      <c r="F118" s="1056">
        <v>340502</v>
      </c>
      <c r="G118" s="1056"/>
      <c r="H118" s="1056"/>
      <c r="I118" s="1056">
        <v>600</v>
      </c>
      <c r="J118" s="1056"/>
      <c r="K118" s="1056"/>
      <c r="L118" s="1056">
        <v>145203</v>
      </c>
      <c r="M118" s="1056">
        <v>500159</v>
      </c>
      <c r="N118" s="1957">
        <v>145261</v>
      </c>
      <c r="O118" s="253">
        <f>SUM(F118:M118)</f>
        <v>986464</v>
      </c>
      <c r="P118" s="596"/>
    </row>
    <row r="119" spans="1:16" s="213" customFormat="1" ht="18" customHeight="1" thickBot="1">
      <c r="A119" s="37">
        <v>111</v>
      </c>
      <c r="B119" s="1018"/>
      <c r="C119" s="886"/>
      <c r="D119" s="1019"/>
      <c r="E119" s="1020" t="s">
        <v>1035</v>
      </c>
      <c r="F119" s="116">
        <v>289834</v>
      </c>
      <c r="G119" s="116"/>
      <c r="H119" s="116"/>
      <c r="I119" s="116">
        <v>512</v>
      </c>
      <c r="J119" s="116"/>
      <c r="K119" s="116"/>
      <c r="L119" s="116">
        <v>145203</v>
      </c>
      <c r="M119" s="116">
        <v>500159</v>
      </c>
      <c r="N119" s="116">
        <v>131295</v>
      </c>
      <c r="O119" s="888">
        <f>SUM(F119:N119)</f>
        <v>1067003</v>
      </c>
      <c r="P119" s="26"/>
    </row>
    <row r="120" spans="1:16" s="213" customFormat="1" ht="36" customHeight="1">
      <c r="A120" s="37">
        <v>112</v>
      </c>
      <c r="B120" s="2041" t="s">
        <v>156</v>
      </c>
      <c r="C120" s="2042"/>
      <c r="D120" s="2042"/>
      <c r="E120" s="2043"/>
      <c r="F120" s="600"/>
      <c r="G120" s="600"/>
      <c r="H120" s="600"/>
      <c r="I120" s="600"/>
      <c r="J120" s="600"/>
      <c r="K120" s="600"/>
      <c r="L120" s="600"/>
      <c r="M120" s="600"/>
      <c r="N120" s="1958"/>
      <c r="O120" s="601"/>
      <c r="P120" s="26"/>
    </row>
    <row r="121" spans="1:16" s="597" customFormat="1" ht="18" customHeight="1">
      <c r="A121" s="37">
        <v>113</v>
      </c>
      <c r="B121" s="603"/>
      <c r="C121" s="587"/>
      <c r="D121" s="588"/>
      <c r="E121" s="598" t="s">
        <v>303</v>
      </c>
      <c r="F121" s="599">
        <f aca="true" t="shared" si="11" ref="F121:N121">SUM(F117,F113,F60,F44)</f>
        <v>1028612</v>
      </c>
      <c r="G121" s="599">
        <f t="shared" si="11"/>
        <v>236049</v>
      </c>
      <c r="H121" s="599">
        <f t="shared" si="11"/>
        <v>0</v>
      </c>
      <c r="I121" s="599">
        <f t="shared" si="11"/>
        <v>3000</v>
      </c>
      <c r="J121" s="599">
        <f t="shared" si="11"/>
        <v>4050</v>
      </c>
      <c r="K121" s="599">
        <f t="shared" si="11"/>
        <v>0</v>
      </c>
      <c r="L121" s="599">
        <f t="shared" si="11"/>
        <v>43922</v>
      </c>
      <c r="M121" s="599">
        <f t="shared" si="11"/>
        <v>5047379</v>
      </c>
      <c r="N121" s="1956">
        <f t="shared" si="11"/>
        <v>3177125</v>
      </c>
      <c r="O121" s="593">
        <f>SUM(F121:M121)</f>
        <v>6363012</v>
      </c>
      <c r="P121" s="596"/>
    </row>
    <row r="122" spans="1:16" s="597" customFormat="1" ht="18" customHeight="1">
      <c r="A122" s="37">
        <v>114</v>
      </c>
      <c r="B122" s="603"/>
      <c r="C122" s="587"/>
      <c r="D122" s="588"/>
      <c r="E122" s="483" t="s">
        <v>994</v>
      </c>
      <c r="F122" s="1056">
        <f aca="true" t="shared" si="12" ref="F122:N122">SUM(F118,F114,F61,F45)</f>
        <v>837876</v>
      </c>
      <c r="G122" s="1056">
        <f t="shared" si="12"/>
        <v>258410</v>
      </c>
      <c r="H122" s="1056">
        <f t="shared" si="12"/>
        <v>16765</v>
      </c>
      <c r="I122" s="1056">
        <f t="shared" si="12"/>
        <v>5372</v>
      </c>
      <c r="J122" s="1056">
        <f t="shared" si="12"/>
        <v>4385</v>
      </c>
      <c r="K122" s="1056">
        <f t="shared" si="12"/>
        <v>0</v>
      </c>
      <c r="L122" s="1056">
        <f t="shared" si="12"/>
        <v>689841</v>
      </c>
      <c r="M122" s="1056">
        <f t="shared" si="12"/>
        <v>5299531</v>
      </c>
      <c r="N122" s="1957">
        <f t="shared" si="12"/>
        <v>3503224</v>
      </c>
      <c r="O122" s="1280">
        <f>SUM(F122:M122)</f>
        <v>7112180</v>
      </c>
      <c r="P122" s="596"/>
    </row>
    <row r="123" spans="1:16" s="213" customFormat="1" ht="18" customHeight="1" thickBot="1">
      <c r="A123" s="37">
        <v>115</v>
      </c>
      <c r="B123" s="1508"/>
      <c r="C123" s="1509"/>
      <c r="D123" s="1510"/>
      <c r="E123" s="1511" t="s">
        <v>1036</v>
      </c>
      <c r="F123" s="1512">
        <f aca="true" t="shared" si="13" ref="F123:N123">SUM(F46,F62,F115,F119:F119)</f>
        <v>747650</v>
      </c>
      <c r="G123" s="1512">
        <f t="shared" si="13"/>
        <v>167555</v>
      </c>
      <c r="H123" s="1512">
        <f t="shared" si="13"/>
        <v>16840</v>
      </c>
      <c r="I123" s="1512">
        <f t="shared" si="13"/>
        <v>5504</v>
      </c>
      <c r="J123" s="1512">
        <f t="shared" si="13"/>
        <v>335</v>
      </c>
      <c r="K123" s="1512">
        <f t="shared" si="13"/>
        <v>0</v>
      </c>
      <c r="L123" s="1512">
        <f t="shared" si="13"/>
        <v>689841</v>
      </c>
      <c r="M123" s="1512">
        <f t="shared" si="13"/>
        <v>5299531</v>
      </c>
      <c r="N123" s="1512">
        <f t="shared" si="13"/>
        <v>3500938</v>
      </c>
      <c r="O123" s="1513">
        <f>SUM(F123:M123)</f>
        <v>6927256</v>
      </c>
      <c r="P123" s="26"/>
    </row>
    <row r="124" spans="1:16" ht="22.5" customHeight="1">
      <c r="A124" s="37">
        <v>116</v>
      </c>
      <c r="B124" s="248">
        <v>17</v>
      </c>
      <c r="C124" s="249"/>
      <c r="D124" s="1023" t="s">
        <v>157</v>
      </c>
      <c r="E124" s="1024"/>
      <c r="F124" s="1025"/>
      <c r="G124" s="485"/>
      <c r="H124" s="256"/>
      <c r="I124" s="256"/>
      <c r="J124" s="256"/>
      <c r="K124" s="256"/>
      <c r="L124" s="256"/>
      <c r="M124" s="256"/>
      <c r="N124" s="1955"/>
      <c r="O124" s="257"/>
      <c r="P124" s="25"/>
    </row>
    <row r="125" spans="1:16" s="597" customFormat="1" ht="18" customHeight="1">
      <c r="A125" s="37">
        <v>117</v>
      </c>
      <c r="B125" s="603"/>
      <c r="C125" s="587"/>
      <c r="D125" s="587"/>
      <c r="E125" s="604" t="s">
        <v>303</v>
      </c>
      <c r="F125" s="599"/>
      <c r="G125" s="599"/>
      <c r="H125" s="599"/>
      <c r="I125" s="599">
        <v>4543</v>
      </c>
      <c r="J125" s="599"/>
      <c r="K125" s="599"/>
      <c r="L125" s="599">
        <v>92459</v>
      </c>
      <c r="M125" s="599">
        <v>1578559</v>
      </c>
      <c r="N125" s="1956"/>
      <c r="O125" s="593">
        <f aca="true" t="shared" si="14" ref="O125:O130">SUM(F125:M125)</f>
        <v>1675561</v>
      </c>
      <c r="P125" s="596"/>
    </row>
    <row r="126" spans="1:16" s="597" customFormat="1" ht="18" customHeight="1">
      <c r="A126" s="37">
        <v>118</v>
      </c>
      <c r="B126" s="603"/>
      <c r="C126" s="587"/>
      <c r="D126" s="588"/>
      <c r="E126" s="258" t="s">
        <v>994</v>
      </c>
      <c r="F126" s="1056">
        <v>4543</v>
      </c>
      <c r="G126" s="1056">
        <v>47060</v>
      </c>
      <c r="H126" s="599"/>
      <c r="I126" s="1056"/>
      <c r="J126" s="1056"/>
      <c r="K126" s="1056"/>
      <c r="L126" s="1056">
        <v>384522</v>
      </c>
      <c r="M126" s="1056">
        <v>1509627</v>
      </c>
      <c r="N126" s="1957">
        <v>966</v>
      </c>
      <c r="O126" s="253">
        <f>SUM(F126:M126)</f>
        <v>1945752</v>
      </c>
      <c r="P126" s="596"/>
    </row>
    <row r="127" spans="1:16" s="213" customFormat="1" ht="18" customHeight="1" thickBot="1">
      <c r="A127" s="37">
        <v>119</v>
      </c>
      <c r="B127" s="1018"/>
      <c r="C127" s="886"/>
      <c r="D127" s="1019"/>
      <c r="E127" s="1020" t="s">
        <v>1035</v>
      </c>
      <c r="F127" s="116">
        <v>7335</v>
      </c>
      <c r="G127" s="116">
        <v>47060</v>
      </c>
      <c r="H127" s="116"/>
      <c r="I127" s="116">
        <v>345</v>
      </c>
      <c r="J127" s="116"/>
      <c r="K127" s="116"/>
      <c r="L127" s="116">
        <v>384522</v>
      </c>
      <c r="M127" s="116">
        <v>1509627</v>
      </c>
      <c r="N127" s="116">
        <v>8197</v>
      </c>
      <c r="O127" s="888">
        <f>SUM(F127:N127)</f>
        <v>1957086</v>
      </c>
      <c r="P127" s="26"/>
    </row>
    <row r="128" spans="1:16" s="213" customFormat="1" ht="36" customHeight="1">
      <c r="A128" s="37">
        <v>120</v>
      </c>
      <c r="B128" s="2044" t="s">
        <v>13</v>
      </c>
      <c r="C128" s="2045"/>
      <c r="D128" s="2045"/>
      <c r="E128" s="2046"/>
      <c r="F128" s="356"/>
      <c r="G128" s="356"/>
      <c r="H128" s="356"/>
      <c r="I128" s="356"/>
      <c r="J128" s="356"/>
      <c r="K128" s="356"/>
      <c r="L128" s="356"/>
      <c r="M128" s="356"/>
      <c r="N128" s="602"/>
      <c r="O128" s="601"/>
      <c r="P128" s="26"/>
    </row>
    <row r="129" spans="1:16" s="597" customFormat="1" ht="18" customHeight="1">
      <c r="A129" s="37">
        <v>121</v>
      </c>
      <c r="B129" s="603"/>
      <c r="C129" s="587"/>
      <c r="D129" s="587"/>
      <c r="E129" s="605" t="s">
        <v>303</v>
      </c>
      <c r="F129" s="599">
        <f aca="true" t="shared" si="15" ref="F129:N129">SUM(F121,F125)</f>
        <v>1028612</v>
      </c>
      <c r="G129" s="599">
        <f t="shared" si="15"/>
        <v>236049</v>
      </c>
      <c r="H129" s="599">
        <f t="shared" si="15"/>
        <v>0</v>
      </c>
      <c r="I129" s="599">
        <f t="shared" si="15"/>
        <v>7543</v>
      </c>
      <c r="J129" s="599">
        <f t="shared" si="15"/>
        <v>4050</v>
      </c>
      <c r="K129" s="599">
        <f t="shared" si="15"/>
        <v>0</v>
      </c>
      <c r="L129" s="599">
        <f t="shared" si="15"/>
        <v>136381</v>
      </c>
      <c r="M129" s="599">
        <f t="shared" si="15"/>
        <v>6625938</v>
      </c>
      <c r="N129" s="1956">
        <f t="shared" si="15"/>
        <v>3177125</v>
      </c>
      <c r="O129" s="593">
        <f t="shared" si="14"/>
        <v>8038573</v>
      </c>
      <c r="P129" s="596"/>
    </row>
    <row r="130" spans="1:16" s="597" customFormat="1" ht="18" customHeight="1">
      <c r="A130" s="37">
        <v>122</v>
      </c>
      <c r="B130" s="603"/>
      <c r="C130" s="587"/>
      <c r="D130" s="588"/>
      <c r="E130" s="258" t="s">
        <v>994</v>
      </c>
      <c r="F130" s="1056">
        <f aca="true" t="shared" si="16" ref="F130:N130">SUM(F122,F126)</f>
        <v>842419</v>
      </c>
      <c r="G130" s="1056">
        <f t="shared" si="16"/>
        <v>305470</v>
      </c>
      <c r="H130" s="1056">
        <f t="shared" si="16"/>
        <v>16765</v>
      </c>
      <c r="I130" s="1056">
        <f t="shared" si="16"/>
        <v>5372</v>
      </c>
      <c r="J130" s="1056">
        <f t="shared" si="16"/>
        <v>4385</v>
      </c>
      <c r="K130" s="1056">
        <f t="shared" si="16"/>
        <v>0</v>
      </c>
      <c r="L130" s="1056">
        <f t="shared" si="16"/>
        <v>1074363</v>
      </c>
      <c r="M130" s="1056">
        <f t="shared" si="16"/>
        <v>6809158</v>
      </c>
      <c r="N130" s="1957">
        <f t="shared" si="16"/>
        <v>3504190</v>
      </c>
      <c r="O130" s="1280">
        <f t="shared" si="14"/>
        <v>9057932</v>
      </c>
      <c r="P130" s="596"/>
    </row>
    <row r="131" spans="1:16" s="213" customFormat="1" ht="18" customHeight="1" thickBot="1">
      <c r="A131" s="37">
        <v>123</v>
      </c>
      <c r="B131" s="1508"/>
      <c r="C131" s="1509"/>
      <c r="D131" s="1510"/>
      <c r="E131" s="1524" t="s">
        <v>1036</v>
      </c>
      <c r="F131" s="1512">
        <f aca="true" t="shared" si="17" ref="F131:N131">SUM(F123,F127:F127)</f>
        <v>754985</v>
      </c>
      <c r="G131" s="1512">
        <f t="shared" si="17"/>
        <v>214615</v>
      </c>
      <c r="H131" s="1512">
        <f t="shared" si="17"/>
        <v>16840</v>
      </c>
      <c r="I131" s="1512">
        <f t="shared" si="17"/>
        <v>5849</v>
      </c>
      <c r="J131" s="1512">
        <f t="shared" si="17"/>
        <v>335</v>
      </c>
      <c r="K131" s="1512">
        <f t="shared" si="17"/>
        <v>0</v>
      </c>
      <c r="L131" s="1512">
        <f t="shared" si="17"/>
        <v>1074363</v>
      </c>
      <c r="M131" s="1512">
        <f t="shared" si="17"/>
        <v>6809158</v>
      </c>
      <c r="N131" s="1512">
        <f t="shared" si="17"/>
        <v>3509135</v>
      </c>
      <c r="O131" s="1513">
        <f>SUM(F131:M131)</f>
        <v>8876145</v>
      </c>
      <c r="P131" s="26"/>
    </row>
    <row r="132" spans="1:15" s="1027" customFormat="1" ht="12.75">
      <c r="A132" s="1026"/>
      <c r="F132" s="1028"/>
      <c r="G132" s="1028"/>
      <c r="H132" s="1028"/>
      <c r="I132" s="1028"/>
      <c r="J132" s="1028"/>
      <c r="K132" s="1028"/>
      <c r="L132" s="1028"/>
      <c r="N132" s="1650"/>
      <c r="O132" s="1029"/>
    </row>
    <row r="133" spans="1:15" s="1027" customFormat="1" ht="12.75">
      <c r="A133" s="1026"/>
      <c r="F133" s="1030"/>
      <c r="G133" s="1028"/>
      <c r="N133" s="1650"/>
      <c r="O133" s="1029"/>
    </row>
    <row r="134" ht="12.75">
      <c r="F134" s="451"/>
    </row>
    <row r="135" ht="12.75">
      <c r="G135" s="451"/>
    </row>
  </sheetData>
  <sheetProtection/>
  <mergeCells count="22">
    <mergeCell ref="C112:E112"/>
    <mergeCell ref="B120:E120"/>
    <mergeCell ref="B128:E128"/>
    <mergeCell ref="L7:L8"/>
    <mergeCell ref="B7:B8"/>
    <mergeCell ref="C59:E59"/>
    <mergeCell ref="C7:C8"/>
    <mergeCell ref="D7:E8"/>
    <mergeCell ref="F7:H7"/>
    <mergeCell ref="I7:K7"/>
    <mergeCell ref="D105:E105"/>
    <mergeCell ref="D90:E90"/>
    <mergeCell ref="M7:N7"/>
    <mergeCell ref="O7:O8"/>
    <mergeCell ref="D39:E39"/>
    <mergeCell ref="C43:E43"/>
    <mergeCell ref="D101:E101"/>
    <mergeCell ref="B3:O3"/>
    <mergeCell ref="B4:O4"/>
    <mergeCell ref="N5:O5"/>
    <mergeCell ref="B1:R1"/>
    <mergeCell ref="D6:E6"/>
  </mergeCell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74"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AE270"/>
  <sheetViews>
    <sheetView view="pageBreakPreview" zoomScale="85" zoomScaleSheetLayoutView="85" zoomScalePageLayoutView="0" workbookViewId="0" topLeftCell="A1">
      <selection activeCell="B1" sqref="B1:R1"/>
    </sheetView>
  </sheetViews>
  <sheetFormatPr defaultColWidth="9.125" defaultRowHeight="12.75"/>
  <cols>
    <col min="1" max="1" width="3.75390625" style="37" customWidth="1"/>
    <col min="2" max="2" width="5.625" style="38" customWidth="1"/>
    <col min="3" max="3" width="5.75390625" style="38" customWidth="1"/>
    <col min="4" max="4" width="4.75390625" style="38" customWidth="1"/>
    <col min="5" max="5" width="60.75390625" style="29" customWidth="1"/>
    <col min="6" max="6" width="6.75390625" style="217" customWidth="1"/>
    <col min="7" max="8" width="10.75390625" style="218" customWidth="1"/>
    <col min="9" max="9" width="10.75390625" style="1219" customWidth="1"/>
    <col min="10" max="10" width="13.75390625" style="114" customWidth="1"/>
    <col min="11" max="18" width="14.75390625" style="218" customWidth="1"/>
    <col min="19" max="19" width="9.625" style="218" bestFit="1" customWidth="1"/>
    <col min="20" max="31" width="9.125" style="218" customWidth="1"/>
    <col min="32" max="16384" width="9.125" style="219" customWidth="1"/>
  </cols>
  <sheetData>
    <row r="1" spans="1:18" ht="16.5" customHeight="1">
      <c r="A1" s="1407"/>
      <c r="B1" s="2027" t="s">
        <v>1461</v>
      </c>
      <c r="C1" s="2027"/>
      <c r="D1" s="2027"/>
      <c r="E1" s="2027"/>
      <c r="F1" s="2027"/>
      <c r="G1" s="2027"/>
      <c r="H1" s="2027"/>
      <c r="I1" s="2027"/>
      <c r="J1" s="2027"/>
      <c r="K1" s="2027"/>
      <c r="L1" s="2027"/>
      <c r="M1" s="2027"/>
      <c r="N1" s="2027"/>
      <c r="O1" s="2027"/>
      <c r="P1" s="2027"/>
      <c r="Q1" s="2027"/>
      <c r="R1" s="2027"/>
    </row>
    <row r="2" spans="1:31" s="495" customFormat="1" ht="18" customHeight="1">
      <c r="A2" s="1407"/>
      <c r="B2" s="1412"/>
      <c r="C2" s="1412"/>
      <c r="D2" s="1412"/>
      <c r="E2" s="1412"/>
      <c r="F2" s="1412"/>
      <c r="G2" s="1412"/>
      <c r="H2" s="1412"/>
      <c r="I2" s="1412"/>
      <c r="J2" s="1412"/>
      <c r="K2" s="1412"/>
      <c r="L2" s="1412"/>
      <c r="M2" s="1412"/>
      <c r="N2" s="1412"/>
      <c r="O2" s="1412"/>
      <c r="P2" s="1412"/>
      <c r="Q2" s="1412"/>
      <c r="R2" s="1412"/>
      <c r="S2" s="347"/>
      <c r="T2" s="347"/>
      <c r="U2" s="347"/>
      <c r="V2" s="347"/>
      <c r="W2" s="347"/>
      <c r="X2" s="347"/>
      <c r="Y2" s="347"/>
      <c r="Z2" s="347"/>
      <c r="AA2" s="347"/>
      <c r="AB2" s="347"/>
      <c r="AC2" s="347"/>
      <c r="AD2" s="347"/>
      <c r="AE2" s="347"/>
    </row>
    <row r="3" spans="1:31" s="495" customFormat="1" ht="24.75" customHeight="1">
      <c r="A3" s="37"/>
      <c r="B3" s="2028" t="s">
        <v>140</v>
      </c>
      <c r="C3" s="2028"/>
      <c r="D3" s="2028"/>
      <c r="E3" s="2028"/>
      <c r="F3" s="2028"/>
      <c r="G3" s="2028"/>
      <c r="H3" s="2028"/>
      <c r="I3" s="2028"/>
      <c r="J3" s="2028"/>
      <c r="K3" s="2028"/>
      <c r="L3" s="2028"/>
      <c r="M3" s="2028"/>
      <c r="N3" s="2028"/>
      <c r="O3" s="2028"/>
      <c r="P3" s="2028"/>
      <c r="Q3" s="2028"/>
      <c r="R3" s="2028"/>
      <c r="S3" s="347"/>
      <c r="T3" s="347"/>
      <c r="U3" s="347"/>
      <c r="V3" s="347"/>
      <c r="W3" s="347"/>
      <c r="X3" s="347"/>
      <c r="Y3" s="347"/>
      <c r="Z3" s="347"/>
      <c r="AA3" s="347"/>
      <c r="AB3" s="347"/>
      <c r="AC3" s="347"/>
      <c r="AD3" s="347"/>
      <c r="AE3" s="347"/>
    </row>
    <row r="4" spans="1:31" s="495" customFormat="1" ht="24.75" customHeight="1">
      <c r="A4" s="37"/>
      <c r="B4" s="2028" t="s">
        <v>1043</v>
      </c>
      <c r="C4" s="2028"/>
      <c r="D4" s="2028"/>
      <c r="E4" s="2028"/>
      <c r="F4" s="2028"/>
      <c r="G4" s="2028"/>
      <c r="H4" s="2028"/>
      <c r="I4" s="2028"/>
      <c r="J4" s="2028"/>
      <c r="K4" s="2028"/>
      <c r="L4" s="2028"/>
      <c r="M4" s="2028"/>
      <c r="N4" s="2028"/>
      <c r="O4" s="2028"/>
      <c r="P4" s="2028"/>
      <c r="Q4" s="2028"/>
      <c r="R4" s="2028"/>
      <c r="S4" s="347"/>
      <c r="T4" s="347"/>
      <c r="U4" s="347"/>
      <c r="V4" s="347"/>
      <c r="W4" s="347"/>
      <c r="X4" s="347"/>
      <c r="Y4" s="347"/>
      <c r="Z4" s="347"/>
      <c r="AA4" s="347"/>
      <c r="AB4" s="347"/>
      <c r="AC4" s="347"/>
      <c r="AD4" s="347"/>
      <c r="AE4" s="347"/>
    </row>
    <row r="5" spans="9:18" ht="18" customHeight="1">
      <c r="I5" s="218"/>
      <c r="Q5" s="2067" t="s">
        <v>0</v>
      </c>
      <c r="R5" s="2067"/>
    </row>
    <row r="6" spans="2:18" s="37" customFormat="1" ht="18" customHeight="1" thickBot="1">
      <c r="B6" s="37" t="s">
        <v>1</v>
      </c>
      <c r="C6" s="37" t="s">
        <v>3</v>
      </c>
      <c r="D6" s="2030" t="s">
        <v>2</v>
      </c>
      <c r="E6" s="2030"/>
      <c r="F6" s="37" t="s">
        <v>4</v>
      </c>
      <c r="G6" s="37" t="s">
        <v>5</v>
      </c>
      <c r="H6" s="37" t="s">
        <v>15</v>
      </c>
      <c r="I6" s="37" t="s">
        <v>16</v>
      </c>
      <c r="J6" s="37" t="s">
        <v>17</v>
      </c>
      <c r="K6" s="37" t="s">
        <v>36</v>
      </c>
      <c r="L6" s="37" t="s">
        <v>30</v>
      </c>
      <c r="M6" s="37" t="s">
        <v>23</v>
      </c>
      <c r="N6" s="37" t="s">
        <v>37</v>
      </c>
      <c r="O6" s="37" t="s">
        <v>38</v>
      </c>
      <c r="P6" s="37" t="s">
        <v>158</v>
      </c>
      <c r="Q6" s="37" t="s">
        <v>159</v>
      </c>
      <c r="R6" s="37" t="s">
        <v>160</v>
      </c>
    </row>
    <row r="7" spans="1:18" s="217" customFormat="1" ht="30" customHeight="1">
      <c r="A7" s="37"/>
      <c r="B7" s="2048" t="s">
        <v>18</v>
      </c>
      <c r="C7" s="2068" t="s">
        <v>19</v>
      </c>
      <c r="D7" s="2052" t="s">
        <v>6</v>
      </c>
      <c r="E7" s="2070"/>
      <c r="F7" s="2072" t="s">
        <v>20</v>
      </c>
      <c r="G7" s="2061" t="s">
        <v>568</v>
      </c>
      <c r="H7" s="2061" t="s">
        <v>567</v>
      </c>
      <c r="I7" s="2063" t="s">
        <v>764</v>
      </c>
      <c r="J7" s="2065" t="s">
        <v>570</v>
      </c>
      <c r="K7" s="2057" t="s">
        <v>39</v>
      </c>
      <c r="L7" s="2058"/>
      <c r="M7" s="2058"/>
      <c r="N7" s="2058"/>
      <c r="O7" s="2059"/>
      <c r="P7" s="2060" t="s">
        <v>161</v>
      </c>
      <c r="Q7" s="2060"/>
      <c r="R7" s="2060"/>
    </row>
    <row r="8" spans="1:18" s="217" customFormat="1" ht="60.75" customHeight="1" thickBot="1">
      <c r="A8" s="37"/>
      <c r="B8" s="2049"/>
      <c r="C8" s="2069"/>
      <c r="D8" s="2054"/>
      <c r="E8" s="2071"/>
      <c r="F8" s="2073"/>
      <c r="G8" s="2062"/>
      <c r="H8" s="2062"/>
      <c r="I8" s="2064"/>
      <c r="J8" s="2066"/>
      <c r="K8" s="1625" t="s">
        <v>40</v>
      </c>
      <c r="L8" s="1625" t="s">
        <v>41</v>
      </c>
      <c r="M8" s="1625" t="s">
        <v>42</v>
      </c>
      <c r="N8" s="1625" t="s">
        <v>219</v>
      </c>
      <c r="O8" s="1625" t="s">
        <v>43</v>
      </c>
      <c r="P8" s="39" t="s">
        <v>227</v>
      </c>
      <c r="Q8" s="1625" t="s">
        <v>228</v>
      </c>
      <c r="R8" s="1625" t="s">
        <v>162</v>
      </c>
    </row>
    <row r="9" spans="1:31" s="30" customFormat="1" ht="22.5" customHeight="1">
      <c r="A9" s="98">
        <v>1</v>
      </c>
      <c r="B9" s="248">
        <v>1</v>
      </c>
      <c r="C9" s="491"/>
      <c r="D9" s="260" t="s">
        <v>306</v>
      </c>
      <c r="E9" s="260"/>
      <c r="F9" s="351" t="s">
        <v>23</v>
      </c>
      <c r="G9" s="256">
        <v>206614</v>
      </c>
      <c r="H9" s="256">
        <v>209393</v>
      </c>
      <c r="I9" s="352">
        <v>212753</v>
      </c>
      <c r="J9" s="492"/>
      <c r="K9" s="256"/>
      <c r="L9" s="256"/>
      <c r="M9" s="256"/>
      <c r="N9" s="256"/>
      <c r="O9" s="256"/>
      <c r="P9" s="256"/>
      <c r="Q9" s="256"/>
      <c r="R9" s="269"/>
      <c r="S9" s="89"/>
      <c r="T9" s="89"/>
      <c r="U9" s="89"/>
      <c r="V9" s="89"/>
      <c r="W9" s="89"/>
      <c r="X9" s="89"/>
      <c r="Y9" s="89"/>
      <c r="Z9" s="89"/>
      <c r="AA9" s="89"/>
      <c r="AB9" s="89"/>
      <c r="AC9" s="89"/>
      <c r="AD9" s="89"/>
      <c r="AE9" s="89"/>
    </row>
    <row r="10" spans="1:31" s="30" customFormat="1" ht="18" customHeight="1">
      <c r="A10" s="98">
        <v>2</v>
      </c>
      <c r="B10" s="237"/>
      <c r="C10" s="489"/>
      <c r="D10" s="349" t="s">
        <v>334</v>
      </c>
      <c r="E10" s="349"/>
      <c r="F10" s="95"/>
      <c r="G10" s="95"/>
      <c r="H10" s="95"/>
      <c r="I10" s="265"/>
      <c r="J10" s="266"/>
      <c r="K10" s="95"/>
      <c r="L10" s="95"/>
      <c r="M10" s="95"/>
      <c r="N10" s="95"/>
      <c r="O10" s="95"/>
      <c r="P10" s="95"/>
      <c r="Q10" s="95"/>
      <c r="R10" s="102"/>
      <c r="S10" s="89"/>
      <c r="T10" s="89"/>
      <c r="U10" s="89"/>
      <c r="V10" s="89"/>
      <c r="W10" s="89"/>
      <c r="X10" s="89"/>
      <c r="Y10" s="89"/>
      <c r="Z10" s="89"/>
      <c r="AA10" s="89"/>
      <c r="AB10" s="89"/>
      <c r="AC10" s="89"/>
      <c r="AD10" s="89"/>
      <c r="AE10" s="89"/>
    </row>
    <row r="11" spans="1:31" s="613" customFormat="1" ht="18" customHeight="1">
      <c r="A11" s="98">
        <v>3</v>
      </c>
      <c r="B11" s="574"/>
      <c r="C11" s="606"/>
      <c r="D11" s="606"/>
      <c r="E11" s="607" t="s">
        <v>303</v>
      </c>
      <c r="F11" s="594"/>
      <c r="G11" s="594"/>
      <c r="H11" s="594"/>
      <c r="I11" s="608"/>
      <c r="J11" s="609">
        <f>SUM(K11:R11)</f>
        <v>213625</v>
      </c>
      <c r="K11" s="610">
        <v>134372</v>
      </c>
      <c r="L11" s="610">
        <v>26600</v>
      </c>
      <c r="M11" s="610">
        <v>51943</v>
      </c>
      <c r="N11" s="610"/>
      <c r="O11" s="610"/>
      <c r="P11" s="610">
        <v>710</v>
      </c>
      <c r="Q11" s="610"/>
      <c r="R11" s="611"/>
      <c r="S11" s="612"/>
      <c r="T11" s="612"/>
      <c r="U11" s="612"/>
      <c r="V11" s="612"/>
      <c r="W11" s="612"/>
      <c r="X11" s="612"/>
      <c r="Y11" s="612"/>
      <c r="Z11" s="612"/>
      <c r="AA11" s="612"/>
      <c r="AB11" s="612"/>
      <c r="AC11" s="612"/>
      <c r="AD11" s="612"/>
      <c r="AE11" s="612"/>
    </row>
    <row r="12" spans="1:31" s="613" customFormat="1" ht="18" customHeight="1">
      <c r="A12" s="98">
        <v>4</v>
      </c>
      <c r="B12" s="574"/>
      <c r="C12" s="606"/>
      <c r="D12" s="606"/>
      <c r="E12" s="483" t="s">
        <v>994</v>
      </c>
      <c r="F12" s="1036"/>
      <c r="G12" s="1036"/>
      <c r="H12" s="1036"/>
      <c r="I12" s="1037"/>
      <c r="J12" s="266">
        <f>SUM(K12:R12)</f>
        <v>220866</v>
      </c>
      <c r="K12" s="1038">
        <v>140799</v>
      </c>
      <c r="L12" s="1038">
        <v>28549</v>
      </c>
      <c r="M12" s="1038">
        <v>49888</v>
      </c>
      <c r="N12" s="1038"/>
      <c r="O12" s="1038"/>
      <c r="P12" s="1038">
        <v>1460</v>
      </c>
      <c r="Q12" s="1038">
        <v>170</v>
      </c>
      <c r="R12" s="1039"/>
      <c r="S12" s="612"/>
      <c r="T12" s="612"/>
      <c r="U12" s="612"/>
      <c r="V12" s="612"/>
      <c r="W12" s="612"/>
      <c r="X12" s="612"/>
      <c r="Y12" s="612"/>
      <c r="Z12" s="612"/>
      <c r="AA12" s="612"/>
      <c r="AB12" s="612"/>
      <c r="AC12" s="612"/>
      <c r="AD12" s="612"/>
      <c r="AE12" s="612"/>
    </row>
    <row r="13" spans="1:31" s="31" customFormat="1" ht="18" customHeight="1">
      <c r="A13" s="98">
        <v>5</v>
      </c>
      <c r="B13" s="1018"/>
      <c r="C13" s="1031"/>
      <c r="D13" s="1031"/>
      <c r="E13" s="1020" t="s">
        <v>1035</v>
      </c>
      <c r="F13" s="243"/>
      <c r="G13" s="243"/>
      <c r="H13" s="243"/>
      <c r="I13" s="1033"/>
      <c r="J13" s="1034">
        <f>SUM(K13:R13)</f>
        <v>204045</v>
      </c>
      <c r="K13" s="270">
        <v>134118</v>
      </c>
      <c r="L13" s="270">
        <v>25145</v>
      </c>
      <c r="M13" s="270">
        <v>44067</v>
      </c>
      <c r="N13" s="270"/>
      <c r="O13" s="270"/>
      <c r="P13" s="270">
        <v>546</v>
      </c>
      <c r="Q13" s="270">
        <v>169</v>
      </c>
      <c r="R13" s="271"/>
      <c r="S13" s="113"/>
      <c r="T13" s="113"/>
      <c r="U13" s="113"/>
      <c r="V13" s="113"/>
      <c r="W13" s="113"/>
      <c r="X13" s="113"/>
      <c r="Y13" s="113"/>
      <c r="Z13" s="113"/>
      <c r="AA13" s="113"/>
      <c r="AB13" s="113"/>
      <c r="AC13" s="113"/>
      <c r="AD13" s="113"/>
      <c r="AE13" s="113"/>
    </row>
    <row r="14" spans="1:31" s="34" customFormat="1" ht="22.5" customHeight="1">
      <c r="A14" s="98">
        <v>7</v>
      </c>
      <c r="B14" s="237">
        <v>2</v>
      </c>
      <c r="C14" s="489"/>
      <c r="D14" s="258" t="s">
        <v>305</v>
      </c>
      <c r="E14" s="258"/>
      <c r="F14" s="350" t="s">
        <v>23</v>
      </c>
      <c r="G14" s="95">
        <v>351654</v>
      </c>
      <c r="H14" s="95">
        <v>356328</v>
      </c>
      <c r="I14" s="265">
        <v>358902</v>
      </c>
      <c r="J14" s="266"/>
      <c r="K14" s="95"/>
      <c r="L14" s="95"/>
      <c r="M14" s="95"/>
      <c r="N14" s="95"/>
      <c r="O14" s="95"/>
      <c r="P14" s="95"/>
      <c r="Q14" s="95"/>
      <c r="R14" s="102"/>
      <c r="S14" s="220"/>
      <c r="T14" s="220"/>
      <c r="U14" s="220"/>
      <c r="V14" s="220"/>
      <c r="W14" s="220"/>
      <c r="X14" s="220"/>
      <c r="Y14" s="220"/>
      <c r="Z14" s="220"/>
      <c r="AA14" s="220"/>
      <c r="AB14" s="220"/>
      <c r="AC14" s="220"/>
      <c r="AD14" s="220"/>
      <c r="AE14" s="220"/>
    </row>
    <row r="15" spans="1:31" s="30" customFormat="1" ht="18" customHeight="1">
      <c r="A15" s="98">
        <v>8</v>
      </c>
      <c r="B15" s="237"/>
      <c r="C15" s="489"/>
      <c r="D15" s="349" t="s">
        <v>304</v>
      </c>
      <c r="E15" s="349"/>
      <c r="F15" s="95"/>
      <c r="G15" s="95"/>
      <c r="H15" s="95"/>
      <c r="I15" s="265"/>
      <c r="J15" s="266"/>
      <c r="K15" s="95"/>
      <c r="L15" s="95"/>
      <c r="M15" s="95"/>
      <c r="N15" s="95"/>
      <c r="O15" s="95"/>
      <c r="P15" s="95"/>
      <c r="Q15" s="95"/>
      <c r="R15" s="102"/>
      <c r="S15" s="89"/>
      <c r="T15" s="89"/>
      <c r="U15" s="89"/>
      <c r="V15" s="89"/>
      <c r="W15" s="89"/>
      <c r="X15" s="89"/>
      <c r="Y15" s="89"/>
      <c r="Z15" s="89"/>
      <c r="AA15" s="89"/>
      <c r="AB15" s="89"/>
      <c r="AC15" s="89"/>
      <c r="AD15" s="89"/>
      <c r="AE15" s="89"/>
    </row>
    <row r="16" spans="1:31" s="615" customFormat="1" ht="18" customHeight="1">
      <c r="A16" s="98">
        <v>9</v>
      </c>
      <c r="B16" s="574"/>
      <c r="C16" s="606"/>
      <c r="D16" s="606"/>
      <c r="E16" s="607" t="s">
        <v>303</v>
      </c>
      <c r="F16" s="594"/>
      <c r="G16" s="594"/>
      <c r="H16" s="594"/>
      <c r="I16" s="608"/>
      <c r="J16" s="609">
        <f>SUM(K16:R16)</f>
        <v>367090</v>
      </c>
      <c r="K16" s="610">
        <v>241291</v>
      </c>
      <c r="L16" s="610">
        <v>48109</v>
      </c>
      <c r="M16" s="610">
        <v>76990</v>
      </c>
      <c r="N16" s="610"/>
      <c r="O16" s="610"/>
      <c r="P16" s="610">
        <v>700</v>
      </c>
      <c r="Q16" s="610"/>
      <c r="R16" s="611"/>
      <c r="S16" s="614"/>
      <c r="T16" s="614"/>
      <c r="U16" s="614"/>
      <c r="V16" s="614"/>
      <c r="W16" s="614"/>
      <c r="X16" s="614"/>
      <c r="Y16" s="614"/>
      <c r="Z16" s="614"/>
      <c r="AA16" s="614"/>
      <c r="AB16" s="614"/>
      <c r="AC16" s="614"/>
      <c r="AD16" s="614"/>
      <c r="AE16" s="614"/>
    </row>
    <row r="17" spans="1:31" s="615" customFormat="1" ht="18" customHeight="1">
      <c r="A17" s="98">
        <v>10</v>
      </c>
      <c r="B17" s="574"/>
      <c r="C17" s="606"/>
      <c r="D17" s="606"/>
      <c r="E17" s="483" t="s">
        <v>994</v>
      </c>
      <c r="F17" s="594"/>
      <c r="G17" s="594"/>
      <c r="H17" s="594"/>
      <c r="I17" s="608"/>
      <c r="J17" s="266">
        <f>SUM(K17:R17)</f>
        <v>399276</v>
      </c>
      <c r="K17" s="1038">
        <v>252387</v>
      </c>
      <c r="L17" s="1038">
        <v>50549</v>
      </c>
      <c r="M17" s="1038">
        <v>79326</v>
      </c>
      <c r="N17" s="1038"/>
      <c r="O17" s="1038"/>
      <c r="P17" s="1038">
        <v>14067</v>
      </c>
      <c r="Q17" s="1038">
        <v>2947</v>
      </c>
      <c r="R17" s="611"/>
      <c r="S17" s="614"/>
      <c r="T17" s="614"/>
      <c r="U17" s="614"/>
      <c r="V17" s="614"/>
      <c r="W17" s="614"/>
      <c r="X17" s="614"/>
      <c r="Y17" s="614"/>
      <c r="Z17" s="614"/>
      <c r="AA17" s="614"/>
      <c r="AB17" s="614"/>
      <c r="AC17" s="614"/>
      <c r="AD17" s="614"/>
      <c r="AE17" s="614"/>
    </row>
    <row r="18" spans="1:31" s="615" customFormat="1" ht="18" customHeight="1">
      <c r="A18" s="98">
        <v>11</v>
      </c>
      <c r="B18" s="574"/>
      <c r="C18" s="606"/>
      <c r="D18" s="606"/>
      <c r="E18" s="1020" t="s">
        <v>1035</v>
      </c>
      <c r="F18" s="594"/>
      <c r="G18" s="594"/>
      <c r="H18" s="594"/>
      <c r="I18" s="608"/>
      <c r="J18" s="1034">
        <f>SUM(K18:R18)</f>
        <v>376590</v>
      </c>
      <c r="K18" s="270">
        <v>248351</v>
      </c>
      <c r="L18" s="270">
        <v>46503</v>
      </c>
      <c r="M18" s="270">
        <v>66609</v>
      </c>
      <c r="N18" s="270"/>
      <c r="O18" s="270"/>
      <c r="P18" s="270">
        <v>12181</v>
      </c>
      <c r="Q18" s="270">
        <v>2946</v>
      </c>
      <c r="R18" s="611"/>
      <c r="S18" s="614"/>
      <c r="T18" s="614"/>
      <c r="U18" s="614"/>
      <c r="V18" s="614"/>
      <c r="W18" s="614"/>
      <c r="X18" s="614"/>
      <c r="Y18" s="614"/>
      <c r="Z18" s="614"/>
      <c r="AA18" s="614"/>
      <c r="AB18" s="614"/>
      <c r="AC18" s="614"/>
      <c r="AD18" s="614"/>
      <c r="AE18" s="614"/>
    </row>
    <row r="19" spans="1:31" s="30" customFormat="1" ht="22.5" customHeight="1">
      <c r="A19" s="98">
        <v>13</v>
      </c>
      <c r="B19" s="237">
        <v>3</v>
      </c>
      <c r="C19" s="489"/>
      <c r="D19" s="258" t="s">
        <v>261</v>
      </c>
      <c r="E19" s="258"/>
      <c r="F19" s="350" t="s">
        <v>23</v>
      </c>
      <c r="G19" s="95">
        <v>431588</v>
      </c>
      <c r="H19" s="95">
        <v>425240</v>
      </c>
      <c r="I19" s="265">
        <v>431030</v>
      </c>
      <c r="J19" s="266"/>
      <c r="K19" s="95"/>
      <c r="L19" s="95"/>
      <c r="M19" s="95"/>
      <c r="N19" s="95"/>
      <c r="O19" s="95"/>
      <c r="P19" s="95"/>
      <c r="Q19" s="95"/>
      <c r="R19" s="102"/>
      <c r="S19" s="89"/>
      <c r="T19" s="89"/>
      <c r="U19" s="89"/>
      <c r="V19" s="89"/>
      <c r="W19" s="89"/>
      <c r="X19" s="89"/>
      <c r="Y19" s="89"/>
      <c r="Z19" s="89"/>
      <c r="AA19" s="89"/>
      <c r="AB19" s="89"/>
      <c r="AC19" s="89"/>
      <c r="AD19" s="89"/>
      <c r="AE19" s="89"/>
    </row>
    <row r="20" spans="1:31" s="28" customFormat="1" ht="18" customHeight="1">
      <c r="A20" s="98">
        <v>14</v>
      </c>
      <c r="B20" s="237"/>
      <c r="C20" s="489"/>
      <c r="D20" s="349" t="s">
        <v>151</v>
      </c>
      <c r="E20" s="349"/>
      <c r="F20" s="95"/>
      <c r="G20" s="95"/>
      <c r="H20" s="95"/>
      <c r="I20" s="265"/>
      <c r="J20" s="266"/>
      <c r="K20" s="95"/>
      <c r="L20" s="95"/>
      <c r="M20" s="95"/>
      <c r="N20" s="95"/>
      <c r="O20" s="95"/>
      <c r="P20" s="95"/>
      <c r="Q20" s="95"/>
      <c r="R20" s="102"/>
      <c r="S20" s="36"/>
      <c r="T20" s="36"/>
      <c r="U20" s="36"/>
      <c r="V20" s="36"/>
      <c r="W20" s="36"/>
      <c r="X20" s="36"/>
      <c r="Y20" s="36"/>
      <c r="Z20" s="36"/>
      <c r="AA20" s="36"/>
      <c r="AB20" s="36"/>
      <c r="AC20" s="36"/>
      <c r="AD20" s="36"/>
      <c r="AE20" s="36"/>
    </row>
    <row r="21" spans="1:31" s="613" customFormat="1" ht="18" customHeight="1">
      <c r="A21" s="98">
        <v>15</v>
      </c>
      <c r="B21" s="574"/>
      <c r="C21" s="606"/>
      <c r="D21" s="606"/>
      <c r="E21" s="607" t="s">
        <v>303</v>
      </c>
      <c r="F21" s="594"/>
      <c r="G21" s="594"/>
      <c r="H21" s="594"/>
      <c r="I21" s="608"/>
      <c r="J21" s="609">
        <f>SUM(K21:R21)</f>
        <v>428960</v>
      </c>
      <c r="K21" s="610">
        <v>291221</v>
      </c>
      <c r="L21" s="610">
        <v>57361</v>
      </c>
      <c r="M21" s="610">
        <v>80378</v>
      </c>
      <c r="N21" s="610"/>
      <c r="O21" s="610"/>
      <c r="P21" s="610"/>
      <c r="Q21" s="610"/>
      <c r="R21" s="611"/>
      <c r="S21" s="612"/>
      <c r="T21" s="612"/>
      <c r="U21" s="612"/>
      <c r="V21" s="612"/>
      <c r="W21" s="612"/>
      <c r="X21" s="612"/>
      <c r="Y21" s="612"/>
      <c r="Z21" s="612"/>
      <c r="AA21" s="612"/>
      <c r="AB21" s="612"/>
      <c r="AC21" s="612"/>
      <c r="AD21" s="612"/>
      <c r="AE21" s="612"/>
    </row>
    <row r="22" spans="1:31" s="613" customFormat="1" ht="18" customHeight="1">
      <c r="A22" s="98">
        <v>16</v>
      </c>
      <c r="B22" s="574"/>
      <c r="C22" s="606"/>
      <c r="D22" s="606"/>
      <c r="E22" s="483" t="s">
        <v>994</v>
      </c>
      <c r="F22" s="594"/>
      <c r="G22" s="594"/>
      <c r="H22" s="594"/>
      <c r="I22" s="608"/>
      <c r="J22" s="266">
        <f>SUM(K22:R22)</f>
        <v>450772</v>
      </c>
      <c r="K22" s="1038">
        <v>304427</v>
      </c>
      <c r="L22" s="1038">
        <v>59375</v>
      </c>
      <c r="M22" s="1038">
        <v>85209</v>
      </c>
      <c r="N22" s="610"/>
      <c r="O22" s="610"/>
      <c r="P22" s="1038">
        <v>1761</v>
      </c>
      <c r="Q22" s="610"/>
      <c r="R22" s="611"/>
      <c r="S22" s="612"/>
      <c r="T22" s="612"/>
      <c r="U22" s="612"/>
      <c r="V22" s="612"/>
      <c r="W22" s="612"/>
      <c r="X22" s="612"/>
      <c r="Y22" s="612"/>
      <c r="Z22" s="612"/>
      <c r="AA22" s="612"/>
      <c r="AB22" s="612"/>
      <c r="AC22" s="612"/>
      <c r="AD22" s="612"/>
      <c r="AE22" s="612"/>
    </row>
    <row r="23" spans="1:31" s="31" customFormat="1" ht="18" customHeight="1">
      <c r="A23" s="98">
        <v>17</v>
      </c>
      <c r="B23" s="1018"/>
      <c r="C23" s="1031"/>
      <c r="D23" s="1031"/>
      <c r="E23" s="1020" t="s">
        <v>1035</v>
      </c>
      <c r="F23" s="243"/>
      <c r="G23" s="243"/>
      <c r="H23" s="243"/>
      <c r="I23" s="1033"/>
      <c r="J23" s="1034">
        <f>SUM(K23:R23)</f>
        <v>410352</v>
      </c>
      <c r="K23" s="270">
        <v>290567</v>
      </c>
      <c r="L23" s="270">
        <v>53758</v>
      </c>
      <c r="M23" s="270">
        <v>64759</v>
      </c>
      <c r="N23" s="270"/>
      <c r="O23" s="270"/>
      <c r="P23" s="270">
        <v>1268</v>
      </c>
      <c r="Q23" s="270"/>
      <c r="R23" s="271"/>
      <c r="S23" s="113"/>
      <c r="T23" s="113"/>
      <c r="U23" s="113"/>
      <c r="V23" s="113"/>
      <c r="W23" s="113"/>
      <c r="X23" s="113"/>
      <c r="Y23" s="113"/>
      <c r="Z23" s="113"/>
      <c r="AA23" s="113"/>
      <c r="AB23" s="113"/>
      <c r="AC23" s="113"/>
      <c r="AD23" s="113"/>
      <c r="AE23" s="113"/>
    </row>
    <row r="24" spans="1:31" s="30" customFormat="1" ht="22.5" customHeight="1">
      <c r="A24" s="98">
        <v>19</v>
      </c>
      <c r="B24" s="237">
        <v>4</v>
      </c>
      <c r="C24" s="489"/>
      <c r="D24" s="258" t="s">
        <v>262</v>
      </c>
      <c r="E24" s="258"/>
      <c r="F24" s="350" t="s">
        <v>23</v>
      </c>
      <c r="G24" s="95">
        <v>302390</v>
      </c>
      <c r="H24" s="95">
        <v>310528</v>
      </c>
      <c r="I24" s="265">
        <v>318994</v>
      </c>
      <c r="J24" s="266"/>
      <c r="K24" s="95"/>
      <c r="L24" s="95"/>
      <c r="M24" s="95"/>
      <c r="N24" s="95"/>
      <c r="O24" s="95"/>
      <c r="P24" s="95"/>
      <c r="Q24" s="95"/>
      <c r="R24" s="102"/>
      <c r="S24" s="89"/>
      <c r="T24" s="89"/>
      <c r="U24" s="89"/>
      <c r="V24" s="89"/>
      <c r="W24" s="89"/>
      <c r="X24" s="89"/>
      <c r="Y24" s="89"/>
      <c r="Z24" s="89"/>
      <c r="AA24" s="89"/>
      <c r="AB24" s="89"/>
      <c r="AC24" s="89"/>
      <c r="AD24" s="89"/>
      <c r="AE24" s="89"/>
    </row>
    <row r="25" spans="1:31" s="30" customFormat="1" ht="18" customHeight="1">
      <c r="A25" s="98">
        <v>20</v>
      </c>
      <c r="B25" s="237"/>
      <c r="C25" s="489"/>
      <c r="D25" s="349" t="s">
        <v>152</v>
      </c>
      <c r="E25" s="349"/>
      <c r="F25" s="95"/>
      <c r="G25" s="95"/>
      <c r="H25" s="95"/>
      <c r="I25" s="265"/>
      <c r="J25" s="266"/>
      <c r="K25" s="95"/>
      <c r="L25" s="95"/>
      <c r="M25" s="95"/>
      <c r="N25" s="95"/>
      <c r="O25" s="95"/>
      <c r="P25" s="95"/>
      <c r="Q25" s="95"/>
      <c r="R25" s="102"/>
      <c r="S25" s="89"/>
      <c r="T25" s="89"/>
      <c r="U25" s="89"/>
      <c r="V25" s="89"/>
      <c r="W25" s="89"/>
      <c r="X25" s="89"/>
      <c r="Y25" s="89"/>
      <c r="Z25" s="89"/>
      <c r="AA25" s="89"/>
      <c r="AB25" s="89"/>
      <c r="AC25" s="89"/>
      <c r="AD25" s="89"/>
      <c r="AE25" s="89"/>
    </row>
    <row r="26" spans="1:31" s="613" customFormat="1" ht="18" customHeight="1">
      <c r="A26" s="98">
        <v>21</v>
      </c>
      <c r="B26" s="574"/>
      <c r="C26" s="606"/>
      <c r="D26" s="606"/>
      <c r="E26" s="607" t="s">
        <v>303</v>
      </c>
      <c r="F26" s="594"/>
      <c r="G26" s="594"/>
      <c r="H26" s="594"/>
      <c r="I26" s="608"/>
      <c r="J26" s="609">
        <f>SUM(K26:R26)</f>
        <v>319512</v>
      </c>
      <c r="K26" s="610">
        <v>213322</v>
      </c>
      <c r="L26" s="610">
        <v>42437</v>
      </c>
      <c r="M26" s="610">
        <v>63753</v>
      </c>
      <c r="N26" s="610"/>
      <c r="O26" s="610"/>
      <c r="P26" s="610"/>
      <c r="Q26" s="610"/>
      <c r="R26" s="611"/>
      <c r="S26" s="612"/>
      <c r="T26" s="612"/>
      <c r="U26" s="612"/>
      <c r="V26" s="612"/>
      <c r="W26" s="612"/>
      <c r="X26" s="612"/>
      <c r="Y26" s="612"/>
      <c r="Z26" s="612"/>
      <c r="AA26" s="612"/>
      <c r="AB26" s="612"/>
      <c r="AC26" s="612"/>
      <c r="AD26" s="612"/>
      <c r="AE26" s="612"/>
    </row>
    <row r="27" spans="1:31" s="613" customFormat="1" ht="18" customHeight="1">
      <c r="A27" s="98">
        <v>22</v>
      </c>
      <c r="B27" s="574"/>
      <c r="C27" s="606"/>
      <c r="D27" s="606"/>
      <c r="E27" s="483" t="s">
        <v>994</v>
      </c>
      <c r="F27" s="594"/>
      <c r="G27" s="594"/>
      <c r="H27" s="594"/>
      <c r="I27" s="608"/>
      <c r="J27" s="266">
        <f>SUM(K27:R27)</f>
        <v>333558</v>
      </c>
      <c r="K27" s="1038">
        <v>233808</v>
      </c>
      <c r="L27" s="1038">
        <v>45629</v>
      </c>
      <c r="M27" s="1038">
        <v>52951</v>
      </c>
      <c r="N27" s="610"/>
      <c r="O27" s="610"/>
      <c r="P27" s="1038">
        <v>1170</v>
      </c>
      <c r="Q27" s="610"/>
      <c r="R27" s="611"/>
      <c r="S27" s="612"/>
      <c r="T27" s="612"/>
      <c r="U27" s="612"/>
      <c r="V27" s="612"/>
      <c r="W27" s="612"/>
      <c r="X27" s="612"/>
      <c r="Y27" s="612"/>
      <c r="Z27" s="612"/>
      <c r="AA27" s="612"/>
      <c r="AB27" s="612"/>
      <c r="AC27" s="612"/>
      <c r="AD27" s="612"/>
      <c r="AE27" s="612"/>
    </row>
    <row r="28" spans="1:31" s="613" customFormat="1" ht="18" customHeight="1">
      <c r="A28" s="98">
        <v>23</v>
      </c>
      <c r="B28" s="574"/>
      <c r="C28" s="606"/>
      <c r="D28" s="606"/>
      <c r="E28" s="1020" t="s">
        <v>1035</v>
      </c>
      <c r="F28" s="594"/>
      <c r="G28" s="594"/>
      <c r="H28" s="594"/>
      <c r="I28" s="608"/>
      <c r="J28" s="1034">
        <f>SUM(K28:R28)</f>
        <v>314958</v>
      </c>
      <c r="K28" s="270">
        <v>224862</v>
      </c>
      <c r="L28" s="270">
        <v>41751</v>
      </c>
      <c r="M28" s="270">
        <v>47230</v>
      </c>
      <c r="N28" s="610"/>
      <c r="O28" s="610"/>
      <c r="P28" s="270">
        <v>1115</v>
      </c>
      <c r="Q28" s="610"/>
      <c r="R28" s="611"/>
      <c r="S28" s="612"/>
      <c r="T28" s="612"/>
      <c r="U28" s="612"/>
      <c r="V28" s="612"/>
      <c r="W28" s="612"/>
      <c r="X28" s="612"/>
      <c r="Y28" s="612"/>
      <c r="Z28" s="612"/>
      <c r="AA28" s="612"/>
      <c r="AB28" s="612"/>
      <c r="AC28" s="612"/>
      <c r="AD28" s="612"/>
      <c r="AE28" s="612"/>
    </row>
    <row r="29" spans="1:31" s="34" customFormat="1" ht="22.5" customHeight="1">
      <c r="A29" s="98">
        <v>25</v>
      </c>
      <c r="B29" s="237">
        <v>5</v>
      </c>
      <c r="C29" s="489"/>
      <c r="D29" s="258" t="s">
        <v>263</v>
      </c>
      <c r="E29" s="258"/>
      <c r="F29" s="350" t="s">
        <v>23</v>
      </c>
      <c r="G29" s="95">
        <v>336173</v>
      </c>
      <c r="H29" s="95">
        <v>339061</v>
      </c>
      <c r="I29" s="265">
        <v>350092</v>
      </c>
      <c r="J29" s="266"/>
      <c r="K29" s="95"/>
      <c r="L29" s="95"/>
      <c r="M29" s="95"/>
      <c r="N29" s="261"/>
      <c r="O29" s="261"/>
      <c r="P29" s="261"/>
      <c r="Q29" s="261"/>
      <c r="R29" s="262"/>
      <c r="S29" s="220"/>
      <c r="T29" s="220"/>
      <c r="U29" s="220"/>
      <c r="V29" s="220"/>
      <c r="W29" s="220"/>
      <c r="X29" s="220"/>
      <c r="Y29" s="220"/>
      <c r="Z29" s="220"/>
      <c r="AA29" s="220"/>
      <c r="AB29" s="220"/>
      <c r="AC29" s="220"/>
      <c r="AD29" s="220"/>
      <c r="AE29" s="220"/>
    </row>
    <row r="30" spans="1:31" s="30" customFormat="1" ht="18" customHeight="1">
      <c r="A30" s="98">
        <v>26</v>
      </c>
      <c r="B30" s="237"/>
      <c r="C30" s="489"/>
      <c r="D30" s="349" t="s">
        <v>153</v>
      </c>
      <c r="E30" s="349"/>
      <c r="F30" s="95"/>
      <c r="G30" s="95"/>
      <c r="H30" s="95"/>
      <c r="I30" s="265"/>
      <c r="J30" s="266"/>
      <c r="K30" s="95"/>
      <c r="L30" s="95"/>
      <c r="M30" s="95"/>
      <c r="N30" s="261"/>
      <c r="O30" s="261"/>
      <c r="P30" s="261"/>
      <c r="Q30" s="261"/>
      <c r="R30" s="262"/>
      <c r="S30" s="89"/>
      <c r="T30" s="89"/>
      <c r="U30" s="89"/>
      <c r="V30" s="89"/>
      <c r="W30" s="89"/>
      <c r="X30" s="89"/>
      <c r="Y30" s="89"/>
      <c r="Z30" s="89"/>
      <c r="AA30" s="89"/>
      <c r="AB30" s="89"/>
      <c r="AC30" s="89"/>
      <c r="AD30" s="89"/>
      <c r="AE30" s="89"/>
    </row>
    <row r="31" spans="1:31" s="615" customFormat="1" ht="18" customHeight="1">
      <c r="A31" s="98">
        <v>27</v>
      </c>
      <c r="B31" s="574"/>
      <c r="C31" s="606"/>
      <c r="D31" s="606"/>
      <c r="E31" s="607" t="s">
        <v>303</v>
      </c>
      <c r="F31" s="594"/>
      <c r="G31" s="594"/>
      <c r="H31" s="594"/>
      <c r="I31" s="608"/>
      <c r="J31" s="609">
        <f>SUM(K31:R31)</f>
        <v>341538</v>
      </c>
      <c r="K31" s="610">
        <v>213361</v>
      </c>
      <c r="L31" s="610">
        <v>42331</v>
      </c>
      <c r="M31" s="610">
        <v>85846</v>
      </c>
      <c r="N31" s="610"/>
      <c r="O31" s="610"/>
      <c r="P31" s="610"/>
      <c r="Q31" s="610"/>
      <c r="R31" s="611"/>
      <c r="S31" s="614"/>
      <c r="T31" s="614"/>
      <c r="U31" s="614"/>
      <c r="V31" s="614"/>
      <c r="W31" s="614"/>
      <c r="X31" s="614"/>
      <c r="Y31" s="614"/>
      <c r="Z31" s="614"/>
      <c r="AA31" s="614"/>
      <c r="AB31" s="614"/>
      <c r="AC31" s="614"/>
      <c r="AD31" s="614"/>
      <c r="AE31" s="614"/>
    </row>
    <row r="32" spans="1:31" s="615" customFormat="1" ht="18" customHeight="1">
      <c r="A32" s="98">
        <v>28</v>
      </c>
      <c r="B32" s="574"/>
      <c r="C32" s="606"/>
      <c r="D32" s="606"/>
      <c r="E32" s="483" t="s">
        <v>994</v>
      </c>
      <c r="F32" s="594"/>
      <c r="G32" s="594"/>
      <c r="H32" s="594"/>
      <c r="I32" s="608"/>
      <c r="J32" s="266">
        <f>SUM(K32:R32)</f>
        <v>365962</v>
      </c>
      <c r="K32" s="1038">
        <v>237974</v>
      </c>
      <c r="L32" s="1038">
        <v>47089</v>
      </c>
      <c r="M32" s="1038">
        <v>79299</v>
      </c>
      <c r="N32" s="1038"/>
      <c r="O32" s="1038"/>
      <c r="P32" s="1038">
        <v>1600</v>
      </c>
      <c r="Q32" s="610"/>
      <c r="R32" s="611"/>
      <c r="S32" s="614"/>
      <c r="T32" s="614"/>
      <c r="U32" s="614"/>
      <c r="V32" s="614"/>
      <c r="W32" s="614"/>
      <c r="X32" s="614"/>
      <c r="Y32" s="614"/>
      <c r="Z32" s="614"/>
      <c r="AA32" s="614"/>
      <c r="AB32" s="614"/>
      <c r="AC32" s="614"/>
      <c r="AD32" s="614"/>
      <c r="AE32" s="614"/>
    </row>
    <row r="33" spans="1:31" s="31" customFormat="1" ht="18" customHeight="1">
      <c r="A33" s="98">
        <v>29</v>
      </c>
      <c r="B33" s="1018"/>
      <c r="C33" s="1031"/>
      <c r="D33" s="1031"/>
      <c r="E33" s="1032" t="s">
        <v>1035</v>
      </c>
      <c r="F33" s="243"/>
      <c r="G33" s="243"/>
      <c r="H33" s="243"/>
      <c r="I33" s="1033"/>
      <c r="J33" s="1034">
        <f>SUM(K33:R33)</f>
        <v>343526</v>
      </c>
      <c r="K33" s="270">
        <v>230544</v>
      </c>
      <c r="L33" s="270">
        <v>43361</v>
      </c>
      <c r="M33" s="270">
        <v>68515</v>
      </c>
      <c r="N33" s="270"/>
      <c r="O33" s="270"/>
      <c r="P33" s="270">
        <v>1106</v>
      </c>
      <c r="Q33" s="270"/>
      <c r="R33" s="271"/>
      <c r="S33" s="113"/>
      <c r="T33" s="113"/>
      <c r="U33" s="113"/>
      <c r="V33" s="113"/>
      <c r="W33" s="113"/>
      <c r="X33" s="113"/>
      <c r="Y33" s="113"/>
      <c r="Z33" s="113"/>
      <c r="AA33" s="113"/>
      <c r="AB33" s="113"/>
      <c r="AC33" s="113"/>
      <c r="AD33" s="113"/>
      <c r="AE33" s="113"/>
    </row>
    <row r="34" spans="1:31" s="31" customFormat="1" ht="22.5" customHeight="1">
      <c r="A34" s="98">
        <v>33</v>
      </c>
      <c r="B34" s="237">
        <v>6</v>
      </c>
      <c r="C34" s="489"/>
      <c r="D34" s="258" t="s">
        <v>264</v>
      </c>
      <c r="E34" s="258"/>
      <c r="F34" s="350" t="s">
        <v>23</v>
      </c>
      <c r="G34" s="95">
        <v>156041</v>
      </c>
      <c r="H34" s="95">
        <v>165684</v>
      </c>
      <c r="I34" s="265">
        <v>168688</v>
      </c>
      <c r="J34" s="266"/>
      <c r="K34" s="95"/>
      <c r="L34" s="95"/>
      <c r="M34" s="95"/>
      <c r="N34" s="261"/>
      <c r="O34" s="261"/>
      <c r="P34" s="261"/>
      <c r="Q34" s="261"/>
      <c r="R34" s="262"/>
      <c r="S34" s="113"/>
      <c r="T34" s="113"/>
      <c r="U34" s="113"/>
      <c r="V34" s="113"/>
      <c r="W34" s="113"/>
      <c r="X34" s="113"/>
      <c r="Y34" s="113"/>
      <c r="Z34" s="113"/>
      <c r="AA34" s="113"/>
      <c r="AB34" s="113"/>
      <c r="AC34" s="113"/>
      <c r="AD34" s="113"/>
      <c r="AE34" s="113"/>
    </row>
    <row r="35" spans="1:31" s="34" customFormat="1" ht="18" customHeight="1">
      <c r="A35" s="98">
        <v>34</v>
      </c>
      <c r="B35" s="237"/>
      <c r="C35" s="489"/>
      <c r="D35" s="2034" t="s">
        <v>154</v>
      </c>
      <c r="E35" s="2035"/>
      <c r="F35" s="95"/>
      <c r="G35" s="95"/>
      <c r="H35" s="95"/>
      <c r="I35" s="265"/>
      <c r="J35" s="266"/>
      <c r="K35" s="95"/>
      <c r="L35" s="95"/>
      <c r="M35" s="95"/>
      <c r="N35" s="261"/>
      <c r="O35" s="261"/>
      <c r="P35" s="261"/>
      <c r="Q35" s="261"/>
      <c r="R35" s="262"/>
      <c r="S35" s="220"/>
      <c r="T35" s="220"/>
      <c r="U35" s="220"/>
      <c r="V35" s="220"/>
      <c r="W35" s="220"/>
      <c r="X35" s="220"/>
      <c r="Y35" s="220"/>
      <c r="Z35" s="220"/>
      <c r="AA35" s="220"/>
      <c r="AB35" s="220"/>
      <c r="AC35" s="220"/>
      <c r="AD35" s="220"/>
      <c r="AE35" s="220"/>
    </row>
    <row r="36" spans="1:31" s="615" customFormat="1" ht="18" customHeight="1">
      <c r="A36" s="98">
        <v>35</v>
      </c>
      <c r="B36" s="574"/>
      <c r="C36" s="606"/>
      <c r="D36" s="606"/>
      <c r="E36" s="607" t="s">
        <v>303</v>
      </c>
      <c r="F36" s="594"/>
      <c r="G36" s="594"/>
      <c r="H36" s="594"/>
      <c r="I36" s="608"/>
      <c r="J36" s="609">
        <f>SUM(K36:R36)</f>
        <v>172406</v>
      </c>
      <c r="K36" s="610">
        <v>113388</v>
      </c>
      <c r="L36" s="610">
        <v>22885</v>
      </c>
      <c r="M36" s="610">
        <v>36133</v>
      </c>
      <c r="N36" s="610"/>
      <c r="O36" s="610"/>
      <c r="P36" s="610"/>
      <c r="Q36" s="610"/>
      <c r="R36" s="611"/>
      <c r="S36" s="614"/>
      <c r="T36" s="614"/>
      <c r="U36" s="614"/>
      <c r="V36" s="614"/>
      <c r="W36" s="614"/>
      <c r="X36" s="614"/>
      <c r="Y36" s="614"/>
      <c r="Z36" s="614"/>
      <c r="AA36" s="614"/>
      <c r="AB36" s="614"/>
      <c r="AC36" s="614"/>
      <c r="AD36" s="614"/>
      <c r="AE36" s="614"/>
    </row>
    <row r="37" spans="1:31" s="615" customFormat="1" ht="18" customHeight="1">
      <c r="A37" s="98">
        <v>36</v>
      </c>
      <c r="B37" s="574"/>
      <c r="C37" s="606"/>
      <c r="D37" s="606"/>
      <c r="E37" s="483" t="s">
        <v>994</v>
      </c>
      <c r="F37" s="594"/>
      <c r="G37" s="594"/>
      <c r="H37" s="594"/>
      <c r="I37" s="608"/>
      <c r="J37" s="266">
        <f>SUM(K37:R37)</f>
        <v>187339</v>
      </c>
      <c r="K37" s="1038">
        <v>121882</v>
      </c>
      <c r="L37" s="1038">
        <v>24429</v>
      </c>
      <c r="M37" s="1038">
        <v>35878</v>
      </c>
      <c r="N37" s="1038"/>
      <c r="O37" s="1038">
        <v>179</v>
      </c>
      <c r="P37" s="1038">
        <v>4971</v>
      </c>
      <c r="Q37" s="610"/>
      <c r="R37" s="611"/>
      <c r="S37" s="614"/>
      <c r="T37" s="614"/>
      <c r="U37" s="614"/>
      <c r="V37" s="614"/>
      <c r="W37" s="614"/>
      <c r="X37" s="614"/>
      <c r="Y37" s="614"/>
      <c r="Z37" s="614"/>
      <c r="AA37" s="614"/>
      <c r="AB37" s="614"/>
      <c r="AC37" s="614"/>
      <c r="AD37" s="614"/>
      <c r="AE37" s="614"/>
    </row>
    <row r="38" spans="1:31" s="31" customFormat="1" ht="18" customHeight="1">
      <c r="A38" s="98">
        <v>37</v>
      </c>
      <c r="B38" s="1018"/>
      <c r="C38" s="1031"/>
      <c r="D38" s="1031"/>
      <c r="E38" s="1020" t="s">
        <v>1035</v>
      </c>
      <c r="F38" s="243"/>
      <c r="G38" s="243"/>
      <c r="H38" s="243"/>
      <c r="I38" s="1033"/>
      <c r="J38" s="1034">
        <f>SUM(K38:R38)</f>
        <v>171451</v>
      </c>
      <c r="K38" s="270">
        <f>116522+1</f>
        <v>116523</v>
      </c>
      <c r="L38" s="270">
        <v>22319</v>
      </c>
      <c r="M38" s="270">
        <v>30005</v>
      </c>
      <c r="N38" s="270"/>
      <c r="O38" s="270">
        <v>179</v>
      </c>
      <c r="P38" s="270">
        <f>2426-1</f>
        <v>2425</v>
      </c>
      <c r="Q38" s="270"/>
      <c r="R38" s="271"/>
      <c r="S38" s="113"/>
      <c r="T38" s="113"/>
      <c r="U38" s="113"/>
      <c r="V38" s="113"/>
      <c r="W38" s="113"/>
      <c r="X38" s="113"/>
      <c r="Y38" s="113"/>
      <c r="Z38" s="113"/>
      <c r="AA38" s="113"/>
      <c r="AB38" s="113"/>
      <c r="AC38" s="113"/>
      <c r="AD38" s="113"/>
      <c r="AE38" s="113"/>
    </row>
    <row r="39" spans="1:31" s="31" customFormat="1" ht="18" customHeight="1">
      <c r="A39" s="98">
        <v>39</v>
      </c>
      <c r="B39" s="240"/>
      <c r="C39" s="489">
        <v>1</v>
      </c>
      <c r="D39" s="2034" t="s">
        <v>150</v>
      </c>
      <c r="E39" s="2035"/>
      <c r="F39" s="350"/>
      <c r="G39" s="95">
        <v>1006</v>
      </c>
      <c r="H39" s="95">
        <v>2245</v>
      </c>
      <c r="I39" s="265">
        <v>179</v>
      </c>
      <c r="J39" s="1641"/>
      <c r="K39" s="264"/>
      <c r="L39" s="264"/>
      <c r="M39" s="263"/>
      <c r="N39" s="263"/>
      <c r="O39" s="263"/>
      <c r="P39" s="263"/>
      <c r="Q39" s="263"/>
      <c r="R39" s="1642"/>
      <c r="S39" s="113"/>
      <c r="T39" s="113"/>
      <c r="U39" s="113"/>
      <c r="V39" s="113"/>
      <c r="W39" s="113"/>
      <c r="X39" s="113"/>
      <c r="Y39" s="113"/>
      <c r="Z39" s="113"/>
      <c r="AA39" s="113"/>
      <c r="AB39" s="113"/>
      <c r="AC39" s="113"/>
      <c r="AD39" s="113"/>
      <c r="AE39" s="113"/>
    </row>
    <row r="40" spans="1:31" s="613" customFormat="1" ht="18" customHeight="1">
      <c r="A40" s="98">
        <v>40</v>
      </c>
      <c r="B40" s="603"/>
      <c r="C40" s="616"/>
      <c r="D40" s="616"/>
      <c r="E40" s="605" t="s">
        <v>303</v>
      </c>
      <c r="F40" s="599"/>
      <c r="G40" s="599"/>
      <c r="H40" s="599"/>
      <c r="I40" s="617"/>
      <c r="J40" s="618">
        <f>SUM(K40:R40)</f>
        <v>2225</v>
      </c>
      <c r="K40" s="619">
        <v>1957</v>
      </c>
      <c r="L40" s="619">
        <v>171</v>
      </c>
      <c r="M40" s="619">
        <v>97</v>
      </c>
      <c r="N40" s="619"/>
      <c r="O40" s="619"/>
      <c r="P40" s="619"/>
      <c r="Q40" s="619"/>
      <c r="R40" s="620"/>
      <c r="S40" s="612"/>
      <c r="T40" s="612"/>
      <c r="U40" s="612"/>
      <c r="V40" s="612"/>
      <c r="W40" s="612"/>
      <c r="X40" s="612"/>
      <c r="Y40" s="612"/>
      <c r="Z40" s="612"/>
      <c r="AA40" s="612"/>
      <c r="AB40" s="612"/>
      <c r="AC40" s="612"/>
      <c r="AD40" s="612"/>
      <c r="AE40" s="612"/>
    </row>
    <row r="41" spans="1:31" s="613" customFormat="1" ht="18" customHeight="1">
      <c r="A41" s="98">
        <v>41</v>
      </c>
      <c r="B41" s="603"/>
      <c r="C41" s="616"/>
      <c r="D41" s="616"/>
      <c r="E41" s="483" t="s">
        <v>994</v>
      </c>
      <c r="F41" s="599"/>
      <c r="G41" s="599"/>
      <c r="H41" s="599"/>
      <c r="I41" s="617"/>
      <c r="J41" s="266">
        <f>SUM(K41:R41)</f>
        <v>2225</v>
      </c>
      <c r="K41" s="1058">
        <v>1957</v>
      </c>
      <c r="L41" s="1058">
        <v>171</v>
      </c>
      <c r="M41" s="1058">
        <v>97</v>
      </c>
      <c r="N41" s="619"/>
      <c r="O41" s="619"/>
      <c r="P41" s="619"/>
      <c r="Q41" s="619"/>
      <c r="R41" s="620"/>
      <c r="S41" s="612"/>
      <c r="T41" s="612"/>
      <c r="U41" s="612"/>
      <c r="V41" s="612"/>
      <c r="W41" s="612"/>
      <c r="X41" s="612"/>
      <c r="Y41" s="612"/>
      <c r="Z41" s="612"/>
      <c r="AA41" s="612"/>
      <c r="AB41" s="612"/>
      <c r="AC41" s="612"/>
      <c r="AD41" s="612"/>
      <c r="AE41" s="612"/>
    </row>
    <row r="42" spans="1:31" s="31" customFormat="1" ht="18" customHeight="1" thickBot="1">
      <c r="A42" s="98">
        <v>42</v>
      </c>
      <c r="B42" s="1018"/>
      <c r="C42" s="1031"/>
      <c r="D42" s="1031"/>
      <c r="E42" s="1032" t="s">
        <v>1036</v>
      </c>
      <c r="F42" s="243"/>
      <c r="G42" s="243"/>
      <c r="H42" s="243"/>
      <c r="I42" s="1033"/>
      <c r="J42" s="1034">
        <f>SUM(K42:R42)</f>
        <v>0</v>
      </c>
      <c r="K42" s="270">
        <v>0</v>
      </c>
      <c r="L42" s="270">
        <v>0</v>
      </c>
      <c r="M42" s="270">
        <v>0</v>
      </c>
      <c r="N42" s="270"/>
      <c r="O42" s="270"/>
      <c r="P42" s="270"/>
      <c r="Q42" s="270"/>
      <c r="R42" s="271"/>
      <c r="S42" s="113"/>
      <c r="T42" s="113"/>
      <c r="U42" s="113"/>
      <c r="V42" s="113"/>
      <c r="W42" s="113"/>
      <c r="X42" s="113"/>
      <c r="Y42" s="113"/>
      <c r="Z42" s="113"/>
      <c r="AA42" s="113"/>
      <c r="AB42" s="113"/>
      <c r="AC42" s="113"/>
      <c r="AD42" s="113"/>
      <c r="AE42" s="113"/>
    </row>
    <row r="43" spans="1:31" s="35" customFormat="1" ht="22.5" customHeight="1" thickTop="1">
      <c r="A43" s="98">
        <v>44</v>
      </c>
      <c r="B43" s="267"/>
      <c r="C43" s="2036" t="s">
        <v>588</v>
      </c>
      <c r="D43" s="2037"/>
      <c r="E43" s="2038"/>
      <c r="F43" s="511"/>
      <c r="G43" s="511">
        <f>SUM(G9:G40)</f>
        <v>1785466</v>
      </c>
      <c r="H43" s="511">
        <f>SUM(H9:H40)</f>
        <v>1808479</v>
      </c>
      <c r="I43" s="513">
        <f>SUM(I9:I40)</f>
        <v>1840638</v>
      </c>
      <c r="J43" s="514"/>
      <c r="K43" s="511"/>
      <c r="L43" s="511"/>
      <c r="M43" s="511"/>
      <c r="N43" s="511"/>
      <c r="O43" s="511"/>
      <c r="P43" s="511"/>
      <c r="Q43" s="511"/>
      <c r="R43" s="512"/>
      <c r="S43" s="268"/>
      <c r="T43" s="268"/>
      <c r="U43" s="268"/>
      <c r="V43" s="268"/>
      <c r="W43" s="268"/>
      <c r="X43" s="268"/>
      <c r="Y43" s="268"/>
      <c r="Z43" s="268"/>
      <c r="AA43" s="268"/>
      <c r="AB43" s="268"/>
      <c r="AC43" s="268"/>
      <c r="AD43" s="268"/>
      <c r="AE43" s="268"/>
    </row>
    <row r="44" spans="1:31" s="613" customFormat="1" ht="18" customHeight="1">
      <c r="A44" s="98">
        <v>45</v>
      </c>
      <c r="B44" s="603"/>
      <c r="C44" s="1040"/>
      <c r="D44" s="616"/>
      <c r="E44" s="605" t="s">
        <v>303</v>
      </c>
      <c r="F44" s="599"/>
      <c r="G44" s="599"/>
      <c r="H44" s="599"/>
      <c r="I44" s="617"/>
      <c r="J44" s="618">
        <f>SUM(K44:R44)</f>
        <v>1845356</v>
      </c>
      <c r="K44" s="619">
        <f aca="true" t="shared" si="0" ref="K44:R45">SUM(K11,K16,K21,K26,K31,K36,K40)</f>
        <v>1208912</v>
      </c>
      <c r="L44" s="619">
        <f t="shared" si="0"/>
        <v>239894</v>
      </c>
      <c r="M44" s="619">
        <f t="shared" si="0"/>
        <v>395140</v>
      </c>
      <c r="N44" s="619">
        <f t="shared" si="0"/>
        <v>0</v>
      </c>
      <c r="O44" s="619">
        <f t="shared" si="0"/>
        <v>0</v>
      </c>
      <c r="P44" s="619">
        <f t="shared" si="0"/>
        <v>1410</v>
      </c>
      <c r="Q44" s="619">
        <f t="shared" si="0"/>
        <v>0</v>
      </c>
      <c r="R44" s="620">
        <f t="shared" si="0"/>
        <v>0</v>
      </c>
      <c r="S44" s="612">
        <f>+'[1]4.Inbe'!O29-'4.Inki'!J44</f>
        <v>0</v>
      </c>
      <c r="T44" s="612"/>
      <c r="U44" s="612"/>
      <c r="V44" s="612"/>
      <c r="W44" s="612"/>
      <c r="X44" s="612"/>
      <c r="Y44" s="612"/>
      <c r="Z44" s="612"/>
      <c r="AA44" s="612"/>
      <c r="AB44" s="612"/>
      <c r="AC44" s="612"/>
      <c r="AD44" s="612"/>
      <c r="AE44" s="612"/>
    </row>
    <row r="45" spans="1:31" s="613" customFormat="1" ht="18" customHeight="1">
      <c r="A45" s="98">
        <v>46</v>
      </c>
      <c r="B45" s="603"/>
      <c r="C45" s="1040"/>
      <c r="D45" s="616"/>
      <c r="E45" s="483" t="s">
        <v>994</v>
      </c>
      <c r="F45" s="599"/>
      <c r="G45" s="599"/>
      <c r="H45" s="599"/>
      <c r="I45" s="617"/>
      <c r="J45" s="266">
        <f>SUM(K45:R45)</f>
        <v>1959998</v>
      </c>
      <c r="K45" s="1058">
        <f t="shared" si="0"/>
        <v>1293234</v>
      </c>
      <c r="L45" s="1058">
        <f t="shared" si="0"/>
        <v>255791</v>
      </c>
      <c r="M45" s="1058">
        <f t="shared" si="0"/>
        <v>382648</v>
      </c>
      <c r="N45" s="1058">
        <f t="shared" si="0"/>
        <v>0</v>
      </c>
      <c r="O45" s="1058">
        <f t="shared" si="0"/>
        <v>179</v>
      </c>
      <c r="P45" s="1058">
        <f t="shared" si="0"/>
        <v>25029</v>
      </c>
      <c r="Q45" s="1058">
        <f t="shared" si="0"/>
        <v>3117</v>
      </c>
      <c r="R45" s="1059">
        <f t="shared" si="0"/>
        <v>0</v>
      </c>
      <c r="S45" s="612"/>
      <c r="T45" s="612"/>
      <c r="U45" s="612"/>
      <c r="V45" s="612"/>
      <c r="W45" s="612"/>
      <c r="X45" s="612"/>
      <c r="Y45" s="612"/>
      <c r="Z45" s="612"/>
      <c r="AA45" s="612"/>
      <c r="AB45" s="612"/>
      <c r="AC45" s="612"/>
      <c r="AD45" s="612"/>
      <c r="AE45" s="612"/>
    </row>
    <row r="46" spans="1:31" s="31" customFormat="1" ht="18" customHeight="1" thickBot="1">
      <c r="A46" s="98">
        <v>47</v>
      </c>
      <c r="B46" s="1018"/>
      <c r="C46" s="1514"/>
      <c r="D46" s="1515"/>
      <c r="E46" s="1516" t="s">
        <v>1036</v>
      </c>
      <c r="F46" s="1517"/>
      <c r="G46" s="1517"/>
      <c r="H46" s="1517"/>
      <c r="I46" s="1518"/>
      <c r="J46" s="1519">
        <f>SUM(K46:R46)</f>
        <v>1820922</v>
      </c>
      <c r="K46" s="1520">
        <f aca="true" t="shared" si="1" ref="K46:R46">SUM(K13:K13,K18:K18,K23:K23,K28:K28,K33:K33,K38:K38,K42:K42,)</f>
        <v>1244965</v>
      </c>
      <c r="L46" s="1520">
        <f t="shared" si="1"/>
        <v>232837</v>
      </c>
      <c r="M46" s="1520">
        <f t="shared" si="1"/>
        <v>321185</v>
      </c>
      <c r="N46" s="1520">
        <f t="shared" si="1"/>
        <v>0</v>
      </c>
      <c r="O46" s="1520">
        <f t="shared" si="1"/>
        <v>179</v>
      </c>
      <c r="P46" s="1520">
        <f t="shared" si="1"/>
        <v>18641</v>
      </c>
      <c r="Q46" s="1520">
        <f t="shared" si="1"/>
        <v>3115</v>
      </c>
      <c r="R46" s="1521">
        <f t="shared" si="1"/>
        <v>0</v>
      </c>
      <c r="S46" s="113"/>
      <c r="T46" s="113"/>
      <c r="U46" s="113"/>
      <c r="V46" s="113"/>
      <c r="W46" s="113"/>
      <c r="X46" s="113"/>
      <c r="Y46" s="113"/>
      <c r="Z46" s="113"/>
      <c r="AA46" s="113"/>
      <c r="AB46" s="113"/>
      <c r="AC46" s="113"/>
      <c r="AD46" s="113"/>
      <c r="AE46" s="113"/>
    </row>
    <row r="47" spans="1:31" s="31" customFormat="1" ht="22.5" customHeight="1" thickTop="1">
      <c r="A47" s="98">
        <v>49</v>
      </c>
      <c r="B47" s="248">
        <v>7</v>
      </c>
      <c r="C47" s="491"/>
      <c r="D47" s="260" t="s">
        <v>354</v>
      </c>
      <c r="E47" s="259"/>
      <c r="F47" s="351" t="s">
        <v>23</v>
      </c>
      <c r="G47" s="256">
        <v>902499</v>
      </c>
      <c r="H47" s="256">
        <v>882986</v>
      </c>
      <c r="I47" s="352">
        <v>946591</v>
      </c>
      <c r="J47" s="335"/>
      <c r="K47" s="256"/>
      <c r="L47" s="256"/>
      <c r="M47" s="256"/>
      <c r="N47" s="256"/>
      <c r="O47" s="256"/>
      <c r="P47" s="256"/>
      <c r="Q47" s="256"/>
      <c r="R47" s="269"/>
      <c r="S47" s="113"/>
      <c r="T47" s="113"/>
      <c r="U47" s="113"/>
      <c r="V47" s="113"/>
      <c r="W47" s="113"/>
      <c r="X47" s="113"/>
      <c r="Y47" s="113"/>
      <c r="Z47" s="113"/>
      <c r="AA47" s="113"/>
      <c r="AB47" s="113"/>
      <c r="AC47" s="113"/>
      <c r="AD47" s="113"/>
      <c r="AE47" s="113"/>
    </row>
    <row r="48" spans="1:31" s="613" customFormat="1" ht="18" customHeight="1">
      <c r="A48" s="98">
        <v>50</v>
      </c>
      <c r="B48" s="574"/>
      <c r="C48" s="606"/>
      <c r="D48" s="606"/>
      <c r="E48" s="607" t="s">
        <v>303</v>
      </c>
      <c r="F48" s="594"/>
      <c r="G48" s="594"/>
      <c r="H48" s="594"/>
      <c r="I48" s="608"/>
      <c r="J48" s="609">
        <f>SUM(K48:R48)</f>
        <v>996977</v>
      </c>
      <c r="K48" s="610">
        <v>713799</v>
      </c>
      <c r="L48" s="610">
        <v>141390</v>
      </c>
      <c r="M48" s="610">
        <v>140158</v>
      </c>
      <c r="N48" s="610"/>
      <c r="O48" s="610"/>
      <c r="P48" s="610">
        <v>1630</v>
      </c>
      <c r="Q48" s="610"/>
      <c r="R48" s="611"/>
      <c r="S48" s="612"/>
      <c r="T48" s="612"/>
      <c r="U48" s="612"/>
      <c r="V48" s="612"/>
      <c r="W48" s="612"/>
      <c r="X48" s="612"/>
      <c r="Y48" s="612"/>
      <c r="Z48" s="612"/>
      <c r="AA48" s="612"/>
      <c r="AB48" s="612"/>
      <c r="AC48" s="612"/>
      <c r="AD48" s="612"/>
      <c r="AE48" s="612"/>
    </row>
    <row r="49" spans="1:31" s="613" customFormat="1" ht="18" customHeight="1">
      <c r="A49" s="98">
        <v>51</v>
      </c>
      <c r="B49" s="574"/>
      <c r="C49" s="606"/>
      <c r="D49" s="606"/>
      <c r="E49" s="483" t="s">
        <v>994</v>
      </c>
      <c r="F49" s="594"/>
      <c r="G49" s="594"/>
      <c r="H49" s="594"/>
      <c r="I49" s="608"/>
      <c r="J49" s="266">
        <f>SUM(K49:R49)</f>
        <v>1092065</v>
      </c>
      <c r="K49" s="1038">
        <v>771044</v>
      </c>
      <c r="L49" s="1038">
        <v>151135</v>
      </c>
      <c r="M49" s="1038">
        <v>166906</v>
      </c>
      <c r="N49" s="1038"/>
      <c r="O49" s="1038"/>
      <c r="P49" s="1038">
        <v>2980</v>
      </c>
      <c r="Q49" s="610"/>
      <c r="R49" s="611"/>
      <c r="S49" s="612"/>
      <c r="T49" s="612"/>
      <c r="U49" s="612"/>
      <c r="V49" s="612"/>
      <c r="W49" s="612"/>
      <c r="X49" s="612"/>
      <c r="Y49" s="612"/>
      <c r="Z49" s="612"/>
      <c r="AA49" s="612"/>
      <c r="AB49" s="612"/>
      <c r="AC49" s="612"/>
      <c r="AD49" s="612"/>
      <c r="AE49" s="612"/>
    </row>
    <row r="50" spans="1:31" s="31" customFormat="1" ht="18" customHeight="1">
      <c r="A50" s="98">
        <v>52</v>
      </c>
      <c r="B50" s="1018"/>
      <c r="C50" s="1031"/>
      <c r="D50" s="1031"/>
      <c r="E50" s="1020" t="s">
        <v>1035</v>
      </c>
      <c r="F50" s="243"/>
      <c r="G50" s="243"/>
      <c r="H50" s="243"/>
      <c r="I50" s="1033"/>
      <c r="J50" s="1034">
        <f>SUM(K50:R50)</f>
        <v>1026913</v>
      </c>
      <c r="K50" s="270">
        <v>753411</v>
      </c>
      <c r="L50" s="270">
        <v>140911</v>
      </c>
      <c r="M50" s="270">
        <v>130109</v>
      </c>
      <c r="N50" s="270"/>
      <c r="O50" s="270"/>
      <c r="P50" s="270">
        <v>2482</v>
      </c>
      <c r="Q50" s="270"/>
      <c r="R50" s="271"/>
      <c r="S50" s="113"/>
      <c r="T50" s="113"/>
      <c r="U50" s="113"/>
      <c r="V50" s="113"/>
      <c r="W50" s="113"/>
      <c r="X50" s="113"/>
      <c r="Y50" s="113"/>
      <c r="Z50" s="113"/>
      <c r="AA50" s="113"/>
      <c r="AB50" s="113"/>
      <c r="AC50" s="113"/>
      <c r="AD50" s="113"/>
      <c r="AE50" s="113"/>
    </row>
    <row r="51" spans="1:31" s="34" customFormat="1" ht="18" customHeight="1">
      <c r="A51" s="98">
        <v>54</v>
      </c>
      <c r="B51" s="240"/>
      <c r="C51" s="489">
        <v>1</v>
      </c>
      <c r="D51" s="800" t="s">
        <v>482</v>
      </c>
      <c r="E51" s="800"/>
      <c r="F51" s="353"/>
      <c r="G51" s="95">
        <v>4233</v>
      </c>
      <c r="H51" s="95">
        <v>10080</v>
      </c>
      <c r="I51" s="265">
        <v>10041</v>
      </c>
      <c r="J51" s="274"/>
      <c r="K51" s="261"/>
      <c r="L51" s="261"/>
      <c r="M51" s="261"/>
      <c r="N51" s="270"/>
      <c r="O51" s="270"/>
      <c r="P51" s="270"/>
      <c r="Q51" s="270"/>
      <c r="R51" s="271"/>
      <c r="S51" s="220"/>
      <c r="T51" s="220"/>
      <c r="U51" s="220"/>
      <c r="V51" s="220"/>
      <c r="W51" s="220"/>
      <c r="X51" s="220"/>
      <c r="Y51" s="220"/>
      <c r="Z51" s="220"/>
      <c r="AA51" s="220"/>
      <c r="AB51" s="220"/>
      <c r="AC51" s="220"/>
      <c r="AD51" s="220"/>
      <c r="AE51" s="220"/>
    </row>
    <row r="52" spans="1:31" s="34" customFormat="1" ht="18" customHeight="1">
      <c r="A52" s="98">
        <v>55</v>
      </c>
      <c r="B52" s="240"/>
      <c r="C52" s="489"/>
      <c r="D52" s="1627"/>
      <c r="E52" s="483" t="s">
        <v>994</v>
      </c>
      <c r="F52" s="353"/>
      <c r="G52" s="95"/>
      <c r="H52" s="95"/>
      <c r="I52" s="265"/>
      <c r="J52" s="266">
        <f>SUM(K52:R52)</f>
        <v>0</v>
      </c>
      <c r="K52" s="261"/>
      <c r="L52" s="261"/>
      <c r="M52" s="261"/>
      <c r="N52" s="270"/>
      <c r="O52" s="270"/>
      <c r="P52" s="270"/>
      <c r="Q52" s="270"/>
      <c r="R52" s="271"/>
      <c r="S52" s="220"/>
      <c r="T52" s="220"/>
      <c r="U52" s="220"/>
      <c r="V52" s="220"/>
      <c r="W52" s="220"/>
      <c r="X52" s="220"/>
      <c r="Y52" s="220"/>
      <c r="Z52" s="220"/>
      <c r="AA52" s="220"/>
      <c r="AB52" s="220"/>
      <c r="AC52" s="220"/>
      <c r="AD52" s="220"/>
      <c r="AE52" s="220"/>
    </row>
    <row r="53" spans="1:31" s="31" customFormat="1" ht="18" customHeight="1">
      <c r="A53" s="98">
        <v>56</v>
      </c>
      <c r="B53" s="1018"/>
      <c r="C53" s="1031"/>
      <c r="D53" s="1031"/>
      <c r="E53" s="1032" t="s">
        <v>1036</v>
      </c>
      <c r="F53" s="243"/>
      <c r="G53" s="243"/>
      <c r="H53" s="243"/>
      <c r="I53" s="1033"/>
      <c r="J53" s="1034">
        <f>SUM(K53:R53)</f>
        <v>0</v>
      </c>
      <c r="K53" s="270"/>
      <c r="L53" s="270"/>
      <c r="M53" s="270"/>
      <c r="N53" s="270"/>
      <c r="O53" s="270"/>
      <c r="P53" s="270"/>
      <c r="Q53" s="270"/>
      <c r="R53" s="271"/>
      <c r="S53" s="113"/>
      <c r="T53" s="113"/>
      <c r="U53" s="113"/>
      <c r="V53" s="113"/>
      <c r="W53" s="113"/>
      <c r="X53" s="113"/>
      <c r="Y53" s="113"/>
      <c r="Z53" s="113"/>
      <c r="AA53" s="113"/>
      <c r="AB53" s="113"/>
      <c r="AC53" s="113"/>
      <c r="AD53" s="113"/>
      <c r="AE53" s="113"/>
    </row>
    <row r="54" spans="1:31" s="34" customFormat="1" ht="22.5" customHeight="1">
      <c r="A54" s="98">
        <v>58</v>
      </c>
      <c r="B54" s="237">
        <v>8</v>
      </c>
      <c r="C54" s="489"/>
      <c r="D54" s="258" t="s">
        <v>123</v>
      </c>
      <c r="E54" s="258"/>
      <c r="F54" s="350" t="s">
        <v>23</v>
      </c>
      <c r="G54" s="95">
        <v>82024</v>
      </c>
      <c r="H54" s="95">
        <v>66825</v>
      </c>
      <c r="I54" s="265">
        <v>85870</v>
      </c>
      <c r="J54" s="274"/>
      <c r="K54" s="95"/>
      <c r="L54" s="95"/>
      <c r="M54" s="95"/>
      <c r="N54" s="95"/>
      <c r="O54" s="95"/>
      <c r="P54" s="95"/>
      <c r="Q54" s="95"/>
      <c r="R54" s="102"/>
      <c r="S54" s="220"/>
      <c r="T54" s="220"/>
      <c r="U54" s="220"/>
      <c r="V54" s="220"/>
      <c r="W54" s="220"/>
      <c r="X54" s="220"/>
      <c r="Y54" s="220"/>
      <c r="Z54" s="220"/>
      <c r="AA54" s="220"/>
      <c r="AB54" s="220"/>
      <c r="AC54" s="220"/>
      <c r="AD54" s="220"/>
      <c r="AE54" s="220"/>
    </row>
    <row r="55" spans="1:31" s="584" customFormat="1" ht="18" customHeight="1">
      <c r="A55" s="98">
        <v>59</v>
      </c>
      <c r="B55" s="574"/>
      <c r="C55" s="606"/>
      <c r="D55" s="606"/>
      <c r="E55" s="607" t="s">
        <v>303</v>
      </c>
      <c r="F55" s="594"/>
      <c r="G55" s="594"/>
      <c r="H55" s="594"/>
      <c r="I55" s="608"/>
      <c r="J55" s="609">
        <f>SUM(K55:R55)</f>
        <v>69250</v>
      </c>
      <c r="K55" s="610">
        <v>40442</v>
      </c>
      <c r="L55" s="610">
        <v>7151</v>
      </c>
      <c r="M55" s="610">
        <v>21657</v>
      </c>
      <c r="N55" s="610"/>
      <c r="O55" s="610"/>
      <c r="P55" s="610"/>
      <c r="Q55" s="610"/>
      <c r="R55" s="611"/>
      <c r="S55" s="621"/>
      <c r="T55" s="621"/>
      <c r="U55" s="621"/>
      <c r="V55" s="621"/>
      <c r="W55" s="621"/>
      <c r="X55" s="621"/>
      <c r="Y55" s="621"/>
      <c r="Z55" s="621"/>
      <c r="AA55" s="621"/>
      <c r="AB55" s="621"/>
      <c r="AC55" s="621"/>
      <c r="AD55" s="621"/>
      <c r="AE55" s="621"/>
    </row>
    <row r="56" spans="1:31" s="584" customFormat="1" ht="18" customHeight="1">
      <c r="A56" s="98">
        <v>60</v>
      </c>
      <c r="B56" s="574"/>
      <c r="C56" s="606"/>
      <c r="D56" s="606"/>
      <c r="E56" s="483" t="s">
        <v>994</v>
      </c>
      <c r="F56" s="594"/>
      <c r="G56" s="594"/>
      <c r="H56" s="594"/>
      <c r="I56" s="608"/>
      <c r="J56" s="266">
        <f>SUM(K56:R56)</f>
        <v>104945</v>
      </c>
      <c r="K56" s="1038">
        <v>64690</v>
      </c>
      <c r="L56" s="1038">
        <v>9985</v>
      </c>
      <c r="M56" s="1038">
        <v>29611</v>
      </c>
      <c r="N56" s="1038"/>
      <c r="O56" s="1038"/>
      <c r="P56" s="1038">
        <v>659</v>
      </c>
      <c r="Q56" s="610"/>
      <c r="R56" s="611"/>
      <c r="S56" s="621"/>
      <c r="T56" s="621"/>
      <c r="U56" s="621"/>
      <c r="V56" s="621"/>
      <c r="W56" s="621"/>
      <c r="X56" s="621"/>
      <c r="Y56" s="621"/>
      <c r="Z56" s="621"/>
      <c r="AA56" s="621"/>
      <c r="AB56" s="621"/>
      <c r="AC56" s="621"/>
      <c r="AD56" s="621"/>
      <c r="AE56" s="621"/>
    </row>
    <row r="57" spans="1:31" s="31" customFormat="1" ht="18" customHeight="1">
      <c r="A57" s="98">
        <v>61</v>
      </c>
      <c r="B57" s="1018"/>
      <c r="C57" s="1031"/>
      <c r="D57" s="1031"/>
      <c r="E57" s="1020" t="s">
        <v>1035</v>
      </c>
      <c r="F57" s="243"/>
      <c r="G57" s="243"/>
      <c r="H57" s="243"/>
      <c r="I57" s="1033"/>
      <c r="J57" s="1034">
        <f>SUM(K57:R57)</f>
        <v>85741</v>
      </c>
      <c r="K57" s="270">
        <v>56434</v>
      </c>
      <c r="L57" s="270">
        <v>8759</v>
      </c>
      <c r="M57" s="270">
        <v>20257</v>
      </c>
      <c r="N57" s="270"/>
      <c r="O57" s="270"/>
      <c r="P57" s="270">
        <v>291</v>
      </c>
      <c r="Q57" s="270"/>
      <c r="R57" s="271"/>
      <c r="S57" s="113"/>
      <c r="T57" s="113"/>
      <c r="U57" s="113"/>
      <c r="V57" s="113"/>
      <c r="W57" s="113"/>
      <c r="X57" s="113"/>
      <c r="Y57" s="113"/>
      <c r="Z57" s="113"/>
      <c r="AA57" s="113"/>
      <c r="AB57" s="113"/>
      <c r="AC57" s="113"/>
      <c r="AD57" s="113"/>
      <c r="AE57" s="113"/>
    </row>
    <row r="58" spans="1:31" s="34" customFormat="1" ht="18" customHeight="1">
      <c r="A58" s="98">
        <v>63</v>
      </c>
      <c r="B58" s="240"/>
      <c r="C58" s="490">
        <v>1</v>
      </c>
      <c r="D58" s="800" t="s">
        <v>150</v>
      </c>
      <c r="E58" s="800"/>
      <c r="F58" s="353"/>
      <c r="G58" s="95">
        <v>89</v>
      </c>
      <c r="H58" s="95">
        <v>269</v>
      </c>
      <c r="I58" s="265"/>
      <c r="J58" s="274"/>
      <c r="K58" s="261"/>
      <c r="L58" s="261"/>
      <c r="M58" s="261"/>
      <c r="N58" s="270"/>
      <c r="O58" s="270"/>
      <c r="P58" s="270"/>
      <c r="Q58" s="270"/>
      <c r="R58" s="271"/>
      <c r="S58" s="220"/>
      <c r="T58" s="220"/>
      <c r="U58" s="220"/>
      <c r="V58" s="220"/>
      <c r="W58" s="220"/>
      <c r="X58" s="220"/>
      <c r="Y58" s="220"/>
      <c r="Z58" s="220"/>
      <c r="AA58" s="220"/>
      <c r="AB58" s="220"/>
      <c r="AC58" s="220"/>
      <c r="AD58" s="220"/>
      <c r="AE58" s="220"/>
    </row>
    <row r="59" spans="1:31" s="34" customFormat="1" ht="22.5" customHeight="1">
      <c r="A59" s="98">
        <v>64</v>
      </c>
      <c r="B59" s="237">
        <v>9</v>
      </c>
      <c r="C59" s="489"/>
      <c r="D59" s="258" t="s">
        <v>495</v>
      </c>
      <c r="E59" s="258"/>
      <c r="F59" s="350" t="s">
        <v>23</v>
      </c>
      <c r="G59" s="95"/>
      <c r="H59" s="95">
        <v>236700</v>
      </c>
      <c r="I59" s="265">
        <f>275013-163-17</f>
        <v>274833</v>
      </c>
      <c r="J59" s="274"/>
      <c r="K59" s="95"/>
      <c r="L59" s="95"/>
      <c r="M59" s="95"/>
      <c r="N59" s="95"/>
      <c r="O59" s="95"/>
      <c r="P59" s="95"/>
      <c r="Q59" s="95"/>
      <c r="R59" s="102"/>
      <c r="S59" s="220"/>
      <c r="T59" s="220"/>
      <c r="U59" s="220"/>
      <c r="V59" s="220"/>
      <c r="W59" s="220"/>
      <c r="X59" s="220"/>
      <c r="Y59" s="220"/>
      <c r="Z59" s="220"/>
      <c r="AA59" s="220"/>
      <c r="AB59" s="220"/>
      <c r="AC59" s="220"/>
      <c r="AD59" s="220"/>
      <c r="AE59" s="220"/>
    </row>
    <row r="60" spans="1:31" s="584" customFormat="1" ht="18" customHeight="1">
      <c r="A60" s="98">
        <v>65</v>
      </c>
      <c r="B60" s="574"/>
      <c r="C60" s="616"/>
      <c r="D60" s="616"/>
      <c r="E60" s="604" t="s">
        <v>303</v>
      </c>
      <c r="F60" s="599"/>
      <c r="G60" s="599"/>
      <c r="H60" s="599"/>
      <c r="I60" s="617"/>
      <c r="J60" s="618">
        <f>SUM(K60:R60)</f>
        <v>243642</v>
      </c>
      <c r="K60" s="619">
        <v>176682</v>
      </c>
      <c r="L60" s="619">
        <v>35737</v>
      </c>
      <c r="M60" s="619">
        <v>30073</v>
      </c>
      <c r="N60" s="619"/>
      <c r="O60" s="619"/>
      <c r="P60" s="619">
        <v>1150</v>
      </c>
      <c r="Q60" s="619"/>
      <c r="R60" s="620"/>
      <c r="S60" s="621"/>
      <c r="T60" s="621"/>
      <c r="U60" s="621"/>
      <c r="V60" s="621"/>
      <c r="W60" s="621"/>
      <c r="X60" s="621"/>
      <c r="Y60" s="621"/>
      <c r="Z60" s="621"/>
      <c r="AA60" s="621"/>
      <c r="AB60" s="621"/>
      <c r="AC60" s="621"/>
      <c r="AD60" s="621"/>
      <c r="AE60" s="621"/>
    </row>
    <row r="61" spans="1:31" s="584" customFormat="1" ht="18" customHeight="1">
      <c r="A61" s="98">
        <v>66</v>
      </c>
      <c r="B61" s="574"/>
      <c r="C61" s="616"/>
      <c r="D61" s="616"/>
      <c r="E61" s="483" t="s">
        <v>994</v>
      </c>
      <c r="F61" s="599"/>
      <c r="G61" s="599"/>
      <c r="H61" s="599"/>
      <c r="I61" s="617"/>
      <c r="J61" s="266">
        <f>SUM(K61:R61)</f>
        <v>342727</v>
      </c>
      <c r="K61" s="1058">
        <v>239053</v>
      </c>
      <c r="L61" s="1058">
        <v>44497</v>
      </c>
      <c r="M61" s="1058">
        <v>55927</v>
      </c>
      <c r="N61" s="1058"/>
      <c r="O61" s="1058"/>
      <c r="P61" s="1058">
        <v>3250</v>
      </c>
      <c r="Q61" s="619"/>
      <c r="R61" s="620"/>
      <c r="S61" s="621"/>
      <c r="T61" s="621"/>
      <c r="U61" s="621"/>
      <c r="V61" s="621"/>
      <c r="W61" s="621"/>
      <c r="X61" s="621"/>
      <c r="Y61" s="621"/>
      <c r="Z61" s="621"/>
      <c r="AA61" s="621"/>
      <c r="AB61" s="621"/>
      <c r="AC61" s="621"/>
      <c r="AD61" s="621"/>
      <c r="AE61" s="621"/>
    </row>
    <row r="62" spans="1:31" s="31" customFormat="1" ht="18" customHeight="1">
      <c r="A62" s="98">
        <v>67</v>
      </c>
      <c r="B62" s="1018"/>
      <c r="C62" s="1031"/>
      <c r="D62" s="1031"/>
      <c r="E62" s="1020" t="s">
        <v>1035</v>
      </c>
      <c r="F62" s="243"/>
      <c r="G62" s="243"/>
      <c r="H62" s="243"/>
      <c r="I62" s="1033"/>
      <c r="J62" s="1034">
        <f>SUM(K62:R62)</f>
        <v>300491</v>
      </c>
      <c r="K62" s="270">
        <v>223338</v>
      </c>
      <c r="L62" s="270">
        <v>39300</v>
      </c>
      <c r="M62" s="270">
        <v>34623</v>
      </c>
      <c r="N62" s="270"/>
      <c r="O62" s="270"/>
      <c r="P62" s="270">
        <v>3230</v>
      </c>
      <c r="Q62" s="270"/>
      <c r="R62" s="271"/>
      <c r="S62" s="113"/>
      <c r="T62" s="113"/>
      <c r="U62" s="113"/>
      <c r="V62" s="113"/>
      <c r="W62" s="113"/>
      <c r="X62" s="113"/>
      <c r="Y62" s="113"/>
      <c r="Z62" s="113"/>
      <c r="AA62" s="113"/>
      <c r="AB62" s="113"/>
      <c r="AC62" s="113"/>
      <c r="AD62" s="113"/>
      <c r="AE62" s="113"/>
    </row>
    <row r="63" spans="1:31" s="34" customFormat="1" ht="18" customHeight="1" thickBot="1">
      <c r="A63" s="98">
        <v>69</v>
      </c>
      <c r="B63" s="240"/>
      <c r="C63" s="490">
        <v>1</v>
      </c>
      <c r="D63" s="800" t="s">
        <v>150</v>
      </c>
      <c r="E63" s="800"/>
      <c r="F63" s="353"/>
      <c r="G63" s="95"/>
      <c r="H63" s="95"/>
      <c r="I63" s="265">
        <f>163+17</f>
        <v>180</v>
      </c>
      <c r="J63" s="274"/>
      <c r="K63" s="261"/>
      <c r="L63" s="261"/>
      <c r="M63" s="261"/>
      <c r="N63" s="270"/>
      <c r="O63" s="270"/>
      <c r="P63" s="270"/>
      <c r="Q63" s="270"/>
      <c r="R63" s="271"/>
      <c r="S63" s="220"/>
      <c r="T63" s="220"/>
      <c r="U63" s="220"/>
      <c r="V63" s="220"/>
      <c r="W63" s="220"/>
      <c r="X63" s="220"/>
      <c r="Y63" s="220"/>
      <c r="Z63" s="220"/>
      <c r="AA63" s="220"/>
      <c r="AB63" s="220"/>
      <c r="AC63" s="220"/>
      <c r="AD63" s="220"/>
      <c r="AE63" s="220"/>
    </row>
    <row r="64" spans="1:31" s="158" customFormat="1" ht="22.5" customHeight="1" thickTop="1">
      <c r="A64" s="98">
        <v>70</v>
      </c>
      <c r="B64" s="267"/>
      <c r="C64" s="2036" t="s">
        <v>589</v>
      </c>
      <c r="D64" s="2037"/>
      <c r="E64" s="2038"/>
      <c r="F64" s="515"/>
      <c r="G64" s="511">
        <f>SUM(G47:G63)</f>
        <v>988845</v>
      </c>
      <c r="H64" s="511">
        <f>SUM(H47:H63)</f>
        <v>1196860</v>
      </c>
      <c r="I64" s="513">
        <f>SUM(I47:I63)</f>
        <v>1317515</v>
      </c>
      <c r="J64" s="514"/>
      <c r="K64" s="516"/>
      <c r="L64" s="516"/>
      <c r="M64" s="516"/>
      <c r="N64" s="516"/>
      <c r="O64" s="516"/>
      <c r="P64" s="516"/>
      <c r="Q64" s="516"/>
      <c r="R64" s="517"/>
      <c r="S64" s="268"/>
      <c r="T64" s="273"/>
      <c r="U64" s="273"/>
      <c r="V64" s="273"/>
      <c r="W64" s="273"/>
      <c r="X64" s="273"/>
      <c r="Y64" s="273"/>
      <c r="Z64" s="273"/>
      <c r="AA64" s="273"/>
      <c r="AB64" s="273"/>
      <c r="AC64" s="273"/>
      <c r="AD64" s="273"/>
      <c r="AE64" s="273"/>
    </row>
    <row r="65" spans="1:31" s="584" customFormat="1" ht="18" customHeight="1">
      <c r="A65" s="98">
        <v>71</v>
      </c>
      <c r="B65" s="574"/>
      <c r="C65" s="1040"/>
      <c r="D65" s="616"/>
      <c r="E65" s="604" t="s">
        <v>303</v>
      </c>
      <c r="F65" s="599"/>
      <c r="G65" s="599"/>
      <c r="H65" s="599"/>
      <c r="I65" s="617"/>
      <c r="J65" s="618">
        <f>SUM(K65:R65)</f>
        <v>1309869</v>
      </c>
      <c r="K65" s="619">
        <f aca="true" t="shared" si="2" ref="K65:R66">SUM(K48,K55,K60)</f>
        <v>930923</v>
      </c>
      <c r="L65" s="619">
        <f t="shared" si="2"/>
        <v>184278</v>
      </c>
      <c r="M65" s="619">
        <f t="shared" si="2"/>
        <v>191888</v>
      </c>
      <c r="N65" s="619">
        <f t="shared" si="2"/>
        <v>0</v>
      </c>
      <c r="O65" s="619">
        <f t="shared" si="2"/>
        <v>0</v>
      </c>
      <c r="P65" s="619">
        <f t="shared" si="2"/>
        <v>2780</v>
      </c>
      <c r="Q65" s="619">
        <f t="shared" si="2"/>
        <v>0</v>
      </c>
      <c r="R65" s="620">
        <f t="shared" si="2"/>
        <v>0</v>
      </c>
      <c r="S65" s="621"/>
      <c r="T65" s="621"/>
      <c r="U65" s="621"/>
      <c r="V65" s="621"/>
      <c r="W65" s="621"/>
      <c r="X65" s="621"/>
      <c r="Y65" s="621"/>
      <c r="Z65" s="621"/>
      <c r="AA65" s="621"/>
      <c r="AB65" s="621"/>
      <c r="AC65" s="621"/>
      <c r="AD65" s="621"/>
      <c r="AE65" s="621"/>
    </row>
    <row r="66" spans="1:31" s="584" customFormat="1" ht="18" customHeight="1">
      <c r="A66" s="98">
        <v>72</v>
      </c>
      <c r="B66" s="574"/>
      <c r="C66" s="1040"/>
      <c r="D66" s="616"/>
      <c r="E66" s="483" t="s">
        <v>994</v>
      </c>
      <c r="F66" s="599"/>
      <c r="G66" s="599"/>
      <c r="H66" s="599"/>
      <c r="I66" s="617"/>
      <c r="J66" s="266">
        <f>SUM(K66:R66)</f>
        <v>1539737</v>
      </c>
      <c r="K66" s="1058">
        <f t="shared" si="2"/>
        <v>1074787</v>
      </c>
      <c r="L66" s="1058">
        <f t="shared" si="2"/>
        <v>205617</v>
      </c>
      <c r="M66" s="1058">
        <f t="shared" si="2"/>
        <v>252444</v>
      </c>
      <c r="N66" s="1058">
        <f t="shared" si="2"/>
        <v>0</v>
      </c>
      <c r="O66" s="1058">
        <f t="shared" si="2"/>
        <v>0</v>
      </c>
      <c r="P66" s="1058">
        <f t="shared" si="2"/>
        <v>6889</v>
      </c>
      <c r="Q66" s="1058">
        <f t="shared" si="2"/>
        <v>0</v>
      </c>
      <c r="R66" s="1059">
        <f t="shared" si="2"/>
        <v>0</v>
      </c>
      <c r="S66" s="621"/>
      <c r="T66" s="621"/>
      <c r="U66" s="621"/>
      <c r="V66" s="621"/>
      <c r="W66" s="621"/>
      <c r="X66" s="621"/>
      <c r="Y66" s="621"/>
      <c r="Z66" s="621"/>
      <c r="AA66" s="621"/>
      <c r="AB66" s="621"/>
      <c r="AC66" s="621"/>
      <c r="AD66" s="621"/>
      <c r="AE66" s="621"/>
    </row>
    <row r="67" spans="1:31" s="31" customFormat="1" ht="18" customHeight="1" thickBot="1">
      <c r="A67" s="98">
        <v>73</v>
      </c>
      <c r="B67" s="1018"/>
      <c r="C67" s="1514"/>
      <c r="D67" s="1515"/>
      <c r="E67" s="1516" t="s">
        <v>1036</v>
      </c>
      <c r="F67" s="1517"/>
      <c r="G67" s="1517"/>
      <c r="H67" s="1517"/>
      <c r="I67" s="1518"/>
      <c r="J67" s="1519">
        <f>SUM(K67:R67)</f>
        <v>1413145</v>
      </c>
      <c r="K67" s="1520">
        <f aca="true" t="shared" si="3" ref="K67:R67">SUM(K50:K50,K53:K53,K57:K57,K62:K62)</f>
        <v>1033183</v>
      </c>
      <c r="L67" s="1520">
        <f t="shared" si="3"/>
        <v>188970</v>
      </c>
      <c r="M67" s="1520">
        <f t="shared" si="3"/>
        <v>184989</v>
      </c>
      <c r="N67" s="1520">
        <f t="shared" si="3"/>
        <v>0</v>
      </c>
      <c r="O67" s="1520">
        <f t="shared" si="3"/>
        <v>0</v>
      </c>
      <c r="P67" s="1520">
        <f t="shared" si="3"/>
        <v>6003</v>
      </c>
      <c r="Q67" s="1520">
        <f t="shared" si="3"/>
        <v>0</v>
      </c>
      <c r="R67" s="1521">
        <f t="shared" si="3"/>
        <v>0</v>
      </c>
      <c r="S67" s="113"/>
      <c r="T67" s="113"/>
      <c r="U67" s="113"/>
      <c r="V67" s="113"/>
      <c r="W67" s="113"/>
      <c r="X67" s="113"/>
      <c r="Y67" s="113"/>
      <c r="Z67" s="113"/>
      <c r="AA67" s="113"/>
      <c r="AB67" s="113"/>
      <c r="AC67" s="113"/>
      <c r="AD67" s="113"/>
      <c r="AE67" s="113"/>
    </row>
    <row r="68" spans="1:31" s="25" customFormat="1" ht="22.5" customHeight="1" thickTop="1">
      <c r="A68" s="98">
        <v>75</v>
      </c>
      <c r="B68" s="248">
        <v>10</v>
      </c>
      <c r="C68" s="491"/>
      <c r="D68" s="260" t="s">
        <v>497</v>
      </c>
      <c r="E68" s="259"/>
      <c r="F68" s="351" t="s">
        <v>23</v>
      </c>
      <c r="G68" s="256">
        <v>246321</v>
      </c>
      <c r="H68" s="256">
        <v>214545</v>
      </c>
      <c r="I68" s="352">
        <v>245048</v>
      </c>
      <c r="J68" s="335"/>
      <c r="K68" s="256"/>
      <c r="L68" s="256"/>
      <c r="M68" s="256"/>
      <c r="N68" s="256"/>
      <c r="O68" s="256"/>
      <c r="P68" s="256"/>
      <c r="Q68" s="256"/>
      <c r="R68" s="269"/>
      <c r="S68" s="175"/>
      <c r="T68" s="175"/>
      <c r="U68" s="175"/>
      <c r="V68" s="175"/>
      <c r="W68" s="175"/>
      <c r="X68" s="175"/>
      <c r="Y68" s="175"/>
      <c r="Z68" s="175"/>
      <c r="AA68" s="175"/>
      <c r="AB68" s="175"/>
      <c r="AC68" s="175"/>
      <c r="AD68" s="175"/>
      <c r="AE68" s="175"/>
    </row>
    <row r="69" spans="1:31" s="584" customFormat="1" ht="18" customHeight="1">
      <c r="A69" s="98">
        <v>76</v>
      </c>
      <c r="B69" s="574"/>
      <c r="C69" s="606"/>
      <c r="D69" s="606"/>
      <c r="E69" s="607" t="s">
        <v>303</v>
      </c>
      <c r="F69" s="594"/>
      <c r="G69" s="594"/>
      <c r="H69" s="594"/>
      <c r="I69" s="608"/>
      <c r="J69" s="609">
        <f>SUM(K69:R69)</f>
        <v>213129</v>
      </c>
      <c r="K69" s="610">
        <f>82250-11583+11583</f>
        <v>82250</v>
      </c>
      <c r="L69" s="610">
        <f>15250-2027+2027</f>
        <v>15250</v>
      </c>
      <c r="M69" s="610">
        <v>115629</v>
      </c>
      <c r="N69" s="610"/>
      <c r="O69" s="610"/>
      <c r="P69" s="610"/>
      <c r="Q69" s="610"/>
      <c r="R69" s="611"/>
      <c r="S69" s="621"/>
      <c r="T69" s="621"/>
      <c r="U69" s="621"/>
      <c r="V69" s="621"/>
      <c r="W69" s="621"/>
      <c r="X69" s="621"/>
      <c r="Y69" s="621"/>
      <c r="Z69" s="621"/>
      <c r="AA69" s="621"/>
      <c r="AB69" s="621"/>
      <c r="AC69" s="621"/>
      <c r="AD69" s="621"/>
      <c r="AE69" s="621"/>
    </row>
    <row r="70" spans="1:31" s="584" customFormat="1" ht="18" customHeight="1">
      <c r="A70" s="98">
        <v>77</v>
      </c>
      <c r="B70" s="574"/>
      <c r="C70" s="606"/>
      <c r="D70" s="606"/>
      <c r="E70" s="483" t="s">
        <v>994</v>
      </c>
      <c r="F70" s="594"/>
      <c r="G70" s="594"/>
      <c r="H70" s="594"/>
      <c r="I70" s="608"/>
      <c r="J70" s="266">
        <f>SUM(K70:R70)</f>
        <v>255438</v>
      </c>
      <c r="K70" s="1038">
        <v>93106</v>
      </c>
      <c r="L70" s="1038">
        <v>17766</v>
      </c>
      <c r="M70" s="1038">
        <v>138813</v>
      </c>
      <c r="N70" s="1038"/>
      <c r="O70" s="1038"/>
      <c r="P70" s="1038">
        <v>5753</v>
      </c>
      <c r="Q70" s="610"/>
      <c r="R70" s="611"/>
      <c r="S70" s="621"/>
      <c r="T70" s="621"/>
      <c r="U70" s="621"/>
      <c r="V70" s="621"/>
      <c r="W70" s="621"/>
      <c r="X70" s="621"/>
      <c r="Y70" s="621"/>
      <c r="Z70" s="621"/>
      <c r="AA70" s="621"/>
      <c r="AB70" s="621"/>
      <c r="AC70" s="621"/>
      <c r="AD70" s="621"/>
      <c r="AE70" s="621"/>
    </row>
    <row r="71" spans="1:31" s="31" customFormat="1" ht="18" customHeight="1">
      <c r="A71" s="98">
        <v>78</v>
      </c>
      <c r="B71" s="1018"/>
      <c r="C71" s="1031"/>
      <c r="D71" s="1031"/>
      <c r="E71" s="1020" t="s">
        <v>1035</v>
      </c>
      <c r="F71" s="243"/>
      <c r="G71" s="243"/>
      <c r="H71" s="243"/>
      <c r="I71" s="1033"/>
      <c r="J71" s="1034">
        <f>SUM(K71:R71)</f>
        <v>207853</v>
      </c>
      <c r="K71" s="270">
        <f>99868-10203</f>
        <v>89665</v>
      </c>
      <c r="L71" s="270">
        <f>16943-1596</f>
        <v>15347</v>
      </c>
      <c r="M71" s="270">
        <f>99556-1940</f>
        <v>97616</v>
      </c>
      <c r="N71" s="270"/>
      <c r="O71" s="270"/>
      <c r="P71" s="270">
        <v>5225</v>
      </c>
      <c r="Q71" s="270"/>
      <c r="R71" s="271"/>
      <c r="S71" s="113"/>
      <c r="T71" s="113"/>
      <c r="U71" s="113"/>
      <c r="V71" s="113"/>
      <c r="W71" s="113"/>
      <c r="X71" s="113"/>
      <c r="Y71" s="113"/>
      <c r="Z71" s="113"/>
      <c r="AA71" s="113"/>
      <c r="AB71" s="113"/>
      <c r="AC71" s="113"/>
      <c r="AD71" s="113"/>
      <c r="AE71" s="113"/>
    </row>
    <row r="72" spans="1:31" s="31" customFormat="1" ht="18" customHeight="1">
      <c r="A72" s="98">
        <v>81</v>
      </c>
      <c r="B72" s="948"/>
      <c r="C72" s="949"/>
      <c r="D72" s="950" t="s">
        <v>782</v>
      </c>
      <c r="E72" s="951"/>
      <c r="F72" s="952"/>
      <c r="G72" s="116"/>
      <c r="H72" s="116"/>
      <c r="I72" s="1220"/>
      <c r="J72" s="274"/>
      <c r="K72" s="270"/>
      <c r="L72" s="270"/>
      <c r="M72" s="270"/>
      <c r="N72" s="270"/>
      <c r="O72" s="270"/>
      <c r="P72" s="270"/>
      <c r="Q72" s="270"/>
      <c r="R72" s="271"/>
      <c r="S72" s="113"/>
      <c r="T72" s="113"/>
      <c r="U72" s="113"/>
      <c r="V72" s="113"/>
      <c r="W72" s="113"/>
      <c r="X72" s="113"/>
      <c r="Y72" s="113"/>
      <c r="Z72" s="113"/>
      <c r="AA72" s="113"/>
      <c r="AB72" s="113"/>
      <c r="AC72" s="113"/>
      <c r="AD72" s="113"/>
      <c r="AE72" s="113"/>
    </row>
    <row r="73" spans="1:31" s="623" customFormat="1" ht="18" customHeight="1">
      <c r="A73" s="98">
        <v>82</v>
      </c>
      <c r="B73" s="891"/>
      <c r="C73" s="893"/>
      <c r="D73" s="893"/>
      <c r="E73" s="953" t="s">
        <v>303</v>
      </c>
      <c r="F73" s="954"/>
      <c r="G73" s="595"/>
      <c r="H73" s="595"/>
      <c r="I73" s="1221"/>
      <c r="J73" s="895">
        <f>SUM(K73:R73)</f>
        <v>13610</v>
      </c>
      <c r="K73" s="896">
        <v>11583</v>
      </c>
      <c r="L73" s="896">
        <v>2027</v>
      </c>
      <c r="M73" s="896"/>
      <c r="N73" s="896"/>
      <c r="O73" s="896"/>
      <c r="P73" s="896"/>
      <c r="Q73" s="896"/>
      <c r="R73" s="897"/>
      <c r="S73" s="622"/>
      <c r="T73" s="622"/>
      <c r="U73" s="622"/>
      <c r="V73" s="622"/>
      <c r="W73" s="622"/>
      <c r="X73" s="622"/>
      <c r="Y73" s="622"/>
      <c r="Z73" s="622"/>
      <c r="AA73" s="622"/>
      <c r="AB73" s="622"/>
      <c r="AC73" s="622"/>
      <c r="AD73" s="622"/>
      <c r="AE73" s="622"/>
    </row>
    <row r="74" spans="1:31" s="623" customFormat="1" ht="18" customHeight="1">
      <c r="A74" s="98">
        <v>83</v>
      </c>
      <c r="B74" s="891"/>
      <c r="C74" s="893"/>
      <c r="D74" s="893"/>
      <c r="E74" s="483" t="s">
        <v>1037</v>
      </c>
      <c r="F74" s="954"/>
      <c r="G74" s="595"/>
      <c r="H74" s="595"/>
      <c r="I74" s="1221"/>
      <c r="J74" s="266">
        <f>SUM(K74:R74)</f>
        <v>0</v>
      </c>
      <c r="K74" s="1046">
        <v>0</v>
      </c>
      <c r="L74" s="1046">
        <v>0</v>
      </c>
      <c r="M74" s="896"/>
      <c r="N74" s="896"/>
      <c r="O74" s="896"/>
      <c r="P74" s="896"/>
      <c r="Q74" s="896"/>
      <c r="R74" s="897"/>
      <c r="S74" s="622"/>
      <c r="T74" s="622"/>
      <c r="U74" s="622"/>
      <c r="V74" s="622"/>
      <c r="W74" s="622"/>
      <c r="X74" s="622"/>
      <c r="Y74" s="622"/>
      <c r="Z74" s="622"/>
      <c r="AA74" s="622"/>
      <c r="AB74" s="622"/>
      <c r="AC74" s="622"/>
      <c r="AD74" s="622"/>
      <c r="AE74" s="622"/>
    </row>
    <row r="75" spans="1:31" s="31" customFormat="1" ht="18" customHeight="1">
      <c r="A75" s="98">
        <v>84</v>
      </c>
      <c r="B75" s="1018"/>
      <c r="C75" s="1031"/>
      <c r="D75" s="1031"/>
      <c r="E75" s="1042" t="s">
        <v>1035</v>
      </c>
      <c r="F75" s="243"/>
      <c r="G75" s="243"/>
      <c r="H75" s="243"/>
      <c r="I75" s="1033"/>
      <c r="J75" s="1034">
        <f>SUM(K75:R75)</f>
        <v>0</v>
      </c>
      <c r="K75" s="270">
        <v>0</v>
      </c>
      <c r="L75" s="270">
        <v>0</v>
      </c>
      <c r="M75" s="270"/>
      <c r="N75" s="270"/>
      <c r="O75" s="270"/>
      <c r="P75" s="270"/>
      <c r="Q75" s="270"/>
      <c r="R75" s="271"/>
      <c r="S75" s="113"/>
      <c r="T75" s="113"/>
      <c r="U75" s="113"/>
      <c r="V75" s="113"/>
      <c r="W75" s="113"/>
      <c r="X75" s="113"/>
      <c r="Y75" s="113"/>
      <c r="Z75" s="113"/>
      <c r="AA75" s="113"/>
      <c r="AB75" s="113"/>
      <c r="AC75" s="113"/>
      <c r="AD75" s="113"/>
      <c r="AE75" s="113"/>
    </row>
    <row r="76" spans="1:31" s="28" customFormat="1" ht="18" customHeight="1">
      <c r="A76" s="98">
        <v>86</v>
      </c>
      <c r="B76" s="240"/>
      <c r="C76" s="489">
        <v>1</v>
      </c>
      <c r="D76" s="800" t="s">
        <v>581</v>
      </c>
      <c r="E76" s="800"/>
      <c r="F76" s="353"/>
      <c r="G76" s="95"/>
      <c r="H76" s="95"/>
      <c r="I76" s="1223">
        <v>5228</v>
      </c>
      <c r="J76" s="274"/>
      <c r="K76" s="261"/>
      <c r="L76" s="261"/>
      <c r="M76" s="261"/>
      <c r="N76" s="270"/>
      <c r="O76" s="270"/>
      <c r="P76" s="270"/>
      <c r="Q76" s="270"/>
      <c r="R76" s="271"/>
      <c r="S76" s="36"/>
      <c r="T76" s="36"/>
      <c r="U76" s="36"/>
      <c r="V76" s="36"/>
      <c r="W76" s="36"/>
      <c r="X76" s="36"/>
      <c r="Y76" s="36"/>
      <c r="Z76" s="36"/>
      <c r="AA76" s="36"/>
      <c r="AB76" s="36"/>
      <c r="AC76" s="36"/>
      <c r="AD76" s="36"/>
      <c r="AE76" s="36"/>
    </row>
    <row r="77" spans="1:31" s="623" customFormat="1" ht="18" customHeight="1">
      <c r="A77" s="98">
        <v>87</v>
      </c>
      <c r="B77" s="574"/>
      <c r="C77" s="606"/>
      <c r="D77" s="606"/>
      <c r="E77" s="1652" t="s">
        <v>303</v>
      </c>
      <c r="F77" s="1653"/>
      <c r="G77" s="594"/>
      <c r="H77" s="594"/>
      <c r="I77" s="608"/>
      <c r="J77" s="609">
        <f>SUM(K77:R77)</f>
        <v>89379</v>
      </c>
      <c r="K77" s="610">
        <v>33444</v>
      </c>
      <c r="L77" s="610">
        <v>6075</v>
      </c>
      <c r="M77" s="610">
        <v>45810</v>
      </c>
      <c r="N77" s="610"/>
      <c r="O77" s="610"/>
      <c r="P77" s="610">
        <v>4050</v>
      </c>
      <c r="Q77" s="610"/>
      <c r="R77" s="611"/>
      <c r="S77" s="622"/>
      <c r="T77" s="622"/>
      <c r="U77" s="622"/>
      <c r="V77" s="622"/>
      <c r="W77" s="622"/>
      <c r="X77" s="622"/>
      <c r="Y77" s="622"/>
      <c r="Z77" s="622"/>
      <c r="AA77" s="622"/>
      <c r="AB77" s="622"/>
      <c r="AC77" s="622"/>
      <c r="AD77" s="622"/>
      <c r="AE77" s="622"/>
    </row>
    <row r="78" spans="1:31" s="623" customFormat="1" ht="18" customHeight="1">
      <c r="A78" s="98">
        <v>88</v>
      </c>
      <c r="B78" s="574"/>
      <c r="C78" s="606"/>
      <c r="D78" s="606"/>
      <c r="E78" s="483" t="s">
        <v>994</v>
      </c>
      <c r="F78" s="1653"/>
      <c r="G78" s="594"/>
      <c r="H78" s="594"/>
      <c r="I78" s="608"/>
      <c r="J78" s="266">
        <f>SUM(K78:R78)</f>
        <v>89379</v>
      </c>
      <c r="K78" s="1038">
        <v>33444</v>
      </c>
      <c r="L78" s="1038">
        <v>6075</v>
      </c>
      <c r="M78" s="1038">
        <v>45810</v>
      </c>
      <c r="N78" s="1038"/>
      <c r="O78" s="1038"/>
      <c r="P78" s="1038">
        <v>4050</v>
      </c>
      <c r="Q78" s="610"/>
      <c r="R78" s="611"/>
      <c r="S78" s="622"/>
      <c r="T78" s="622"/>
      <c r="U78" s="622"/>
      <c r="V78" s="622"/>
      <c r="W78" s="622"/>
      <c r="X78" s="622"/>
      <c r="Y78" s="622"/>
      <c r="Z78" s="622"/>
      <c r="AA78" s="622"/>
      <c r="AB78" s="622"/>
      <c r="AC78" s="622"/>
      <c r="AD78" s="622"/>
      <c r="AE78" s="622"/>
    </row>
    <row r="79" spans="1:31" s="31" customFormat="1" ht="18" customHeight="1">
      <c r="A79" s="98">
        <v>89</v>
      </c>
      <c r="B79" s="1018"/>
      <c r="C79" s="1031"/>
      <c r="D79" s="1031"/>
      <c r="E79" s="1032" t="s">
        <v>1036</v>
      </c>
      <c r="F79" s="243"/>
      <c r="G79" s="243"/>
      <c r="H79" s="243"/>
      <c r="I79" s="1033"/>
      <c r="J79" s="1034">
        <f>SUM(K79:R79)</f>
        <v>13739</v>
      </c>
      <c r="K79" s="270">
        <v>10203</v>
      </c>
      <c r="L79" s="270">
        <v>1596</v>
      </c>
      <c r="M79" s="270">
        <v>1940</v>
      </c>
      <c r="N79" s="270"/>
      <c r="O79" s="270"/>
      <c r="P79" s="270">
        <v>0</v>
      </c>
      <c r="Q79" s="270"/>
      <c r="R79" s="271"/>
      <c r="S79" s="113"/>
      <c r="T79" s="113"/>
      <c r="U79" s="113"/>
      <c r="V79" s="113"/>
      <c r="W79" s="113"/>
      <c r="X79" s="113"/>
      <c r="Y79" s="113"/>
      <c r="Z79" s="113"/>
      <c r="AA79" s="113"/>
      <c r="AB79" s="113"/>
      <c r="AC79" s="113"/>
      <c r="AD79" s="113"/>
      <c r="AE79" s="113"/>
    </row>
    <row r="80" spans="1:31" s="31" customFormat="1" ht="22.5" customHeight="1">
      <c r="A80" s="98">
        <v>91</v>
      </c>
      <c r="B80" s="237">
        <v>11</v>
      </c>
      <c r="C80" s="489"/>
      <c r="D80" s="258" t="s">
        <v>480</v>
      </c>
      <c r="E80" s="258"/>
      <c r="F80" s="350" t="s">
        <v>23</v>
      </c>
      <c r="G80" s="95">
        <v>133426</v>
      </c>
      <c r="H80" s="95">
        <v>125485</v>
      </c>
      <c r="I80" s="265">
        <v>151034</v>
      </c>
      <c r="J80" s="274"/>
      <c r="K80" s="95"/>
      <c r="L80" s="95"/>
      <c r="M80" s="95"/>
      <c r="N80" s="95"/>
      <c r="O80" s="95"/>
      <c r="P80" s="95"/>
      <c r="Q80" s="95"/>
      <c r="R80" s="102"/>
      <c r="S80" s="113"/>
      <c r="T80" s="113"/>
      <c r="U80" s="113"/>
      <c r="V80" s="113"/>
      <c r="W80" s="113"/>
      <c r="X80" s="113"/>
      <c r="Y80" s="113"/>
      <c r="Z80" s="113"/>
      <c r="AA80" s="113"/>
      <c r="AB80" s="113"/>
      <c r="AC80" s="113"/>
      <c r="AD80" s="113"/>
      <c r="AE80" s="113"/>
    </row>
    <row r="81" spans="1:31" s="623" customFormat="1" ht="18" customHeight="1">
      <c r="A81" s="98">
        <v>92</v>
      </c>
      <c r="B81" s="574"/>
      <c r="C81" s="606"/>
      <c r="D81" s="606"/>
      <c r="E81" s="607" t="s">
        <v>303</v>
      </c>
      <c r="F81" s="594"/>
      <c r="G81" s="594"/>
      <c r="H81" s="594"/>
      <c r="I81" s="608"/>
      <c r="J81" s="609">
        <f>SUM(K81:R81)</f>
        <v>125328</v>
      </c>
      <c r="K81" s="610">
        <f>71395-11583+11583</f>
        <v>71395</v>
      </c>
      <c r="L81" s="610">
        <f>12810-2027+2027</f>
        <v>12810</v>
      </c>
      <c r="M81" s="610">
        <v>41123</v>
      </c>
      <c r="N81" s="610"/>
      <c r="O81" s="610"/>
      <c r="P81" s="610"/>
      <c r="Q81" s="610"/>
      <c r="R81" s="611"/>
      <c r="S81" s="622"/>
      <c r="T81" s="622"/>
      <c r="U81" s="622"/>
      <c r="V81" s="622"/>
      <c r="W81" s="622"/>
      <c r="X81" s="622"/>
      <c r="Y81" s="622"/>
      <c r="Z81" s="622"/>
      <c r="AA81" s="622"/>
      <c r="AB81" s="622"/>
      <c r="AC81" s="622"/>
      <c r="AD81" s="622"/>
      <c r="AE81" s="622"/>
    </row>
    <row r="82" spans="1:31" s="623" customFormat="1" ht="18" customHeight="1">
      <c r="A82" s="98">
        <v>93</v>
      </c>
      <c r="B82" s="574"/>
      <c r="C82" s="606"/>
      <c r="D82" s="606"/>
      <c r="E82" s="483" t="s">
        <v>994</v>
      </c>
      <c r="F82" s="594"/>
      <c r="G82" s="594"/>
      <c r="H82" s="594"/>
      <c r="I82" s="608"/>
      <c r="J82" s="266">
        <f>SUM(K82:R82)</f>
        <v>154290</v>
      </c>
      <c r="K82" s="1038">
        <v>84946</v>
      </c>
      <c r="L82" s="1038">
        <v>15358</v>
      </c>
      <c r="M82" s="1038">
        <v>51904</v>
      </c>
      <c r="N82" s="1038"/>
      <c r="O82" s="1038"/>
      <c r="P82" s="1038">
        <v>2082</v>
      </c>
      <c r="Q82" s="610"/>
      <c r="R82" s="611"/>
      <c r="S82" s="622"/>
      <c r="T82" s="622"/>
      <c r="U82" s="622"/>
      <c r="V82" s="622"/>
      <c r="W82" s="622"/>
      <c r="X82" s="622"/>
      <c r="Y82" s="622"/>
      <c r="Z82" s="622"/>
      <c r="AA82" s="622"/>
      <c r="AB82" s="622"/>
      <c r="AC82" s="622"/>
      <c r="AD82" s="622"/>
      <c r="AE82" s="622"/>
    </row>
    <row r="83" spans="1:31" s="31" customFormat="1" ht="18" customHeight="1">
      <c r="A83" s="98">
        <v>94</v>
      </c>
      <c r="B83" s="1018"/>
      <c r="C83" s="1031"/>
      <c r="D83" s="1031"/>
      <c r="E83" s="1020" t="s">
        <v>1035</v>
      </c>
      <c r="F83" s="243"/>
      <c r="G83" s="243"/>
      <c r="H83" s="243"/>
      <c r="I83" s="1033"/>
      <c r="J83" s="1034">
        <f>SUM(K83:R83)</f>
        <v>136279</v>
      </c>
      <c r="K83" s="270">
        <v>82265</v>
      </c>
      <c r="L83" s="270">
        <v>14024</v>
      </c>
      <c r="M83" s="270">
        <v>38410</v>
      </c>
      <c r="N83" s="270"/>
      <c r="O83" s="270"/>
      <c r="P83" s="270">
        <v>1580</v>
      </c>
      <c r="Q83" s="270"/>
      <c r="R83" s="271"/>
      <c r="S83" s="113"/>
      <c r="T83" s="113"/>
      <c r="U83" s="113"/>
      <c r="V83" s="113"/>
      <c r="W83" s="113"/>
      <c r="X83" s="113"/>
      <c r="Y83" s="113"/>
      <c r="Z83" s="113"/>
      <c r="AA83" s="113"/>
      <c r="AB83" s="113"/>
      <c r="AC83" s="113"/>
      <c r="AD83" s="113"/>
      <c r="AE83" s="113"/>
    </row>
    <row r="84" spans="1:31" s="31" customFormat="1" ht="18" customHeight="1">
      <c r="A84" s="98">
        <v>97</v>
      </c>
      <c r="B84" s="948"/>
      <c r="C84" s="949"/>
      <c r="D84" s="950" t="s">
        <v>782</v>
      </c>
      <c r="E84" s="951"/>
      <c r="F84" s="952"/>
      <c r="G84" s="116"/>
      <c r="H84" s="116"/>
      <c r="I84" s="1220"/>
      <c r="J84" s="274"/>
      <c r="K84" s="270"/>
      <c r="L84" s="270"/>
      <c r="M84" s="270"/>
      <c r="N84" s="270"/>
      <c r="O84" s="270"/>
      <c r="P84" s="270"/>
      <c r="Q84" s="270"/>
      <c r="R84" s="271"/>
      <c r="S84" s="113"/>
      <c r="T84" s="113"/>
      <c r="U84" s="113"/>
      <c r="V84" s="113"/>
      <c r="W84" s="113"/>
      <c r="X84" s="113"/>
      <c r="Y84" s="113"/>
      <c r="Z84" s="113"/>
      <c r="AA84" s="113"/>
      <c r="AB84" s="113"/>
      <c r="AC84" s="113"/>
      <c r="AD84" s="113"/>
      <c r="AE84" s="113"/>
    </row>
    <row r="85" spans="1:31" s="623" customFormat="1" ht="18" customHeight="1">
      <c r="A85" s="98">
        <v>98</v>
      </c>
      <c r="B85" s="891"/>
      <c r="C85" s="893"/>
      <c r="D85" s="893"/>
      <c r="E85" s="953" t="s">
        <v>303</v>
      </c>
      <c r="F85" s="954"/>
      <c r="G85" s="595"/>
      <c r="H85" s="595"/>
      <c r="I85" s="1221"/>
      <c r="J85" s="895">
        <f>SUM(K85:R85)</f>
        <v>13610</v>
      </c>
      <c r="K85" s="896">
        <v>11583</v>
      </c>
      <c r="L85" s="896">
        <v>2027</v>
      </c>
      <c r="M85" s="896"/>
      <c r="N85" s="896"/>
      <c r="O85" s="896"/>
      <c r="P85" s="896"/>
      <c r="Q85" s="896"/>
      <c r="R85" s="897"/>
      <c r="S85" s="622"/>
      <c r="T85" s="622"/>
      <c r="U85" s="622"/>
      <c r="V85" s="622"/>
      <c r="W85" s="622"/>
      <c r="X85" s="622"/>
      <c r="Y85" s="622"/>
      <c r="Z85" s="622"/>
      <c r="AA85" s="622"/>
      <c r="AB85" s="622"/>
      <c r="AC85" s="622"/>
      <c r="AD85" s="622"/>
      <c r="AE85" s="622"/>
    </row>
    <row r="86" spans="1:31" s="623" customFormat="1" ht="18" customHeight="1">
      <c r="A86" s="98">
        <v>99</v>
      </c>
      <c r="B86" s="891"/>
      <c r="C86" s="893"/>
      <c r="D86" s="893"/>
      <c r="E86" s="1044" t="s">
        <v>994</v>
      </c>
      <c r="F86" s="954"/>
      <c r="G86" s="595"/>
      <c r="H86" s="595"/>
      <c r="I86" s="1221"/>
      <c r="J86" s="274">
        <f>SUM(K86:R86)</f>
        <v>0</v>
      </c>
      <c r="K86" s="1046">
        <v>0</v>
      </c>
      <c r="L86" s="1046">
        <v>0</v>
      </c>
      <c r="M86" s="896"/>
      <c r="N86" s="896"/>
      <c r="O86" s="896"/>
      <c r="P86" s="896"/>
      <c r="Q86" s="896"/>
      <c r="R86" s="897"/>
      <c r="S86" s="622"/>
      <c r="T86" s="622"/>
      <c r="U86" s="622"/>
      <c r="V86" s="622"/>
      <c r="W86" s="622"/>
      <c r="X86" s="622"/>
      <c r="Y86" s="622"/>
      <c r="Z86" s="622"/>
      <c r="AA86" s="622"/>
      <c r="AB86" s="622"/>
      <c r="AC86" s="622"/>
      <c r="AD86" s="622"/>
      <c r="AE86" s="622"/>
    </row>
    <row r="87" spans="1:31" s="31" customFormat="1" ht="18" customHeight="1">
      <c r="A87" s="98">
        <v>100</v>
      </c>
      <c r="B87" s="1018"/>
      <c r="C87" s="1031"/>
      <c r="D87" s="1031"/>
      <c r="E87" s="1042" t="s">
        <v>1035</v>
      </c>
      <c r="F87" s="243"/>
      <c r="G87" s="243"/>
      <c r="H87" s="243"/>
      <c r="I87" s="1033"/>
      <c r="J87" s="1034">
        <f>SUM(K87:R87)</f>
        <v>0</v>
      </c>
      <c r="K87" s="270">
        <v>0</v>
      </c>
      <c r="L87" s="270">
        <v>0</v>
      </c>
      <c r="M87" s="270"/>
      <c r="N87" s="270"/>
      <c r="O87" s="270"/>
      <c r="P87" s="270"/>
      <c r="Q87" s="270"/>
      <c r="R87" s="271"/>
      <c r="S87" s="113"/>
      <c r="T87" s="113"/>
      <c r="U87" s="113"/>
      <c r="V87" s="113"/>
      <c r="W87" s="113"/>
      <c r="X87" s="113"/>
      <c r="Y87" s="113"/>
      <c r="Z87" s="113"/>
      <c r="AA87" s="113"/>
      <c r="AB87" s="113"/>
      <c r="AC87" s="113"/>
      <c r="AD87" s="113"/>
      <c r="AE87" s="113"/>
    </row>
    <row r="88" spans="1:31" s="35" customFormat="1" ht="18" customHeight="1">
      <c r="A88" s="98">
        <v>102</v>
      </c>
      <c r="B88" s="267"/>
      <c r="C88" s="489">
        <v>1</v>
      </c>
      <c r="D88" s="482" t="s">
        <v>955</v>
      </c>
      <c r="E88" s="800"/>
      <c r="F88" s="353"/>
      <c r="G88" s="1045"/>
      <c r="H88" s="1045"/>
      <c r="I88" s="1222"/>
      <c r="J88" s="274"/>
      <c r="K88" s="1046"/>
      <c r="L88" s="1046"/>
      <c r="M88" s="1046"/>
      <c r="N88" s="1046"/>
      <c r="O88" s="1046"/>
      <c r="P88" s="1046"/>
      <c r="Q88" s="1046"/>
      <c r="R88" s="1047"/>
      <c r="S88" s="268"/>
      <c r="T88" s="268"/>
      <c r="U88" s="268"/>
      <c r="V88" s="268"/>
      <c r="W88" s="268"/>
      <c r="X88" s="268"/>
      <c r="Y88" s="268"/>
      <c r="Z88" s="268"/>
      <c r="AA88" s="268"/>
      <c r="AB88" s="268"/>
      <c r="AC88" s="268"/>
      <c r="AD88" s="268"/>
      <c r="AE88" s="268"/>
    </row>
    <row r="89" spans="1:31" s="35" customFormat="1" ht="18" customHeight="1">
      <c r="A89" s="98">
        <v>103</v>
      </c>
      <c r="B89" s="267"/>
      <c r="C89" s="489"/>
      <c r="D89" s="482"/>
      <c r="E89" s="483" t="s">
        <v>994</v>
      </c>
      <c r="F89" s="353"/>
      <c r="G89" s="1045"/>
      <c r="H89" s="1045"/>
      <c r="I89" s="1222"/>
      <c r="J89" s="266">
        <f>SUM(K89:R89)</f>
        <v>1879</v>
      </c>
      <c r="K89" s="1046"/>
      <c r="L89" s="1046"/>
      <c r="M89" s="1038">
        <v>1879</v>
      </c>
      <c r="N89" s="1046"/>
      <c r="O89" s="1046"/>
      <c r="P89" s="1046"/>
      <c r="Q89" s="1046"/>
      <c r="R89" s="1047"/>
      <c r="S89" s="268"/>
      <c r="T89" s="268"/>
      <c r="U89" s="268"/>
      <c r="V89" s="268"/>
      <c r="W89" s="268"/>
      <c r="X89" s="268"/>
      <c r="Y89" s="268"/>
      <c r="Z89" s="268"/>
      <c r="AA89" s="268"/>
      <c r="AB89" s="268"/>
      <c r="AC89" s="268"/>
      <c r="AD89" s="268"/>
      <c r="AE89" s="268"/>
    </row>
    <row r="90" spans="1:31" s="35" customFormat="1" ht="18" customHeight="1">
      <c r="A90" s="98">
        <v>104</v>
      </c>
      <c r="B90" s="267"/>
      <c r="C90" s="1043"/>
      <c r="D90" s="1043"/>
      <c r="E90" s="1032" t="s">
        <v>1036</v>
      </c>
      <c r="F90" s="1045"/>
      <c r="G90" s="1045"/>
      <c r="H90" s="1045"/>
      <c r="I90" s="1222"/>
      <c r="J90" s="1034">
        <f>SUM(K90:R90)</f>
        <v>0</v>
      </c>
      <c r="K90" s="1046"/>
      <c r="L90" s="1046"/>
      <c r="M90" s="270">
        <v>0</v>
      </c>
      <c r="N90" s="1046"/>
      <c r="O90" s="1046"/>
      <c r="P90" s="1046"/>
      <c r="Q90" s="1046"/>
      <c r="R90" s="1047"/>
      <c r="S90" s="268"/>
      <c r="T90" s="268"/>
      <c r="U90" s="268"/>
      <c r="V90" s="268"/>
      <c r="W90" s="268"/>
      <c r="X90" s="268"/>
      <c r="Y90" s="268"/>
      <c r="Z90" s="268"/>
      <c r="AA90" s="268"/>
      <c r="AB90" s="268"/>
      <c r="AC90" s="268"/>
      <c r="AD90" s="268"/>
      <c r="AE90" s="268"/>
    </row>
    <row r="91" spans="1:31" s="31" customFormat="1" ht="22.5" customHeight="1">
      <c r="A91" s="98">
        <v>106</v>
      </c>
      <c r="B91" s="237">
        <v>12</v>
      </c>
      <c r="C91" s="489"/>
      <c r="D91" s="258" t="s">
        <v>25</v>
      </c>
      <c r="E91" s="258"/>
      <c r="F91" s="350" t="s">
        <v>23</v>
      </c>
      <c r="G91" s="95">
        <v>444070</v>
      </c>
      <c r="H91" s="95">
        <v>403206</v>
      </c>
      <c r="I91" s="265">
        <v>440640</v>
      </c>
      <c r="J91" s="274"/>
      <c r="K91" s="95"/>
      <c r="L91" s="95"/>
      <c r="M91" s="95"/>
      <c r="N91" s="95"/>
      <c r="O91" s="95"/>
      <c r="P91" s="95"/>
      <c r="Q91" s="95"/>
      <c r="R91" s="102"/>
      <c r="S91" s="113"/>
      <c r="T91" s="113"/>
      <c r="U91" s="113"/>
      <c r="V91" s="113"/>
      <c r="W91" s="113"/>
      <c r="X91" s="113"/>
      <c r="Y91" s="113"/>
      <c r="Z91" s="113"/>
      <c r="AA91" s="113"/>
      <c r="AB91" s="113"/>
      <c r="AC91" s="113"/>
      <c r="AD91" s="113"/>
      <c r="AE91" s="113"/>
    </row>
    <row r="92" spans="1:31" s="623" customFormat="1" ht="18" customHeight="1">
      <c r="A92" s="98">
        <v>107</v>
      </c>
      <c r="B92" s="574"/>
      <c r="C92" s="606"/>
      <c r="D92" s="606"/>
      <c r="E92" s="607" t="s">
        <v>303</v>
      </c>
      <c r="F92" s="594"/>
      <c r="G92" s="594"/>
      <c r="H92" s="594"/>
      <c r="I92" s="608"/>
      <c r="J92" s="609">
        <f>SUM(K92:R92)</f>
        <v>411904</v>
      </c>
      <c r="K92" s="610">
        <f>171809-11583+11583</f>
        <v>171809</v>
      </c>
      <c r="L92" s="610">
        <f>30653-2027+2027</f>
        <v>30653</v>
      </c>
      <c r="M92" s="610">
        <v>193442</v>
      </c>
      <c r="N92" s="610"/>
      <c r="O92" s="610"/>
      <c r="P92" s="610">
        <v>16000</v>
      </c>
      <c r="Q92" s="610"/>
      <c r="R92" s="611"/>
      <c r="S92" s="622"/>
      <c r="T92" s="622"/>
      <c r="U92" s="622"/>
      <c r="V92" s="622"/>
      <c r="W92" s="622"/>
      <c r="X92" s="622"/>
      <c r="Y92" s="622"/>
      <c r="Z92" s="622"/>
      <c r="AA92" s="622"/>
      <c r="AB92" s="622"/>
      <c r="AC92" s="622"/>
      <c r="AD92" s="622"/>
      <c r="AE92" s="622"/>
    </row>
    <row r="93" spans="1:31" s="623" customFormat="1" ht="18" customHeight="1">
      <c r="A93" s="98">
        <v>108</v>
      </c>
      <c r="B93" s="574"/>
      <c r="C93" s="606"/>
      <c r="D93" s="606"/>
      <c r="E93" s="483" t="s">
        <v>994</v>
      </c>
      <c r="F93" s="594"/>
      <c r="G93" s="594"/>
      <c r="H93" s="594"/>
      <c r="I93" s="608"/>
      <c r="J93" s="266">
        <f>SUM(K93:R93)</f>
        <v>460446</v>
      </c>
      <c r="K93" s="1038">
        <v>191841</v>
      </c>
      <c r="L93" s="1038">
        <v>34287</v>
      </c>
      <c r="M93" s="1038">
        <v>150028</v>
      </c>
      <c r="N93" s="1038"/>
      <c r="O93" s="1038"/>
      <c r="P93" s="1038">
        <v>84290</v>
      </c>
      <c r="Q93" s="610"/>
      <c r="R93" s="611"/>
      <c r="S93" s="622"/>
      <c r="T93" s="622"/>
      <c r="U93" s="622"/>
      <c r="V93" s="622"/>
      <c r="W93" s="622"/>
      <c r="X93" s="622"/>
      <c r="Y93" s="622"/>
      <c r="Z93" s="622"/>
      <c r="AA93" s="622"/>
      <c r="AB93" s="622"/>
      <c r="AC93" s="622"/>
      <c r="AD93" s="622"/>
      <c r="AE93" s="622"/>
    </row>
    <row r="94" spans="1:31" s="31" customFormat="1" ht="18" customHeight="1">
      <c r="A94" s="98">
        <v>109</v>
      </c>
      <c r="B94" s="1018"/>
      <c r="C94" s="1031"/>
      <c r="D94" s="1031"/>
      <c r="E94" s="1020" t="s">
        <v>1035</v>
      </c>
      <c r="F94" s="243"/>
      <c r="G94" s="243"/>
      <c r="H94" s="243"/>
      <c r="I94" s="1033"/>
      <c r="J94" s="1034">
        <f>SUM(K94:R94)</f>
        <v>449529</v>
      </c>
      <c r="K94" s="270">
        <f>194842-4089</f>
        <v>190753</v>
      </c>
      <c r="L94" s="270">
        <f>34803-619</f>
        <v>34184</v>
      </c>
      <c r="M94" s="270">
        <f>142382-1093</f>
        <v>141289</v>
      </c>
      <c r="N94" s="270"/>
      <c r="O94" s="270"/>
      <c r="P94" s="270">
        <v>83303</v>
      </c>
      <c r="Q94" s="270"/>
      <c r="R94" s="271"/>
      <c r="S94" s="113"/>
      <c r="T94" s="113"/>
      <c r="U94" s="113"/>
      <c r="V94" s="113"/>
      <c r="W94" s="113"/>
      <c r="X94" s="113"/>
      <c r="Y94" s="113"/>
      <c r="Z94" s="113"/>
      <c r="AA94" s="113"/>
      <c r="AB94" s="113"/>
      <c r="AC94" s="113"/>
      <c r="AD94" s="113"/>
      <c r="AE94" s="113"/>
    </row>
    <row r="95" spans="1:31" s="31" customFormat="1" ht="18" customHeight="1">
      <c r="A95" s="98">
        <v>112</v>
      </c>
      <c r="B95" s="948"/>
      <c r="C95" s="949"/>
      <c r="D95" s="950" t="s">
        <v>782</v>
      </c>
      <c r="E95" s="951"/>
      <c r="F95" s="952"/>
      <c r="G95" s="116"/>
      <c r="H95" s="116"/>
      <c r="I95" s="1220"/>
      <c r="J95" s="274"/>
      <c r="K95" s="270"/>
      <c r="L95" s="270"/>
      <c r="M95" s="270"/>
      <c r="N95" s="270"/>
      <c r="O95" s="270"/>
      <c r="P95" s="270"/>
      <c r="Q95" s="270"/>
      <c r="R95" s="271"/>
      <c r="S95" s="113"/>
      <c r="T95" s="113"/>
      <c r="U95" s="113"/>
      <c r="V95" s="113"/>
      <c r="W95" s="113"/>
      <c r="X95" s="113"/>
      <c r="Y95" s="113"/>
      <c r="Z95" s="113"/>
      <c r="AA95" s="113"/>
      <c r="AB95" s="113"/>
      <c r="AC95" s="113"/>
      <c r="AD95" s="113"/>
      <c r="AE95" s="113"/>
    </row>
    <row r="96" spans="1:31" s="623" customFormat="1" ht="18" customHeight="1">
      <c r="A96" s="98">
        <v>113</v>
      </c>
      <c r="B96" s="891"/>
      <c r="C96" s="893"/>
      <c r="D96" s="893"/>
      <c r="E96" s="953" t="s">
        <v>303</v>
      </c>
      <c r="F96" s="954"/>
      <c r="G96" s="595"/>
      <c r="H96" s="595"/>
      <c r="I96" s="1221"/>
      <c r="J96" s="895">
        <f>SUM(K96:R96)</f>
        <v>13610</v>
      </c>
      <c r="K96" s="896">
        <v>11583</v>
      </c>
      <c r="L96" s="896">
        <v>2027</v>
      </c>
      <c r="M96" s="896"/>
      <c r="N96" s="896"/>
      <c r="O96" s="896"/>
      <c r="P96" s="896"/>
      <c r="Q96" s="896"/>
      <c r="R96" s="897"/>
      <c r="S96" s="622"/>
      <c r="T96" s="622"/>
      <c r="U96" s="622"/>
      <c r="V96" s="622"/>
      <c r="W96" s="622"/>
      <c r="X96" s="622"/>
      <c r="Y96" s="622"/>
      <c r="Z96" s="622"/>
      <c r="AA96" s="622"/>
      <c r="AB96" s="622"/>
      <c r="AC96" s="622"/>
      <c r="AD96" s="622"/>
      <c r="AE96" s="622"/>
    </row>
    <row r="97" spans="1:31" s="623" customFormat="1" ht="18" customHeight="1">
      <c r="A97" s="98">
        <v>114</v>
      </c>
      <c r="B97" s="891"/>
      <c r="C97" s="893"/>
      <c r="D97" s="893"/>
      <c r="E97" s="1044" t="s">
        <v>994</v>
      </c>
      <c r="F97" s="954"/>
      <c r="G97" s="595"/>
      <c r="H97" s="595"/>
      <c r="I97" s="1221"/>
      <c r="J97" s="274">
        <f>SUM(K97:R97)</f>
        <v>0</v>
      </c>
      <c r="K97" s="1046">
        <v>0</v>
      </c>
      <c r="L97" s="1046">
        <v>0</v>
      </c>
      <c r="M97" s="896"/>
      <c r="N97" s="896"/>
      <c r="O97" s="896"/>
      <c r="P97" s="896"/>
      <c r="Q97" s="896"/>
      <c r="R97" s="897"/>
      <c r="S97" s="622"/>
      <c r="T97" s="622"/>
      <c r="U97" s="622"/>
      <c r="V97" s="622"/>
      <c r="W97" s="622"/>
      <c r="X97" s="622"/>
      <c r="Y97" s="622"/>
      <c r="Z97" s="622"/>
      <c r="AA97" s="622"/>
      <c r="AB97" s="622"/>
      <c r="AC97" s="622"/>
      <c r="AD97" s="622"/>
      <c r="AE97" s="622"/>
    </row>
    <row r="98" spans="1:31" s="31" customFormat="1" ht="18" customHeight="1">
      <c r="A98" s="98">
        <v>115</v>
      </c>
      <c r="B98" s="1018"/>
      <c r="C98" s="1031"/>
      <c r="D98" s="1031"/>
      <c r="E98" s="1042" t="s">
        <v>1035</v>
      </c>
      <c r="F98" s="243"/>
      <c r="G98" s="243"/>
      <c r="H98" s="243"/>
      <c r="I98" s="1033"/>
      <c r="J98" s="1034">
        <f>SUM(K98:R98)</f>
        <v>0</v>
      </c>
      <c r="K98" s="270">
        <v>0</v>
      </c>
      <c r="L98" s="270">
        <v>0</v>
      </c>
      <c r="M98" s="270"/>
      <c r="N98" s="270"/>
      <c r="O98" s="270"/>
      <c r="P98" s="270"/>
      <c r="Q98" s="270"/>
      <c r="R98" s="271"/>
      <c r="S98" s="113"/>
      <c r="T98" s="113"/>
      <c r="U98" s="113"/>
      <c r="V98" s="113"/>
      <c r="W98" s="113"/>
      <c r="X98" s="113"/>
      <c r="Y98" s="113"/>
      <c r="Z98" s="113"/>
      <c r="AA98" s="113"/>
      <c r="AB98" s="113"/>
      <c r="AC98" s="113"/>
      <c r="AD98" s="113"/>
      <c r="AE98" s="113"/>
    </row>
    <row r="99" spans="1:31" s="28" customFormat="1" ht="18" customHeight="1">
      <c r="A99" s="98">
        <v>117</v>
      </c>
      <c r="B99" s="240"/>
      <c r="C99" s="489">
        <v>1</v>
      </c>
      <c r="D99" s="800" t="s">
        <v>150</v>
      </c>
      <c r="E99" s="800"/>
      <c r="F99" s="353"/>
      <c r="G99" s="95">
        <v>657</v>
      </c>
      <c r="H99" s="95"/>
      <c r="I99" s="1223"/>
      <c r="J99" s="274"/>
      <c r="K99" s="261"/>
      <c r="L99" s="261"/>
      <c r="M99" s="261"/>
      <c r="N99" s="270"/>
      <c r="O99" s="270"/>
      <c r="P99" s="270"/>
      <c r="Q99" s="270"/>
      <c r="R99" s="271"/>
      <c r="S99" s="36"/>
      <c r="T99" s="36"/>
      <c r="U99" s="36"/>
      <c r="V99" s="36"/>
      <c r="W99" s="36"/>
      <c r="X99" s="36"/>
      <c r="Y99" s="36"/>
      <c r="Z99" s="36"/>
      <c r="AA99" s="36"/>
      <c r="AB99" s="36"/>
      <c r="AC99" s="36"/>
      <c r="AD99" s="36"/>
      <c r="AE99" s="36"/>
    </row>
    <row r="100" spans="1:31" s="28" customFormat="1" ht="18" customHeight="1">
      <c r="A100" s="98">
        <v>118</v>
      </c>
      <c r="B100" s="240"/>
      <c r="C100" s="489">
        <v>2</v>
      </c>
      <c r="D100" s="800" t="s">
        <v>581</v>
      </c>
      <c r="E100" s="800"/>
      <c r="F100" s="353"/>
      <c r="G100" s="95"/>
      <c r="H100" s="95"/>
      <c r="I100" s="1223">
        <v>2096</v>
      </c>
      <c r="J100" s="274"/>
      <c r="K100" s="261"/>
      <c r="L100" s="261"/>
      <c r="M100" s="261"/>
      <c r="N100" s="270"/>
      <c r="O100" s="270"/>
      <c r="P100" s="270"/>
      <c r="Q100" s="270"/>
      <c r="R100" s="271"/>
      <c r="S100" s="36"/>
      <c r="T100" s="36"/>
      <c r="U100" s="36"/>
      <c r="V100" s="36"/>
      <c r="W100" s="36"/>
      <c r="X100" s="36"/>
      <c r="Y100" s="36"/>
      <c r="Z100" s="36"/>
      <c r="AA100" s="36"/>
      <c r="AB100" s="36"/>
      <c r="AC100" s="36"/>
      <c r="AD100" s="36"/>
      <c r="AE100" s="36"/>
    </row>
    <row r="101" spans="1:31" s="623" customFormat="1" ht="18" customHeight="1">
      <c r="A101" s="98">
        <v>119</v>
      </c>
      <c r="B101" s="574"/>
      <c r="C101" s="606"/>
      <c r="D101" s="606"/>
      <c r="E101" s="1652" t="s">
        <v>303</v>
      </c>
      <c r="F101" s="1653"/>
      <c r="G101" s="594"/>
      <c r="H101" s="594"/>
      <c r="I101" s="608"/>
      <c r="J101" s="609">
        <f>SUM(K101:R101)</f>
        <v>55574</v>
      </c>
      <c r="K101" s="610">
        <v>13419</v>
      </c>
      <c r="L101" s="610">
        <v>2395</v>
      </c>
      <c r="M101" s="610">
        <v>37360</v>
      </c>
      <c r="N101" s="610"/>
      <c r="O101" s="610"/>
      <c r="P101" s="610">
        <v>2400</v>
      </c>
      <c r="Q101" s="610"/>
      <c r="R101" s="611"/>
      <c r="S101" s="622"/>
      <c r="T101" s="622"/>
      <c r="U101" s="622"/>
      <c r="V101" s="622"/>
      <c r="W101" s="622"/>
      <c r="X101" s="622"/>
      <c r="Y101" s="622"/>
      <c r="Z101" s="622"/>
      <c r="AA101" s="622"/>
      <c r="AB101" s="622"/>
      <c r="AC101" s="622"/>
      <c r="AD101" s="622"/>
      <c r="AE101" s="622"/>
    </row>
    <row r="102" spans="1:31" s="623" customFormat="1" ht="18" customHeight="1">
      <c r="A102" s="98">
        <v>120</v>
      </c>
      <c r="B102" s="574"/>
      <c r="C102" s="606"/>
      <c r="D102" s="606"/>
      <c r="E102" s="258" t="s">
        <v>994</v>
      </c>
      <c r="F102" s="1653"/>
      <c r="G102" s="594"/>
      <c r="H102" s="594"/>
      <c r="I102" s="608"/>
      <c r="J102" s="266">
        <f>SUM(K102:R102)</f>
        <v>55491</v>
      </c>
      <c r="K102" s="1038">
        <v>13365</v>
      </c>
      <c r="L102" s="1038">
        <v>2366</v>
      </c>
      <c r="M102" s="1038">
        <v>37360</v>
      </c>
      <c r="N102" s="1038"/>
      <c r="O102" s="1038"/>
      <c r="P102" s="1038">
        <v>2400</v>
      </c>
      <c r="Q102" s="610"/>
      <c r="R102" s="611"/>
      <c r="S102" s="622"/>
      <c r="T102" s="622"/>
      <c r="U102" s="622"/>
      <c r="V102" s="622"/>
      <c r="W102" s="622"/>
      <c r="X102" s="622"/>
      <c r="Y102" s="622"/>
      <c r="Z102" s="622"/>
      <c r="AA102" s="622"/>
      <c r="AB102" s="622"/>
      <c r="AC102" s="622"/>
      <c r="AD102" s="622"/>
      <c r="AE102" s="622"/>
    </row>
    <row r="103" spans="1:31" s="31" customFormat="1" ht="18" customHeight="1">
      <c r="A103" s="98">
        <v>121</v>
      </c>
      <c r="B103" s="1018"/>
      <c r="C103" s="1031"/>
      <c r="D103" s="1031"/>
      <c r="E103" s="1032" t="s">
        <v>1035</v>
      </c>
      <c r="F103" s="243"/>
      <c r="G103" s="243"/>
      <c r="H103" s="243"/>
      <c r="I103" s="1033"/>
      <c r="J103" s="1034">
        <f>SUM(K103:R103)</f>
        <v>5801</v>
      </c>
      <c r="K103" s="270">
        <v>4089</v>
      </c>
      <c r="L103" s="270">
        <v>619</v>
      </c>
      <c r="M103" s="270">
        <v>1093</v>
      </c>
      <c r="N103" s="270"/>
      <c r="O103" s="270"/>
      <c r="P103" s="270"/>
      <c r="Q103" s="270"/>
      <c r="R103" s="271"/>
      <c r="S103" s="113"/>
      <c r="T103" s="113"/>
      <c r="U103" s="113"/>
      <c r="V103" s="113"/>
      <c r="W103" s="113"/>
      <c r="X103" s="113"/>
      <c r="Y103" s="113"/>
      <c r="Z103" s="113"/>
      <c r="AA103" s="113"/>
      <c r="AB103" s="113"/>
      <c r="AC103" s="113"/>
      <c r="AD103" s="113"/>
      <c r="AE103" s="113"/>
    </row>
    <row r="104" spans="1:31" s="28" customFormat="1" ht="22.5" customHeight="1">
      <c r="A104" s="98">
        <v>123</v>
      </c>
      <c r="B104" s="237">
        <v>13</v>
      </c>
      <c r="C104" s="489"/>
      <c r="D104" s="258" t="s">
        <v>34</v>
      </c>
      <c r="E104" s="258"/>
      <c r="F104" s="350" t="s">
        <v>23</v>
      </c>
      <c r="G104" s="95">
        <v>323649</v>
      </c>
      <c r="H104" s="95">
        <v>332350</v>
      </c>
      <c r="I104" s="265">
        <v>433574</v>
      </c>
      <c r="J104" s="274"/>
      <c r="K104" s="95"/>
      <c r="L104" s="95"/>
      <c r="M104" s="95"/>
      <c r="N104" s="95"/>
      <c r="O104" s="95"/>
      <c r="P104" s="95"/>
      <c r="Q104" s="95"/>
      <c r="R104" s="102"/>
      <c r="S104" s="36"/>
      <c r="T104" s="36"/>
      <c r="U104" s="36"/>
      <c r="V104" s="36"/>
      <c r="W104" s="36"/>
      <c r="X104" s="36"/>
      <c r="Y104" s="36"/>
      <c r="Z104" s="36"/>
      <c r="AA104" s="36"/>
      <c r="AB104" s="36"/>
      <c r="AC104" s="36"/>
      <c r="AD104" s="36"/>
      <c r="AE104" s="36"/>
    </row>
    <row r="105" spans="1:31" s="623" customFormat="1" ht="18" customHeight="1">
      <c r="A105" s="98">
        <v>124</v>
      </c>
      <c r="B105" s="574"/>
      <c r="C105" s="606"/>
      <c r="D105" s="606"/>
      <c r="E105" s="607" t="s">
        <v>303</v>
      </c>
      <c r="F105" s="594"/>
      <c r="G105" s="594"/>
      <c r="H105" s="594"/>
      <c r="I105" s="608"/>
      <c r="J105" s="609">
        <f>SUM(K105:R105)</f>
        <v>406719</v>
      </c>
      <c r="K105" s="610">
        <f>189840-11583+11583</f>
        <v>189840</v>
      </c>
      <c r="L105" s="610">
        <f>38341-2027+2027</f>
        <v>38341</v>
      </c>
      <c r="M105" s="610">
        <v>177160</v>
      </c>
      <c r="N105" s="610"/>
      <c r="O105" s="610">
        <v>178</v>
      </c>
      <c r="P105" s="610">
        <v>1200</v>
      </c>
      <c r="Q105" s="610"/>
      <c r="R105" s="611"/>
      <c r="S105" s="622"/>
      <c r="T105" s="622"/>
      <c r="U105" s="622"/>
      <c r="V105" s="622"/>
      <c r="W105" s="622"/>
      <c r="X105" s="622"/>
      <c r="Y105" s="622"/>
      <c r="Z105" s="622"/>
      <c r="AA105" s="622"/>
      <c r="AB105" s="622"/>
      <c r="AC105" s="622"/>
      <c r="AD105" s="622"/>
      <c r="AE105" s="622"/>
    </row>
    <row r="106" spans="1:31" s="623" customFormat="1" ht="18" customHeight="1">
      <c r="A106" s="98">
        <v>125</v>
      </c>
      <c r="B106" s="574"/>
      <c r="C106" s="606"/>
      <c r="D106" s="606"/>
      <c r="E106" s="483" t="s">
        <v>994</v>
      </c>
      <c r="F106" s="594"/>
      <c r="G106" s="594"/>
      <c r="H106" s="594"/>
      <c r="I106" s="608"/>
      <c r="J106" s="266">
        <f>SUM(K106:R106)</f>
        <v>474633</v>
      </c>
      <c r="K106" s="1038">
        <v>210259</v>
      </c>
      <c r="L106" s="1038">
        <v>41607</v>
      </c>
      <c r="M106" s="1038">
        <v>213810</v>
      </c>
      <c r="N106" s="1038"/>
      <c r="O106" s="1038">
        <v>178</v>
      </c>
      <c r="P106" s="1038">
        <v>8779</v>
      </c>
      <c r="Q106" s="610"/>
      <c r="R106" s="611"/>
      <c r="S106" s="622"/>
      <c r="T106" s="622"/>
      <c r="U106" s="622"/>
      <c r="V106" s="622"/>
      <c r="W106" s="622"/>
      <c r="X106" s="622"/>
      <c r="Y106" s="622"/>
      <c r="Z106" s="622"/>
      <c r="AA106" s="622"/>
      <c r="AB106" s="622"/>
      <c r="AC106" s="622"/>
      <c r="AD106" s="622"/>
      <c r="AE106" s="622"/>
    </row>
    <row r="107" spans="1:31" s="31" customFormat="1" ht="18" customHeight="1">
      <c r="A107" s="98">
        <v>126</v>
      </c>
      <c r="B107" s="1018"/>
      <c r="C107" s="1031"/>
      <c r="D107" s="1031"/>
      <c r="E107" s="1020" t="s">
        <v>1035</v>
      </c>
      <c r="F107" s="243"/>
      <c r="G107" s="243"/>
      <c r="H107" s="243"/>
      <c r="I107" s="1033"/>
      <c r="J107" s="1034">
        <f>SUM(K107:R107)</f>
        <v>399150</v>
      </c>
      <c r="K107" s="270">
        <v>196122</v>
      </c>
      <c r="L107" s="270">
        <v>37869</v>
      </c>
      <c r="M107" s="270">
        <v>159079</v>
      </c>
      <c r="N107" s="270"/>
      <c r="O107" s="270">
        <v>172</v>
      </c>
      <c r="P107" s="270">
        <v>5908</v>
      </c>
      <c r="Q107" s="270"/>
      <c r="R107" s="271"/>
      <c r="S107" s="113"/>
      <c r="T107" s="113"/>
      <c r="U107" s="113"/>
      <c r="V107" s="113"/>
      <c r="W107" s="113"/>
      <c r="X107" s="113"/>
      <c r="Y107" s="113"/>
      <c r="Z107" s="113"/>
      <c r="AA107" s="113"/>
      <c r="AB107" s="113"/>
      <c r="AC107" s="113"/>
      <c r="AD107" s="113"/>
      <c r="AE107" s="113"/>
    </row>
    <row r="108" spans="1:31" s="31" customFormat="1" ht="18" customHeight="1">
      <c r="A108" s="98">
        <v>128</v>
      </c>
      <c r="B108" s="948"/>
      <c r="C108" s="949"/>
      <c r="D108" s="950" t="s">
        <v>782</v>
      </c>
      <c r="E108" s="951"/>
      <c r="F108" s="952"/>
      <c r="G108" s="116"/>
      <c r="H108" s="116"/>
      <c r="I108" s="1220"/>
      <c r="J108" s="274"/>
      <c r="K108" s="270"/>
      <c r="L108" s="270"/>
      <c r="M108" s="270"/>
      <c r="N108" s="270"/>
      <c r="O108" s="270"/>
      <c r="P108" s="270"/>
      <c r="Q108" s="270"/>
      <c r="R108" s="271"/>
      <c r="S108" s="113"/>
      <c r="T108" s="113"/>
      <c r="U108" s="113"/>
      <c r="V108" s="113"/>
      <c r="W108" s="113"/>
      <c r="X108" s="113"/>
      <c r="Y108" s="113"/>
      <c r="Z108" s="113"/>
      <c r="AA108" s="113"/>
      <c r="AB108" s="113"/>
      <c r="AC108" s="113"/>
      <c r="AD108" s="113"/>
      <c r="AE108" s="113"/>
    </row>
    <row r="109" spans="1:31" s="623" customFormat="1" ht="18" customHeight="1">
      <c r="A109" s="98">
        <v>129</v>
      </c>
      <c r="B109" s="891"/>
      <c r="C109" s="893"/>
      <c r="D109" s="893"/>
      <c r="E109" s="953" t="s">
        <v>303</v>
      </c>
      <c r="F109" s="954"/>
      <c r="G109" s="595"/>
      <c r="H109" s="595"/>
      <c r="I109" s="1221"/>
      <c r="J109" s="895">
        <f>SUM(K109:R109)</f>
        <v>13610</v>
      </c>
      <c r="K109" s="896">
        <v>11583</v>
      </c>
      <c r="L109" s="896">
        <v>2027</v>
      </c>
      <c r="M109" s="896"/>
      <c r="N109" s="896"/>
      <c r="O109" s="896"/>
      <c r="P109" s="896"/>
      <c r="Q109" s="896"/>
      <c r="R109" s="897"/>
      <c r="S109" s="622"/>
      <c r="T109" s="622"/>
      <c r="U109" s="622"/>
      <c r="V109" s="622"/>
      <c r="W109" s="622"/>
      <c r="X109" s="622"/>
      <c r="Y109" s="622"/>
      <c r="Z109" s="622"/>
      <c r="AA109" s="622"/>
      <c r="AB109" s="622"/>
      <c r="AC109" s="622"/>
      <c r="AD109" s="622"/>
      <c r="AE109" s="622"/>
    </row>
    <row r="110" spans="1:31" s="623" customFormat="1" ht="18" customHeight="1">
      <c r="A110" s="98">
        <v>130</v>
      </c>
      <c r="B110" s="891"/>
      <c r="C110" s="893"/>
      <c r="D110" s="893"/>
      <c r="E110" s="1044" t="s">
        <v>994</v>
      </c>
      <c r="F110" s="954"/>
      <c r="G110" s="595"/>
      <c r="H110" s="595"/>
      <c r="I110" s="1221"/>
      <c r="J110" s="274">
        <f>SUM(K110:R110)</f>
        <v>0</v>
      </c>
      <c r="K110" s="1046">
        <v>0</v>
      </c>
      <c r="L110" s="1046">
        <v>0</v>
      </c>
      <c r="M110" s="896"/>
      <c r="N110" s="896"/>
      <c r="O110" s="896"/>
      <c r="P110" s="896"/>
      <c r="Q110" s="896"/>
      <c r="R110" s="897"/>
      <c r="S110" s="622"/>
      <c r="T110" s="622"/>
      <c r="U110" s="622"/>
      <c r="V110" s="622"/>
      <c r="W110" s="622"/>
      <c r="X110" s="622"/>
      <c r="Y110" s="622"/>
      <c r="Z110" s="622"/>
      <c r="AA110" s="622"/>
      <c r="AB110" s="622"/>
      <c r="AC110" s="622"/>
      <c r="AD110" s="622"/>
      <c r="AE110" s="622"/>
    </row>
    <row r="111" spans="1:31" s="31" customFormat="1" ht="18" customHeight="1">
      <c r="A111" s="98">
        <v>131</v>
      </c>
      <c r="B111" s="1018"/>
      <c r="C111" s="1031"/>
      <c r="D111" s="1031"/>
      <c r="E111" s="1042" t="s">
        <v>1036</v>
      </c>
      <c r="F111" s="243"/>
      <c r="G111" s="243"/>
      <c r="H111" s="243"/>
      <c r="I111" s="1033"/>
      <c r="J111" s="1034">
        <f>SUM(K111:R111)</f>
        <v>0</v>
      </c>
      <c r="K111" s="270">
        <v>0</v>
      </c>
      <c r="L111" s="270">
        <v>0</v>
      </c>
      <c r="M111" s="270"/>
      <c r="N111" s="270"/>
      <c r="O111" s="270"/>
      <c r="P111" s="270"/>
      <c r="Q111" s="270"/>
      <c r="R111" s="271"/>
      <c r="S111" s="113"/>
      <c r="T111" s="113"/>
      <c r="U111" s="113"/>
      <c r="V111" s="113"/>
      <c r="W111" s="113"/>
      <c r="X111" s="113"/>
      <c r="Y111" s="113"/>
      <c r="Z111" s="113"/>
      <c r="AA111" s="113"/>
      <c r="AB111" s="113"/>
      <c r="AC111" s="113"/>
      <c r="AD111" s="113"/>
      <c r="AE111" s="113"/>
    </row>
    <row r="112" spans="1:31" s="35" customFormat="1" ht="18" customHeight="1">
      <c r="A112" s="98">
        <v>133</v>
      </c>
      <c r="B112" s="267"/>
      <c r="C112" s="1229">
        <v>1</v>
      </c>
      <c r="D112" s="2039" t="s">
        <v>955</v>
      </c>
      <c r="E112" s="2040"/>
      <c r="F112" s="1045"/>
      <c r="G112" s="1045"/>
      <c r="H112" s="1045"/>
      <c r="I112" s="1222"/>
      <c r="J112" s="274"/>
      <c r="K112" s="1046"/>
      <c r="L112" s="1046"/>
      <c r="M112" s="1046"/>
      <c r="N112" s="1046"/>
      <c r="O112" s="1046"/>
      <c r="P112" s="1046"/>
      <c r="Q112" s="1046"/>
      <c r="R112" s="1047"/>
      <c r="S112" s="268"/>
      <c r="T112" s="268"/>
      <c r="U112" s="268"/>
      <c r="V112" s="268"/>
      <c r="W112" s="268"/>
      <c r="X112" s="268"/>
      <c r="Y112" s="268"/>
      <c r="Z112" s="268"/>
      <c r="AA112" s="268"/>
      <c r="AB112" s="268"/>
      <c r="AC112" s="268"/>
      <c r="AD112" s="268"/>
      <c r="AE112" s="268"/>
    </row>
    <row r="113" spans="1:31" s="35" customFormat="1" ht="18" customHeight="1">
      <c r="A113" s="98"/>
      <c r="B113" s="267"/>
      <c r="C113" s="1229"/>
      <c r="D113" s="1649"/>
      <c r="E113" s="258" t="s">
        <v>994</v>
      </c>
      <c r="F113" s="1045"/>
      <c r="G113" s="1045"/>
      <c r="H113" s="1045"/>
      <c r="I113" s="1222"/>
      <c r="J113" s="274">
        <f>SUM(K113:R113)</f>
        <v>8944</v>
      </c>
      <c r="K113" s="1046">
        <v>4971</v>
      </c>
      <c r="L113" s="1046"/>
      <c r="M113" s="1046">
        <v>3973</v>
      </c>
      <c r="N113" s="1046"/>
      <c r="O113" s="1046"/>
      <c r="P113" s="1046"/>
      <c r="Q113" s="1046"/>
      <c r="R113" s="1047"/>
      <c r="S113" s="268"/>
      <c r="T113" s="268"/>
      <c r="U113" s="268"/>
      <c r="V113" s="268"/>
      <c r="W113" s="268"/>
      <c r="X113" s="268"/>
      <c r="Y113" s="268"/>
      <c r="Z113" s="268"/>
      <c r="AA113" s="268"/>
      <c r="AB113" s="268"/>
      <c r="AC113" s="268"/>
      <c r="AD113" s="268"/>
      <c r="AE113" s="268"/>
    </row>
    <row r="114" spans="1:31" s="35" customFormat="1" ht="18" customHeight="1">
      <c r="A114" s="98">
        <v>134</v>
      </c>
      <c r="B114" s="267"/>
      <c r="C114" s="1043"/>
      <c r="D114" s="1021"/>
      <c r="E114" s="1020" t="s">
        <v>1036</v>
      </c>
      <c r="F114" s="1045"/>
      <c r="G114" s="1045"/>
      <c r="H114" s="1045"/>
      <c r="I114" s="1222"/>
      <c r="J114" s="1034">
        <f>SUM(K114:R114)</f>
        <v>0</v>
      </c>
      <c r="K114" s="270">
        <v>0</v>
      </c>
      <c r="L114" s="270"/>
      <c r="M114" s="270">
        <v>0</v>
      </c>
      <c r="N114" s="270"/>
      <c r="O114" s="270"/>
      <c r="P114" s="270"/>
      <c r="Q114" s="270"/>
      <c r="R114" s="271"/>
      <c r="S114" s="268"/>
      <c r="T114" s="268"/>
      <c r="U114" s="268"/>
      <c r="V114" s="268"/>
      <c r="W114" s="268"/>
      <c r="X114" s="268"/>
      <c r="Y114" s="268"/>
      <c r="Z114" s="268"/>
      <c r="AA114" s="268"/>
      <c r="AB114" s="268"/>
      <c r="AC114" s="268"/>
      <c r="AD114" s="268"/>
      <c r="AE114" s="268"/>
    </row>
    <row r="115" spans="1:31" s="28" customFormat="1" ht="18" customHeight="1">
      <c r="A115" s="98">
        <v>136</v>
      </c>
      <c r="B115" s="240"/>
      <c r="C115" s="489">
        <v>2</v>
      </c>
      <c r="D115" s="800" t="s">
        <v>150</v>
      </c>
      <c r="E115" s="800"/>
      <c r="F115" s="353"/>
      <c r="G115" s="95">
        <v>4820</v>
      </c>
      <c r="H115" s="95"/>
      <c r="I115" s="1223"/>
      <c r="J115" s="274"/>
      <c r="K115" s="261"/>
      <c r="L115" s="261"/>
      <c r="M115" s="261"/>
      <c r="N115" s="270"/>
      <c r="O115" s="270"/>
      <c r="P115" s="270"/>
      <c r="Q115" s="270"/>
      <c r="R115" s="271"/>
      <c r="S115" s="36"/>
      <c r="T115" s="36"/>
      <c r="U115" s="36"/>
      <c r="V115" s="36"/>
      <c r="W115" s="36"/>
      <c r="X115" s="36"/>
      <c r="Y115" s="36"/>
      <c r="Z115" s="36"/>
      <c r="AA115" s="36"/>
      <c r="AB115" s="36"/>
      <c r="AC115" s="36"/>
      <c r="AD115" s="36"/>
      <c r="AE115" s="36"/>
    </row>
    <row r="116" spans="1:31" s="28" customFormat="1" ht="45.75" customHeight="1">
      <c r="A116" s="98">
        <v>137</v>
      </c>
      <c r="B116" s="240"/>
      <c r="C116" s="490">
        <v>3</v>
      </c>
      <c r="D116" s="2039" t="s">
        <v>483</v>
      </c>
      <c r="E116" s="2040"/>
      <c r="F116" s="452"/>
      <c r="G116" s="95">
        <v>1969</v>
      </c>
      <c r="H116" s="95">
        <v>55328</v>
      </c>
      <c r="I116" s="265">
        <v>55925</v>
      </c>
      <c r="J116" s="274"/>
      <c r="K116" s="261"/>
      <c r="L116" s="261"/>
      <c r="M116" s="261"/>
      <c r="N116" s="270"/>
      <c r="O116" s="270"/>
      <c r="P116" s="270"/>
      <c r="Q116" s="270"/>
      <c r="R116" s="271"/>
      <c r="S116" s="36"/>
      <c r="T116" s="36"/>
      <c r="U116" s="36"/>
      <c r="V116" s="36"/>
      <c r="W116" s="36"/>
      <c r="X116" s="36"/>
      <c r="Y116" s="36"/>
      <c r="Z116" s="36"/>
      <c r="AA116" s="36"/>
      <c r="AB116" s="36"/>
      <c r="AC116" s="36"/>
      <c r="AD116" s="36"/>
      <c r="AE116" s="36"/>
    </row>
    <row r="117" spans="1:31" s="28" customFormat="1" ht="22.5" customHeight="1">
      <c r="A117" s="98">
        <v>138</v>
      </c>
      <c r="B117" s="237">
        <v>14</v>
      </c>
      <c r="C117" s="489"/>
      <c r="D117" s="258" t="s">
        <v>481</v>
      </c>
      <c r="E117" s="258"/>
      <c r="F117" s="350" t="s">
        <v>24</v>
      </c>
      <c r="G117" s="95">
        <v>137258</v>
      </c>
      <c r="H117" s="95">
        <v>131489</v>
      </c>
      <c r="I117" s="265">
        <v>141430</v>
      </c>
      <c r="J117" s="274"/>
      <c r="K117" s="95"/>
      <c r="L117" s="95"/>
      <c r="M117" s="95"/>
      <c r="N117" s="95"/>
      <c r="O117" s="95"/>
      <c r="P117" s="95"/>
      <c r="Q117" s="95"/>
      <c r="R117" s="102"/>
      <c r="S117" s="36"/>
      <c r="T117" s="36"/>
      <c r="U117" s="36"/>
      <c r="V117" s="36"/>
      <c r="W117" s="36"/>
      <c r="X117" s="36"/>
      <c r="Y117" s="36"/>
      <c r="Z117" s="36"/>
      <c r="AA117" s="36"/>
      <c r="AB117" s="36"/>
      <c r="AC117" s="36"/>
      <c r="AD117" s="36"/>
      <c r="AE117" s="36"/>
    </row>
    <row r="118" spans="1:31" s="613" customFormat="1" ht="18" customHeight="1">
      <c r="A118" s="98">
        <v>139</v>
      </c>
      <c r="B118" s="574"/>
      <c r="C118" s="606"/>
      <c r="D118" s="606"/>
      <c r="E118" s="607" t="s">
        <v>303</v>
      </c>
      <c r="F118" s="594"/>
      <c r="G118" s="594"/>
      <c r="H118" s="594"/>
      <c r="I118" s="608"/>
      <c r="J118" s="609">
        <f>SUM(K118:R118)</f>
        <v>129562</v>
      </c>
      <c r="K118" s="610">
        <v>61704</v>
      </c>
      <c r="L118" s="610">
        <v>12023</v>
      </c>
      <c r="M118" s="610">
        <v>55835</v>
      </c>
      <c r="N118" s="610"/>
      <c r="O118" s="610"/>
      <c r="P118" s="610"/>
      <c r="Q118" s="610"/>
      <c r="R118" s="611"/>
      <c r="S118" s="612"/>
      <c r="T118" s="612"/>
      <c r="U118" s="612"/>
      <c r="V118" s="612"/>
      <c r="W118" s="612"/>
      <c r="X118" s="612"/>
      <c r="Y118" s="612"/>
      <c r="Z118" s="612"/>
      <c r="AA118" s="612"/>
      <c r="AB118" s="612"/>
      <c r="AC118" s="612"/>
      <c r="AD118" s="612"/>
      <c r="AE118" s="612"/>
    </row>
    <row r="119" spans="1:31" s="613" customFormat="1" ht="18" customHeight="1">
      <c r="A119" s="98">
        <v>140</v>
      </c>
      <c r="B119" s="574"/>
      <c r="C119" s="606"/>
      <c r="D119" s="606"/>
      <c r="E119" s="483" t="s">
        <v>994</v>
      </c>
      <c r="F119" s="594"/>
      <c r="G119" s="594"/>
      <c r="H119" s="594"/>
      <c r="I119" s="608"/>
      <c r="J119" s="266">
        <f>SUM(K119:R119)</f>
        <v>147145</v>
      </c>
      <c r="K119" s="1038">
        <v>84351</v>
      </c>
      <c r="L119" s="1038">
        <v>13713</v>
      </c>
      <c r="M119" s="1038">
        <v>45594</v>
      </c>
      <c r="N119" s="1038"/>
      <c r="O119" s="1038">
        <v>290</v>
      </c>
      <c r="P119" s="1038">
        <v>3197</v>
      </c>
      <c r="Q119" s="610"/>
      <c r="R119" s="611"/>
      <c r="S119" s="612"/>
      <c r="T119" s="612"/>
      <c r="U119" s="612"/>
      <c r="V119" s="612"/>
      <c r="W119" s="612"/>
      <c r="X119" s="612"/>
      <c r="Y119" s="612"/>
      <c r="Z119" s="612"/>
      <c r="AA119" s="612"/>
      <c r="AB119" s="612"/>
      <c r="AC119" s="612"/>
      <c r="AD119" s="612"/>
      <c r="AE119" s="612"/>
    </row>
    <row r="120" spans="1:31" s="31" customFormat="1" ht="18" customHeight="1">
      <c r="A120" s="98">
        <v>141</v>
      </c>
      <c r="B120" s="1018"/>
      <c r="C120" s="1031"/>
      <c r="D120" s="1031"/>
      <c r="E120" s="1020" t="s">
        <v>1035</v>
      </c>
      <c r="F120" s="243"/>
      <c r="G120" s="243"/>
      <c r="H120" s="243"/>
      <c r="I120" s="1033"/>
      <c r="J120" s="1034">
        <f>SUM(K120:R120)</f>
        <v>135056</v>
      </c>
      <c r="K120" s="270">
        <f>81553-978-2251</f>
        <v>78324</v>
      </c>
      <c r="L120" s="270">
        <f>12556-74</f>
        <v>12482</v>
      </c>
      <c r="M120" s="270">
        <f>44950-3873</f>
        <v>41077</v>
      </c>
      <c r="N120" s="270"/>
      <c r="O120" s="270"/>
      <c r="P120" s="270">
        <f>4041-868</f>
        <v>3173</v>
      </c>
      <c r="Q120" s="270"/>
      <c r="R120" s="271"/>
      <c r="S120" s="113"/>
      <c r="T120" s="113"/>
      <c r="U120" s="113"/>
      <c r="V120" s="113"/>
      <c r="W120" s="113"/>
      <c r="X120" s="113"/>
      <c r="Y120" s="113"/>
      <c r="Z120" s="113"/>
      <c r="AA120" s="113"/>
      <c r="AB120" s="113"/>
      <c r="AC120" s="113"/>
      <c r="AD120" s="113"/>
      <c r="AE120" s="113"/>
    </row>
    <row r="121" spans="1:31" s="32" customFormat="1" ht="18" customHeight="1">
      <c r="A121" s="98">
        <v>143</v>
      </c>
      <c r="B121" s="240"/>
      <c r="C121" s="489">
        <v>1</v>
      </c>
      <c r="D121" s="800" t="s">
        <v>150</v>
      </c>
      <c r="E121" s="800"/>
      <c r="F121" s="353"/>
      <c r="G121" s="245">
        <v>1407</v>
      </c>
      <c r="H121" s="245">
        <v>2477</v>
      </c>
      <c r="I121" s="1223">
        <v>2124</v>
      </c>
      <c r="J121" s="274"/>
      <c r="K121" s="261"/>
      <c r="L121" s="261"/>
      <c r="M121" s="261"/>
      <c r="N121" s="270"/>
      <c r="O121" s="270"/>
      <c r="P121" s="270"/>
      <c r="Q121" s="270"/>
      <c r="R121" s="271"/>
      <c r="S121" s="221"/>
      <c r="T121" s="221"/>
      <c r="U121" s="221"/>
      <c r="V121" s="221"/>
      <c r="W121" s="221"/>
      <c r="X121" s="221"/>
      <c r="Y121" s="221"/>
      <c r="Z121" s="221"/>
      <c r="AA121" s="221"/>
      <c r="AB121" s="221"/>
      <c r="AC121" s="221"/>
      <c r="AD121" s="221"/>
      <c r="AE121" s="221"/>
    </row>
    <row r="122" spans="1:31" s="613" customFormat="1" ht="18" customHeight="1">
      <c r="A122" s="98">
        <v>144</v>
      </c>
      <c r="B122" s="574"/>
      <c r="C122" s="606"/>
      <c r="D122" s="606"/>
      <c r="E122" s="1652" t="s">
        <v>303</v>
      </c>
      <c r="F122" s="1653"/>
      <c r="G122" s="594"/>
      <c r="H122" s="594"/>
      <c r="I122" s="608"/>
      <c r="J122" s="609">
        <f>SUM(K122:R122)</f>
        <v>2455</v>
      </c>
      <c r="K122" s="610">
        <v>2257</v>
      </c>
      <c r="L122" s="610">
        <v>198</v>
      </c>
      <c r="M122" s="610"/>
      <c r="N122" s="610"/>
      <c r="O122" s="610"/>
      <c r="P122" s="610"/>
      <c r="Q122" s="610"/>
      <c r="R122" s="611"/>
      <c r="S122" s="612"/>
      <c r="T122" s="612"/>
      <c r="U122" s="612"/>
      <c r="V122" s="612"/>
      <c r="W122" s="612"/>
      <c r="X122" s="612"/>
      <c r="Y122" s="612"/>
      <c r="Z122" s="612"/>
      <c r="AA122" s="612"/>
      <c r="AB122" s="612"/>
      <c r="AC122" s="612"/>
      <c r="AD122" s="612"/>
      <c r="AE122" s="612"/>
    </row>
    <row r="123" spans="1:31" s="613" customFormat="1" ht="18" customHeight="1">
      <c r="A123" s="98">
        <v>145</v>
      </c>
      <c r="B123" s="574"/>
      <c r="C123" s="606"/>
      <c r="D123" s="606"/>
      <c r="E123" s="483" t="s">
        <v>994</v>
      </c>
      <c r="F123" s="1653"/>
      <c r="G123" s="594"/>
      <c r="H123" s="594"/>
      <c r="I123" s="608"/>
      <c r="J123" s="266">
        <f>SUM(K123:R123)</f>
        <v>1064</v>
      </c>
      <c r="K123" s="1038">
        <v>978</v>
      </c>
      <c r="L123" s="1038">
        <v>86</v>
      </c>
      <c r="M123" s="610"/>
      <c r="N123" s="610"/>
      <c r="O123" s="610"/>
      <c r="P123" s="610"/>
      <c r="Q123" s="610"/>
      <c r="R123" s="611"/>
      <c r="S123" s="612"/>
      <c r="T123" s="612"/>
      <c r="U123" s="612"/>
      <c r="V123" s="612"/>
      <c r="W123" s="612"/>
      <c r="X123" s="612"/>
      <c r="Y123" s="612"/>
      <c r="Z123" s="612"/>
      <c r="AA123" s="612"/>
      <c r="AB123" s="612"/>
      <c r="AC123" s="612"/>
      <c r="AD123" s="612"/>
      <c r="AE123" s="612"/>
    </row>
    <row r="124" spans="1:31" s="31" customFormat="1" ht="18" customHeight="1">
      <c r="A124" s="98">
        <v>146</v>
      </c>
      <c r="B124" s="1018"/>
      <c r="C124" s="1031"/>
      <c r="D124" s="1031"/>
      <c r="E124" s="1032" t="s">
        <v>1035</v>
      </c>
      <c r="F124" s="243"/>
      <c r="G124" s="243"/>
      <c r="H124" s="243"/>
      <c r="I124" s="1033"/>
      <c r="J124" s="1034">
        <f>SUM(K124:R124)</f>
        <v>1052</v>
      </c>
      <c r="K124" s="270">
        <v>978</v>
      </c>
      <c r="L124" s="270">
        <v>74</v>
      </c>
      <c r="M124" s="270"/>
      <c r="N124" s="270"/>
      <c r="O124" s="270"/>
      <c r="P124" s="270"/>
      <c r="Q124" s="270"/>
      <c r="R124" s="271"/>
      <c r="S124" s="113"/>
      <c r="T124" s="113"/>
      <c r="U124" s="113"/>
      <c r="V124" s="113"/>
      <c r="W124" s="113"/>
      <c r="X124" s="113"/>
      <c r="Y124" s="113"/>
      <c r="Z124" s="113"/>
      <c r="AA124" s="113"/>
      <c r="AB124" s="113"/>
      <c r="AC124" s="113"/>
      <c r="AD124" s="113"/>
      <c r="AE124" s="113"/>
    </row>
    <row r="125" spans="1:31" s="32" customFormat="1" ht="33" customHeight="1">
      <c r="A125" s="98">
        <v>148</v>
      </c>
      <c r="B125" s="240"/>
      <c r="C125" s="490">
        <v>2</v>
      </c>
      <c r="D125" s="2039" t="s">
        <v>484</v>
      </c>
      <c r="E125" s="2076"/>
      <c r="F125" s="1655"/>
      <c r="G125" s="95">
        <v>4679</v>
      </c>
      <c r="H125" s="95">
        <v>23787</v>
      </c>
      <c r="I125" s="265">
        <v>19384</v>
      </c>
      <c r="J125" s="274"/>
      <c r="K125" s="261"/>
      <c r="L125" s="261"/>
      <c r="M125" s="261"/>
      <c r="N125" s="270"/>
      <c r="O125" s="270"/>
      <c r="P125" s="270"/>
      <c r="Q125" s="270"/>
      <c r="R125" s="271"/>
      <c r="S125" s="221"/>
      <c r="T125" s="221"/>
      <c r="U125" s="221"/>
      <c r="V125" s="221"/>
      <c r="W125" s="221"/>
      <c r="X125" s="221"/>
      <c r="Y125" s="221"/>
      <c r="Z125" s="221"/>
      <c r="AA125" s="221"/>
      <c r="AB125" s="221"/>
      <c r="AC125" s="221"/>
      <c r="AD125" s="221"/>
      <c r="AE125" s="221"/>
    </row>
    <row r="126" spans="1:31" s="613" customFormat="1" ht="18" customHeight="1">
      <c r="A126" s="98">
        <v>149</v>
      </c>
      <c r="B126" s="574"/>
      <c r="C126" s="606"/>
      <c r="D126" s="606"/>
      <c r="E126" s="1652" t="s">
        <v>303</v>
      </c>
      <c r="F126" s="1653"/>
      <c r="G126" s="594"/>
      <c r="H126" s="594"/>
      <c r="I126" s="608"/>
      <c r="J126" s="609">
        <f>SUM(K126:R126)</f>
        <v>5725</v>
      </c>
      <c r="K126" s="610">
        <v>1640</v>
      </c>
      <c r="L126" s="610"/>
      <c r="M126" s="610">
        <v>1254</v>
      </c>
      <c r="N126" s="610"/>
      <c r="O126" s="610"/>
      <c r="P126" s="610">
        <v>2831</v>
      </c>
      <c r="Q126" s="610"/>
      <c r="R126" s="611"/>
      <c r="S126" s="612"/>
      <c r="T126" s="612"/>
      <c r="U126" s="612"/>
      <c r="V126" s="612"/>
      <c r="W126" s="612"/>
      <c r="X126" s="612"/>
      <c r="Y126" s="612"/>
      <c r="Z126" s="612"/>
      <c r="AA126" s="612"/>
      <c r="AB126" s="612"/>
      <c r="AC126" s="612"/>
      <c r="AD126" s="612"/>
      <c r="AE126" s="612"/>
    </row>
    <row r="127" spans="1:31" s="613" customFormat="1" ht="18" customHeight="1">
      <c r="A127" s="98">
        <v>150</v>
      </c>
      <c r="B127" s="574"/>
      <c r="C127" s="606"/>
      <c r="D127" s="606"/>
      <c r="E127" s="483" t="s">
        <v>994</v>
      </c>
      <c r="F127" s="1653"/>
      <c r="G127" s="594"/>
      <c r="H127" s="594"/>
      <c r="I127" s="608"/>
      <c r="J127" s="266">
        <f>SUM(K127:R127)</f>
        <v>5352</v>
      </c>
      <c r="K127" s="1038">
        <v>964</v>
      </c>
      <c r="L127" s="1038"/>
      <c r="M127" s="1038">
        <v>3519</v>
      </c>
      <c r="N127" s="1038"/>
      <c r="O127" s="1038"/>
      <c r="P127" s="1038">
        <v>869</v>
      </c>
      <c r="Q127" s="610"/>
      <c r="R127" s="611"/>
      <c r="S127" s="612"/>
      <c r="T127" s="612"/>
      <c r="U127" s="612"/>
      <c r="V127" s="612"/>
      <c r="W127" s="612"/>
      <c r="X127" s="612"/>
      <c r="Y127" s="612"/>
      <c r="Z127" s="612"/>
      <c r="AA127" s="612"/>
      <c r="AB127" s="612"/>
      <c r="AC127" s="612"/>
      <c r="AD127" s="612"/>
      <c r="AE127" s="612"/>
    </row>
    <row r="128" spans="1:31" s="31" customFormat="1" ht="18" customHeight="1">
      <c r="A128" s="98">
        <v>151</v>
      </c>
      <c r="B128" s="1018"/>
      <c r="C128" s="1031"/>
      <c r="D128" s="1031"/>
      <c r="E128" s="1032" t="s">
        <v>1035</v>
      </c>
      <c r="F128" s="243"/>
      <c r="G128" s="243"/>
      <c r="H128" s="243"/>
      <c r="I128" s="1033"/>
      <c r="J128" s="1034">
        <f>SUM(K128:R128)</f>
        <v>6992</v>
      </c>
      <c r="K128" s="270">
        <v>2251</v>
      </c>
      <c r="L128" s="270"/>
      <c r="M128" s="270">
        <v>3873</v>
      </c>
      <c r="N128" s="270"/>
      <c r="O128" s="270"/>
      <c r="P128" s="270">
        <v>868</v>
      </c>
      <c r="Q128" s="270"/>
      <c r="R128" s="271"/>
      <c r="S128" s="113"/>
      <c r="T128" s="113"/>
      <c r="U128" s="113"/>
      <c r="V128" s="113"/>
      <c r="W128" s="113"/>
      <c r="X128" s="113"/>
      <c r="Y128" s="113"/>
      <c r="Z128" s="113"/>
      <c r="AA128" s="113"/>
      <c r="AB128" s="113"/>
      <c r="AC128" s="113"/>
      <c r="AD128" s="113"/>
      <c r="AE128" s="113"/>
    </row>
    <row r="129" spans="1:31" s="34" customFormat="1" ht="18" customHeight="1">
      <c r="A129" s="98">
        <v>153</v>
      </c>
      <c r="B129" s="357"/>
      <c r="C129" s="238">
        <v>3</v>
      </c>
      <c r="D129" s="2039" t="s">
        <v>955</v>
      </c>
      <c r="E129" s="2040"/>
      <c r="F129" s="1036"/>
      <c r="G129" s="1036"/>
      <c r="H129" s="1036"/>
      <c r="I129" s="1037"/>
      <c r="J129" s="266"/>
      <c r="K129" s="1038"/>
      <c r="L129" s="1038"/>
      <c r="M129" s="1038"/>
      <c r="N129" s="1038"/>
      <c r="O129" s="1038"/>
      <c r="P129" s="1038"/>
      <c r="Q129" s="1038"/>
      <c r="R129" s="1039"/>
      <c r="S129" s="220"/>
      <c r="T129" s="220"/>
      <c r="U129" s="220"/>
      <c r="V129" s="220"/>
      <c r="W129" s="220"/>
      <c r="X129" s="220"/>
      <c r="Y129" s="220"/>
      <c r="Z129" s="220"/>
      <c r="AA129" s="220"/>
      <c r="AB129" s="220"/>
      <c r="AC129" s="220"/>
      <c r="AD129" s="220"/>
      <c r="AE129" s="220"/>
    </row>
    <row r="130" spans="1:31" s="34" customFormat="1" ht="18" customHeight="1">
      <c r="A130" s="98"/>
      <c r="B130" s="357"/>
      <c r="C130" s="238"/>
      <c r="D130" s="1649"/>
      <c r="E130" s="483" t="s">
        <v>994</v>
      </c>
      <c r="F130" s="1036"/>
      <c r="G130" s="1036"/>
      <c r="H130" s="1036"/>
      <c r="I130" s="1037"/>
      <c r="J130" s="266">
        <f>SUM(K130:R130)</f>
        <v>2602</v>
      </c>
      <c r="K130" s="1038">
        <v>1578</v>
      </c>
      <c r="L130" s="1038"/>
      <c r="M130" s="1038">
        <v>1024</v>
      </c>
      <c r="N130" s="1038"/>
      <c r="O130" s="1038"/>
      <c r="P130" s="1038"/>
      <c r="Q130" s="1038"/>
      <c r="R130" s="1039"/>
      <c r="S130" s="220"/>
      <c r="T130" s="220"/>
      <c r="U130" s="220"/>
      <c r="V130" s="220"/>
      <c r="W130" s="220"/>
      <c r="X130" s="220"/>
      <c r="Y130" s="220"/>
      <c r="Z130" s="220"/>
      <c r="AA130" s="220"/>
      <c r="AB130" s="220"/>
      <c r="AC130" s="220"/>
      <c r="AD130" s="220"/>
      <c r="AE130" s="220"/>
    </row>
    <row r="131" spans="1:31" s="34" customFormat="1" ht="18" customHeight="1">
      <c r="A131" s="98">
        <v>154</v>
      </c>
      <c r="B131" s="357"/>
      <c r="C131" s="1644"/>
      <c r="D131" s="1021"/>
      <c r="E131" s="1020" t="s">
        <v>1036</v>
      </c>
      <c r="F131" s="1036"/>
      <c r="G131" s="1036"/>
      <c r="H131" s="1036"/>
      <c r="I131" s="1037"/>
      <c r="J131" s="1034">
        <f>SUM(K131:R131)</f>
        <v>0</v>
      </c>
      <c r="K131" s="270">
        <v>0</v>
      </c>
      <c r="L131" s="270"/>
      <c r="M131" s="270">
        <v>0</v>
      </c>
      <c r="N131" s="1038"/>
      <c r="O131" s="1038"/>
      <c r="P131" s="1038"/>
      <c r="Q131" s="1038"/>
      <c r="R131" s="1039"/>
      <c r="S131" s="220"/>
      <c r="T131" s="220"/>
      <c r="U131" s="220"/>
      <c r="V131" s="220"/>
      <c r="W131" s="220"/>
      <c r="X131" s="220"/>
      <c r="Y131" s="220"/>
      <c r="Z131" s="220"/>
      <c r="AA131" s="220"/>
      <c r="AB131" s="220"/>
      <c r="AC131" s="220"/>
      <c r="AD131" s="220"/>
      <c r="AE131" s="220"/>
    </row>
    <row r="132" spans="1:31" s="29" customFormat="1" ht="22.5" customHeight="1">
      <c r="A132" s="98">
        <v>156</v>
      </c>
      <c r="B132" s="237">
        <v>15</v>
      </c>
      <c r="C132" s="489"/>
      <c r="D132" s="258" t="s">
        <v>155</v>
      </c>
      <c r="E132" s="258"/>
      <c r="F132" s="350" t="s">
        <v>24</v>
      </c>
      <c r="G132" s="95">
        <v>918236</v>
      </c>
      <c r="H132" s="95">
        <v>717112</v>
      </c>
      <c r="I132" s="265">
        <v>851369</v>
      </c>
      <c r="J132" s="274"/>
      <c r="K132" s="95"/>
      <c r="L132" s="95"/>
      <c r="M132" s="95"/>
      <c r="N132" s="95"/>
      <c r="O132" s="95"/>
      <c r="P132" s="95"/>
      <c r="Q132" s="95"/>
      <c r="R132" s="102"/>
      <c r="S132" s="218"/>
      <c r="T132" s="218"/>
      <c r="U132" s="218"/>
      <c r="V132" s="218"/>
      <c r="W132" s="218"/>
      <c r="X132" s="218"/>
      <c r="Y132" s="218"/>
      <c r="Z132" s="218"/>
      <c r="AA132" s="218"/>
      <c r="AB132" s="218"/>
      <c r="AC132" s="218"/>
      <c r="AD132" s="218"/>
      <c r="AE132" s="218"/>
    </row>
    <row r="133" spans="1:31" s="613" customFormat="1" ht="18" customHeight="1">
      <c r="A133" s="98">
        <v>157</v>
      </c>
      <c r="B133" s="574"/>
      <c r="C133" s="616"/>
      <c r="D133" s="616"/>
      <c r="E133" s="604" t="s">
        <v>303</v>
      </c>
      <c r="F133" s="599"/>
      <c r="G133" s="599"/>
      <c r="H133" s="599"/>
      <c r="I133" s="617"/>
      <c r="J133" s="618">
        <f>SUM(K133:R133)</f>
        <v>742553</v>
      </c>
      <c r="K133" s="619">
        <v>353612</v>
      </c>
      <c r="L133" s="619">
        <v>67795</v>
      </c>
      <c r="M133" s="619">
        <v>319146</v>
      </c>
      <c r="N133" s="619"/>
      <c r="O133" s="619"/>
      <c r="P133" s="619">
        <v>2000</v>
      </c>
      <c r="Q133" s="619"/>
      <c r="R133" s="620"/>
      <c r="S133" s="612"/>
      <c r="T133" s="612"/>
      <c r="U133" s="612"/>
      <c r="V133" s="612"/>
      <c r="W133" s="612"/>
      <c r="X133" s="612"/>
      <c r="Y133" s="612"/>
      <c r="Z133" s="612"/>
      <c r="AA133" s="612"/>
      <c r="AB133" s="612"/>
      <c r="AC133" s="612"/>
      <c r="AD133" s="612"/>
      <c r="AE133" s="612"/>
    </row>
    <row r="134" spans="1:31" s="613" customFormat="1" ht="18" customHeight="1">
      <c r="A134" s="98">
        <v>158</v>
      </c>
      <c r="B134" s="574"/>
      <c r="C134" s="616"/>
      <c r="D134" s="616"/>
      <c r="E134" s="483" t="s">
        <v>994</v>
      </c>
      <c r="F134" s="599"/>
      <c r="G134" s="599"/>
      <c r="H134" s="599"/>
      <c r="I134" s="617"/>
      <c r="J134" s="266">
        <f>SUM(K134:R134)</f>
        <v>969318</v>
      </c>
      <c r="K134" s="1058">
        <v>445655</v>
      </c>
      <c r="L134" s="1058">
        <v>76941</v>
      </c>
      <c r="M134" s="1058">
        <v>418528</v>
      </c>
      <c r="N134" s="1058"/>
      <c r="O134" s="1058"/>
      <c r="P134" s="1058">
        <v>28194</v>
      </c>
      <c r="Q134" s="619"/>
      <c r="R134" s="620"/>
      <c r="S134" s="612"/>
      <c r="T134" s="612"/>
      <c r="U134" s="612"/>
      <c r="V134" s="612"/>
      <c r="W134" s="612"/>
      <c r="X134" s="612"/>
      <c r="Y134" s="612"/>
      <c r="Z134" s="612"/>
      <c r="AA134" s="612"/>
      <c r="AB134" s="612"/>
      <c r="AC134" s="612"/>
      <c r="AD134" s="612"/>
      <c r="AE134" s="612"/>
    </row>
    <row r="135" spans="1:31" s="31" customFormat="1" ht="18" customHeight="1" thickBot="1">
      <c r="A135" s="98">
        <v>159</v>
      </c>
      <c r="B135" s="1018"/>
      <c r="C135" s="1031"/>
      <c r="D135" s="1031"/>
      <c r="E135" s="1020" t="s">
        <v>1035</v>
      </c>
      <c r="F135" s="243"/>
      <c r="G135" s="243"/>
      <c r="H135" s="243"/>
      <c r="I135" s="1033"/>
      <c r="J135" s="1034">
        <f>SUM(K135:R135)</f>
        <v>836545</v>
      </c>
      <c r="K135" s="270">
        <v>431880</v>
      </c>
      <c r="L135" s="270">
        <v>69266</v>
      </c>
      <c r="M135" s="270">
        <v>310344</v>
      </c>
      <c r="N135" s="270"/>
      <c r="O135" s="270"/>
      <c r="P135" s="270">
        <v>25055</v>
      </c>
      <c r="Q135" s="270"/>
      <c r="R135" s="271"/>
      <c r="S135" s="113"/>
      <c r="T135" s="113"/>
      <c r="U135" s="113"/>
      <c r="V135" s="113"/>
      <c r="W135" s="113"/>
      <c r="X135" s="113"/>
      <c r="Y135" s="113"/>
      <c r="Z135" s="113"/>
      <c r="AA135" s="113"/>
      <c r="AB135" s="113"/>
      <c r="AC135" s="113"/>
      <c r="AD135" s="113"/>
      <c r="AE135" s="113"/>
    </row>
    <row r="136" spans="1:31" s="158" customFormat="1" ht="22.5" customHeight="1" thickTop="1">
      <c r="A136" s="98">
        <v>162</v>
      </c>
      <c r="B136" s="267"/>
      <c r="C136" s="2080" t="s">
        <v>590</v>
      </c>
      <c r="D136" s="2081"/>
      <c r="E136" s="2082"/>
      <c r="F136" s="518"/>
      <c r="G136" s="511">
        <f>SUM(G68:G133)</f>
        <v>2216492</v>
      </c>
      <c r="H136" s="511">
        <f>SUM(H68:H133)</f>
        <v>2005779</v>
      </c>
      <c r="I136" s="1224">
        <f>SUM(I68:I133)</f>
        <v>2347852</v>
      </c>
      <c r="J136" s="519"/>
      <c r="K136" s="516"/>
      <c r="L136" s="516"/>
      <c r="M136" s="516"/>
      <c r="N136" s="516"/>
      <c r="O136" s="516"/>
      <c r="P136" s="516"/>
      <c r="Q136" s="516"/>
      <c r="R136" s="517"/>
      <c r="S136" s="273"/>
      <c r="T136" s="273"/>
      <c r="U136" s="273"/>
      <c r="V136" s="273"/>
      <c r="W136" s="273"/>
      <c r="X136" s="273"/>
      <c r="Y136" s="273"/>
      <c r="Z136" s="273"/>
      <c r="AA136" s="273"/>
      <c r="AB136" s="273"/>
      <c r="AC136" s="273"/>
      <c r="AD136" s="273"/>
      <c r="AE136" s="273"/>
    </row>
    <row r="137" spans="1:31" s="613" customFormat="1" ht="18" customHeight="1">
      <c r="A137" s="98">
        <v>163</v>
      </c>
      <c r="B137" s="574"/>
      <c r="C137" s="1040"/>
      <c r="D137" s="616"/>
      <c r="E137" s="604" t="s">
        <v>303</v>
      </c>
      <c r="F137" s="599"/>
      <c r="G137" s="599"/>
      <c r="H137" s="599"/>
      <c r="I137" s="617"/>
      <c r="J137" s="618">
        <f>SUM(K137:R137)</f>
        <v>2182328</v>
      </c>
      <c r="K137" s="619">
        <f aca="true" t="shared" si="4" ref="K137:R137">SUM(K69,K77,K81,K92,K101,K105,K118,K122,K126,K133)</f>
        <v>981370</v>
      </c>
      <c r="L137" s="619">
        <f t="shared" si="4"/>
        <v>185540</v>
      </c>
      <c r="M137" s="619">
        <f t="shared" si="4"/>
        <v>986759</v>
      </c>
      <c r="N137" s="619">
        <f t="shared" si="4"/>
        <v>0</v>
      </c>
      <c r="O137" s="619">
        <f t="shared" si="4"/>
        <v>178</v>
      </c>
      <c r="P137" s="619">
        <f t="shared" si="4"/>
        <v>28481</v>
      </c>
      <c r="Q137" s="619">
        <f t="shared" si="4"/>
        <v>0</v>
      </c>
      <c r="R137" s="620">
        <f t="shared" si="4"/>
        <v>0</v>
      </c>
      <c r="S137" s="612">
        <f>+J137-'[1]4.Inbe'!O59</f>
        <v>0</v>
      </c>
      <c r="T137" s="612"/>
      <c r="U137" s="612"/>
      <c r="V137" s="612"/>
      <c r="W137" s="612"/>
      <c r="X137" s="612"/>
      <c r="Y137" s="612"/>
      <c r="Z137" s="612"/>
      <c r="AA137" s="612"/>
      <c r="AB137" s="612"/>
      <c r="AC137" s="612"/>
      <c r="AD137" s="612"/>
      <c r="AE137" s="612"/>
    </row>
    <row r="138" spans="1:31" s="613" customFormat="1" ht="18" customHeight="1">
      <c r="A138" s="98">
        <v>164</v>
      </c>
      <c r="B138" s="574"/>
      <c r="C138" s="1040"/>
      <c r="D138" s="616"/>
      <c r="E138" s="483" t="s">
        <v>994</v>
      </c>
      <c r="F138" s="599"/>
      <c r="G138" s="599"/>
      <c r="H138" s="599"/>
      <c r="I138" s="617"/>
      <c r="J138" s="266">
        <f>SUM(K138:R138)</f>
        <v>2625981</v>
      </c>
      <c r="K138" s="1058">
        <f aca="true" t="shared" si="5" ref="K138:R138">SUM(K70,K78,K82,K93,K102,K106,K119,K123,K127,K134)+K89+K130+K113</f>
        <v>1165458</v>
      </c>
      <c r="L138" s="1058">
        <f t="shared" si="5"/>
        <v>208199</v>
      </c>
      <c r="M138" s="1058">
        <f t="shared" si="5"/>
        <v>1112242</v>
      </c>
      <c r="N138" s="1058">
        <f t="shared" si="5"/>
        <v>0</v>
      </c>
      <c r="O138" s="1058">
        <f t="shared" si="5"/>
        <v>468</v>
      </c>
      <c r="P138" s="1058">
        <f t="shared" si="5"/>
        <v>139614</v>
      </c>
      <c r="Q138" s="1058">
        <f t="shared" si="5"/>
        <v>0</v>
      </c>
      <c r="R138" s="1059">
        <f t="shared" si="5"/>
        <v>0</v>
      </c>
      <c r="S138" s="612"/>
      <c r="T138" s="612"/>
      <c r="U138" s="612"/>
      <c r="V138" s="612"/>
      <c r="W138" s="612"/>
      <c r="X138" s="612"/>
      <c r="Y138" s="612"/>
      <c r="Z138" s="612"/>
      <c r="AA138" s="612"/>
      <c r="AB138" s="612"/>
      <c r="AC138" s="612"/>
      <c r="AD138" s="612"/>
      <c r="AE138" s="612"/>
    </row>
    <row r="139" spans="1:31" s="31" customFormat="1" ht="18" customHeight="1" thickBot="1">
      <c r="A139" s="98">
        <v>165</v>
      </c>
      <c r="B139" s="1018"/>
      <c r="C139" s="1514"/>
      <c r="D139" s="1515"/>
      <c r="E139" s="1516" t="s">
        <v>1035</v>
      </c>
      <c r="F139" s="1517"/>
      <c r="G139" s="1517"/>
      <c r="H139" s="1517"/>
      <c r="I139" s="1518"/>
      <c r="J139" s="1519">
        <f>SUM(K139:R139)</f>
        <v>2191996</v>
      </c>
      <c r="K139" s="1520">
        <f aca="true" t="shared" si="6" ref="K139:R139">SUM(K71:K71,K79,K83:K83,K94:K94,K103,K107:K107,K120:K120,K124,K128,K135:K135)+K90+K131+K114</f>
        <v>1086530</v>
      </c>
      <c r="L139" s="1520">
        <f t="shared" si="6"/>
        <v>185461</v>
      </c>
      <c r="M139" s="1520">
        <f t="shared" si="6"/>
        <v>794721</v>
      </c>
      <c r="N139" s="1520">
        <f t="shared" si="6"/>
        <v>0</v>
      </c>
      <c r="O139" s="1520">
        <f t="shared" si="6"/>
        <v>172</v>
      </c>
      <c r="P139" s="1520">
        <f t="shared" si="6"/>
        <v>125112</v>
      </c>
      <c r="Q139" s="1520">
        <f t="shared" si="6"/>
        <v>0</v>
      </c>
      <c r="R139" s="1521">
        <f t="shared" si="6"/>
        <v>0</v>
      </c>
      <c r="S139" s="113"/>
      <c r="T139" s="113"/>
      <c r="U139" s="113"/>
      <c r="V139" s="113"/>
      <c r="W139" s="113"/>
      <c r="X139" s="113"/>
      <c r="Y139" s="113"/>
      <c r="Z139" s="113"/>
      <c r="AA139" s="113"/>
      <c r="AB139" s="113"/>
      <c r="AC139" s="113"/>
      <c r="AD139" s="113"/>
      <c r="AE139" s="113"/>
    </row>
    <row r="140" spans="1:31" s="33" customFormat="1" ht="22.5" customHeight="1" thickTop="1">
      <c r="A140" s="98">
        <v>167</v>
      </c>
      <c r="B140" s="248">
        <v>16</v>
      </c>
      <c r="C140" s="491"/>
      <c r="D140" s="354" t="s">
        <v>265</v>
      </c>
      <c r="E140" s="354"/>
      <c r="F140" s="351" t="s">
        <v>23</v>
      </c>
      <c r="G140" s="256">
        <v>903541</v>
      </c>
      <c r="H140" s="256">
        <v>1012076</v>
      </c>
      <c r="I140" s="352">
        <v>965302</v>
      </c>
      <c r="J140" s="335"/>
      <c r="K140" s="256"/>
      <c r="L140" s="256"/>
      <c r="M140" s="256"/>
      <c r="N140" s="256"/>
      <c r="O140" s="256"/>
      <c r="P140" s="256"/>
      <c r="Q140" s="256"/>
      <c r="R140" s="269"/>
      <c r="S140" s="216"/>
      <c r="T140" s="216"/>
      <c r="U140" s="216"/>
      <c r="V140" s="216"/>
      <c r="W140" s="216"/>
      <c r="X140" s="216"/>
      <c r="Y140" s="216"/>
      <c r="Z140" s="216"/>
      <c r="AA140" s="216"/>
      <c r="AB140" s="216"/>
      <c r="AC140" s="216"/>
      <c r="AD140" s="216"/>
      <c r="AE140" s="216"/>
    </row>
    <row r="141" spans="1:31" s="584" customFormat="1" ht="18" customHeight="1">
      <c r="A141" s="98">
        <v>168</v>
      </c>
      <c r="B141" s="603"/>
      <c r="C141" s="616"/>
      <c r="D141" s="616"/>
      <c r="E141" s="604" t="s">
        <v>303</v>
      </c>
      <c r="F141" s="599"/>
      <c r="G141" s="599"/>
      <c r="H141" s="599"/>
      <c r="I141" s="617"/>
      <c r="J141" s="618">
        <f>SUM(K141:R141)</f>
        <v>1025459</v>
      </c>
      <c r="K141" s="619">
        <v>180690</v>
      </c>
      <c r="L141" s="619">
        <v>36122</v>
      </c>
      <c r="M141" s="619">
        <v>808647</v>
      </c>
      <c r="N141" s="619"/>
      <c r="O141" s="619"/>
      <c r="P141" s="619"/>
      <c r="Q141" s="619"/>
      <c r="R141" s="620"/>
      <c r="S141" s="621"/>
      <c r="T141" s="621"/>
      <c r="U141" s="621"/>
      <c r="V141" s="621"/>
      <c r="W141" s="621"/>
      <c r="X141" s="621"/>
      <c r="Y141" s="621"/>
      <c r="Z141" s="621"/>
      <c r="AA141" s="621"/>
      <c r="AB141" s="621"/>
      <c r="AC141" s="621"/>
      <c r="AD141" s="621"/>
      <c r="AE141" s="621"/>
    </row>
    <row r="142" spans="1:31" s="584" customFormat="1" ht="18" customHeight="1">
      <c r="A142" s="98">
        <v>169</v>
      </c>
      <c r="B142" s="603"/>
      <c r="C142" s="616"/>
      <c r="D142" s="616"/>
      <c r="E142" s="483" t="s">
        <v>994</v>
      </c>
      <c r="F142" s="599"/>
      <c r="G142" s="599"/>
      <c r="H142" s="599"/>
      <c r="I142" s="617"/>
      <c r="J142" s="266">
        <f>SUM(K142:R142)</f>
        <v>986464</v>
      </c>
      <c r="K142" s="1058">
        <v>215367</v>
      </c>
      <c r="L142" s="1058">
        <v>46899</v>
      </c>
      <c r="M142" s="1058">
        <v>719698</v>
      </c>
      <c r="N142" s="619"/>
      <c r="O142" s="619"/>
      <c r="P142" s="1058">
        <v>4500</v>
      </c>
      <c r="Q142" s="619"/>
      <c r="R142" s="620"/>
      <c r="S142" s="621"/>
      <c r="T142" s="621"/>
      <c r="U142" s="621"/>
      <c r="V142" s="621"/>
      <c r="W142" s="621"/>
      <c r="X142" s="621"/>
      <c r="Y142" s="621"/>
      <c r="Z142" s="621"/>
      <c r="AA142" s="621"/>
      <c r="AB142" s="621"/>
      <c r="AC142" s="621"/>
      <c r="AD142" s="621"/>
      <c r="AE142" s="621"/>
    </row>
    <row r="143" spans="1:31" s="31" customFormat="1" ht="18" customHeight="1" thickBot="1">
      <c r="A143" s="98">
        <v>170</v>
      </c>
      <c r="B143" s="1018"/>
      <c r="C143" s="1031"/>
      <c r="D143" s="1031"/>
      <c r="E143" s="1020" t="s">
        <v>1035</v>
      </c>
      <c r="F143" s="243"/>
      <c r="G143" s="243"/>
      <c r="H143" s="243"/>
      <c r="I143" s="1033"/>
      <c r="J143" s="1034">
        <f>SUM(K143:R143)</f>
        <v>743417</v>
      </c>
      <c r="K143" s="270">
        <v>177899</v>
      </c>
      <c r="L143" s="270">
        <v>33317</v>
      </c>
      <c r="M143" s="270">
        <v>527803</v>
      </c>
      <c r="N143" s="270"/>
      <c r="O143" s="270"/>
      <c r="P143" s="270">
        <v>4398</v>
      </c>
      <c r="Q143" s="270"/>
      <c r="R143" s="271"/>
      <c r="S143" s="113"/>
      <c r="T143" s="113"/>
      <c r="U143" s="113"/>
      <c r="V143" s="113"/>
      <c r="W143" s="113"/>
      <c r="X143" s="113"/>
      <c r="Y143" s="113"/>
      <c r="Z143" s="113"/>
      <c r="AA143" s="113"/>
      <c r="AB143" s="113"/>
      <c r="AC143" s="113"/>
      <c r="AD143" s="113"/>
      <c r="AE143" s="113"/>
    </row>
    <row r="144" spans="1:31" s="109" customFormat="1" ht="36" customHeight="1">
      <c r="A144" s="98">
        <v>172</v>
      </c>
      <c r="B144" s="2044" t="s">
        <v>156</v>
      </c>
      <c r="C144" s="2045"/>
      <c r="D144" s="2045"/>
      <c r="E144" s="2046"/>
      <c r="F144" s="355"/>
      <c r="G144" s="356">
        <f>SUM(G140,G136,G64,G43)</f>
        <v>5894344</v>
      </c>
      <c r="H144" s="356">
        <f>SUM(H140,H136,H64,H43)</f>
        <v>6023194</v>
      </c>
      <c r="I144" s="1225">
        <f>SUM(I140,I136,I64,I43)</f>
        <v>6471307</v>
      </c>
      <c r="J144" s="624"/>
      <c r="K144" s="277"/>
      <c r="L144" s="277"/>
      <c r="M144" s="277"/>
      <c r="N144" s="277"/>
      <c r="O144" s="277"/>
      <c r="P144" s="277"/>
      <c r="Q144" s="277"/>
      <c r="R144" s="278"/>
      <c r="S144" s="223"/>
      <c r="T144" s="223"/>
      <c r="U144" s="223"/>
      <c r="V144" s="223"/>
      <c r="W144" s="223"/>
      <c r="X144" s="223"/>
      <c r="Y144" s="223"/>
      <c r="Z144" s="223"/>
      <c r="AA144" s="223"/>
      <c r="AB144" s="223"/>
      <c r="AC144" s="223"/>
      <c r="AD144" s="223"/>
      <c r="AE144" s="223"/>
    </row>
    <row r="145" spans="1:31" s="613" customFormat="1" ht="18" customHeight="1">
      <c r="A145" s="98">
        <v>173</v>
      </c>
      <c r="B145" s="603"/>
      <c r="C145" s="616"/>
      <c r="D145" s="616"/>
      <c r="E145" s="604" t="s">
        <v>303</v>
      </c>
      <c r="F145" s="599"/>
      <c r="G145" s="599"/>
      <c r="H145" s="599"/>
      <c r="I145" s="617"/>
      <c r="J145" s="618">
        <f>SUM(K145:R145)</f>
        <v>6363012</v>
      </c>
      <c r="K145" s="619">
        <f aca="true" t="shared" si="7" ref="K145:R146">SUM(K141,K137,K65,K44)</f>
        <v>3301895</v>
      </c>
      <c r="L145" s="619">
        <f t="shared" si="7"/>
        <v>645834</v>
      </c>
      <c r="M145" s="619">
        <f t="shared" si="7"/>
        <v>2382434</v>
      </c>
      <c r="N145" s="619">
        <f t="shared" si="7"/>
        <v>0</v>
      </c>
      <c r="O145" s="619">
        <f t="shared" si="7"/>
        <v>178</v>
      </c>
      <c r="P145" s="619">
        <f t="shared" si="7"/>
        <v>32671</v>
      </c>
      <c r="Q145" s="619">
        <f t="shared" si="7"/>
        <v>0</v>
      </c>
      <c r="R145" s="620">
        <f t="shared" si="7"/>
        <v>0</v>
      </c>
      <c r="S145" s="612">
        <f>+J145-'[1]4.Inbe'!O63</f>
        <v>0</v>
      </c>
      <c r="T145" s="612"/>
      <c r="U145" s="612"/>
      <c r="V145" s="612"/>
      <c r="W145" s="612"/>
      <c r="X145" s="612"/>
      <c r="Y145" s="612"/>
      <c r="Z145" s="612"/>
      <c r="AA145" s="612"/>
      <c r="AB145" s="612"/>
      <c r="AC145" s="612"/>
      <c r="AD145" s="612"/>
      <c r="AE145" s="612"/>
    </row>
    <row r="146" spans="1:31" s="613" customFormat="1" ht="18" customHeight="1">
      <c r="A146" s="98">
        <v>174</v>
      </c>
      <c r="B146" s="603"/>
      <c r="C146" s="616"/>
      <c r="D146" s="616"/>
      <c r="E146" s="483" t="s">
        <v>994</v>
      </c>
      <c r="F146" s="599"/>
      <c r="G146" s="599"/>
      <c r="H146" s="599"/>
      <c r="I146" s="617"/>
      <c r="J146" s="266">
        <f>SUM(K146:R146)</f>
        <v>7112180</v>
      </c>
      <c r="K146" s="1058">
        <f t="shared" si="7"/>
        <v>3748846</v>
      </c>
      <c r="L146" s="1058">
        <f t="shared" si="7"/>
        <v>716506</v>
      </c>
      <c r="M146" s="1058">
        <f t="shared" si="7"/>
        <v>2467032</v>
      </c>
      <c r="N146" s="1058">
        <f t="shared" si="7"/>
        <v>0</v>
      </c>
      <c r="O146" s="1058">
        <f t="shared" si="7"/>
        <v>647</v>
      </c>
      <c r="P146" s="1058">
        <f t="shared" si="7"/>
        <v>176032</v>
      </c>
      <c r="Q146" s="1058">
        <f t="shared" si="7"/>
        <v>3117</v>
      </c>
      <c r="R146" s="1059">
        <f t="shared" si="7"/>
        <v>0</v>
      </c>
      <c r="S146" s="612"/>
      <c r="T146" s="612"/>
      <c r="U146" s="612"/>
      <c r="V146" s="612"/>
      <c r="W146" s="612"/>
      <c r="X146" s="612"/>
      <c r="Y146" s="612"/>
      <c r="Z146" s="612"/>
      <c r="AA146" s="612"/>
      <c r="AB146" s="612"/>
      <c r="AC146" s="612"/>
      <c r="AD146" s="612"/>
      <c r="AE146" s="612"/>
    </row>
    <row r="147" spans="1:31" s="31" customFormat="1" ht="18" customHeight="1" thickBot="1">
      <c r="A147" s="98">
        <v>175</v>
      </c>
      <c r="B147" s="1508"/>
      <c r="C147" s="1522"/>
      <c r="D147" s="1523"/>
      <c r="E147" s="1524" t="s">
        <v>1036</v>
      </c>
      <c r="F147" s="1525"/>
      <c r="G147" s="1525"/>
      <c r="H147" s="1525"/>
      <c r="I147" s="1526"/>
      <c r="J147" s="1527">
        <f>SUM(K147:R147)</f>
        <v>6169480</v>
      </c>
      <c r="K147" s="1528">
        <f aca="true" t="shared" si="8" ref="K147:R147">SUM(K46,K67,K139,K143:K143)</f>
        <v>3542577</v>
      </c>
      <c r="L147" s="1528">
        <f t="shared" si="8"/>
        <v>640585</v>
      </c>
      <c r="M147" s="1528">
        <f t="shared" si="8"/>
        <v>1828698</v>
      </c>
      <c r="N147" s="1528">
        <f t="shared" si="8"/>
        <v>0</v>
      </c>
      <c r="O147" s="1528">
        <f t="shared" si="8"/>
        <v>351</v>
      </c>
      <c r="P147" s="1528">
        <f t="shared" si="8"/>
        <v>154154</v>
      </c>
      <c r="Q147" s="1528">
        <f t="shared" si="8"/>
        <v>3115</v>
      </c>
      <c r="R147" s="1529">
        <f t="shared" si="8"/>
        <v>0</v>
      </c>
      <c r="S147" s="113"/>
      <c r="T147" s="113"/>
      <c r="U147" s="113"/>
      <c r="V147" s="113"/>
      <c r="W147" s="113"/>
      <c r="X147" s="113"/>
      <c r="Y147" s="113"/>
      <c r="Z147" s="113"/>
      <c r="AA147" s="113"/>
      <c r="AB147" s="113"/>
      <c r="AC147" s="113"/>
      <c r="AD147" s="113"/>
      <c r="AE147" s="113"/>
    </row>
    <row r="148" spans="1:31" s="33" customFormat="1" ht="22.5" customHeight="1">
      <c r="A148" s="98">
        <v>177</v>
      </c>
      <c r="B148" s="248">
        <v>17</v>
      </c>
      <c r="C148" s="491"/>
      <c r="D148" s="1048" t="s">
        <v>26</v>
      </c>
      <c r="E148" s="1313"/>
      <c r="F148" s="249" t="s">
        <v>23</v>
      </c>
      <c r="G148" s="1049"/>
      <c r="H148" s="1049"/>
      <c r="I148" s="1226"/>
      <c r="J148" s="1050"/>
      <c r="K148" s="1049"/>
      <c r="L148" s="1049"/>
      <c r="M148" s="1049"/>
      <c r="N148" s="1049"/>
      <c r="O148" s="1049"/>
      <c r="P148" s="1049"/>
      <c r="Q148" s="1049"/>
      <c r="R148" s="1051"/>
      <c r="S148" s="216"/>
      <c r="T148" s="216"/>
      <c r="U148" s="216"/>
      <c r="V148" s="216"/>
      <c r="W148" s="216"/>
      <c r="X148" s="216"/>
      <c r="Y148" s="216"/>
      <c r="Z148" s="216"/>
      <c r="AA148" s="216"/>
      <c r="AB148" s="216"/>
      <c r="AC148" s="216"/>
      <c r="AD148" s="216"/>
      <c r="AE148" s="216"/>
    </row>
    <row r="149" spans="1:31" s="112" customFormat="1" ht="19.5" customHeight="1">
      <c r="A149" s="98">
        <v>178</v>
      </c>
      <c r="B149" s="237"/>
      <c r="C149" s="238">
        <v>1</v>
      </c>
      <c r="D149" s="493" t="s">
        <v>163</v>
      </c>
      <c r="E149" s="493"/>
      <c r="F149" s="350"/>
      <c r="G149" s="95">
        <v>1220396</v>
      </c>
      <c r="H149" s="95">
        <v>1291184</v>
      </c>
      <c r="I149" s="265">
        <v>1287824</v>
      </c>
      <c r="J149" s="274"/>
      <c r="K149" s="95"/>
      <c r="L149" s="95"/>
      <c r="M149" s="95"/>
      <c r="N149" s="95"/>
      <c r="O149" s="95"/>
      <c r="P149" s="95"/>
      <c r="Q149" s="95"/>
      <c r="R149" s="102"/>
      <c r="S149" s="218"/>
      <c r="T149" s="114"/>
      <c r="U149" s="114"/>
      <c r="V149" s="114"/>
      <c r="W149" s="114"/>
      <c r="X149" s="114"/>
      <c r="Y149" s="114"/>
      <c r="Z149" s="114"/>
      <c r="AA149" s="114"/>
      <c r="AB149" s="114"/>
      <c r="AC149" s="114"/>
      <c r="AD149" s="114"/>
      <c r="AE149" s="114"/>
    </row>
    <row r="150" spans="1:31" s="584" customFormat="1" ht="18" customHeight="1">
      <c r="A150" s="98">
        <v>179</v>
      </c>
      <c r="B150" s="574"/>
      <c r="C150" s="575"/>
      <c r="D150" s="606"/>
      <c r="E150" s="631" t="s">
        <v>303</v>
      </c>
      <c r="F150" s="578"/>
      <c r="G150" s="594"/>
      <c r="H150" s="594"/>
      <c r="I150" s="608"/>
      <c r="J150" s="609">
        <f>SUM(K150:R150)</f>
        <v>1326424</v>
      </c>
      <c r="K150" s="610">
        <f>903672+1923+174945</f>
        <v>1080540</v>
      </c>
      <c r="L150" s="610">
        <f>163052+338+30615</f>
        <v>194005</v>
      </c>
      <c r="M150" s="610">
        <v>51879</v>
      </c>
      <c r="N150" s="610"/>
      <c r="O150" s="610"/>
      <c r="P150" s="610"/>
      <c r="Q150" s="610"/>
      <c r="R150" s="611"/>
      <c r="S150" s="621"/>
      <c r="T150" s="621"/>
      <c r="U150" s="621"/>
      <c r="V150" s="621"/>
      <c r="W150" s="621"/>
      <c r="X150" s="621"/>
      <c r="Y150" s="621"/>
      <c r="Z150" s="621"/>
      <c r="AA150" s="621"/>
      <c r="AB150" s="621"/>
      <c r="AC150" s="621"/>
      <c r="AD150" s="621"/>
      <c r="AE150" s="621"/>
    </row>
    <row r="151" spans="1:31" s="584" customFormat="1" ht="18" customHeight="1">
      <c r="A151" s="98">
        <v>180</v>
      </c>
      <c r="B151" s="574"/>
      <c r="C151" s="1281"/>
      <c r="D151" s="606"/>
      <c r="E151" s="483" t="s">
        <v>994</v>
      </c>
      <c r="F151" s="578"/>
      <c r="G151" s="594"/>
      <c r="H151" s="594"/>
      <c r="I151" s="608"/>
      <c r="J151" s="266">
        <f>SUM(K151:R151)</f>
        <v>1449803</v>
      </c>
      <c r="K151" s="1038">
        <v>1159266</v>
      </c>
      <c r="L151" s="1038">
        <v>229193</v>
      </c>
      <c r="M151" s="1038">
        <v>61344</v>
      </c>
      <c r="N151" s="610"/>
      <c r="O151" s="610"/>
      <c r="P151" s="610"/>
      <c r="Q151" s="610"/>
      <c r="R151" s="611"/>
      <c r="S151" s="621"/>
      <c r="T151" s="621"/>
      <c r="U151" s="621"/>
      <c r="V151" s="621"/>
      <c r="W151" s="621"/>
      <c r="X151" s="621"/>
      <c r="Y151" s="621"/>
      <c r="Z151" s="621"/>
      <c r="AA151" s="621"/>
      <c r="AB151" s="621"/>
      <c r="AC151" s="621"/>
      <c r="AD151" s="621"/>
      <c r="AE151" s="621"/>
    </row>
    <row r="152" spans="1:31" s="31" customFormat="1" ht="18" customHeight="1">
      <c r="A152" s="98">
        <v>181</v>
      </c>
      <c r="B152" s="1018"/>
      <c r="C152" s="1031"/>
      <c r="D152" s="1031"/>
      <c r="E152" s="1020" t="s">
        <v>1035</v>
      </c>
      <c r="F152" s="243"/>
      <c r="G152" s="243"/>
      <c r="H152" s="243"/>
      <c r="I152" s="1033"/>
      <c r="J152" s="1034">
        <f>SUM(K152:R152)</f>
        <v>1261583</v>
      </c>
      <c r="K152" s="270">
        <f>1013669+1856+8460+22923</f>
        <v>1046908</v>
      </c>
      <c r="L152" s="270">
        <f>186834+325+1356+3790</f>
        <v>192305</v>
      </c>
      <c r="M152" s="270">
        <v>22370</v>
      </c>
      <c r="N152" s="270"/>
      <c r="O152" s="270"/>
      <c r="P152" s="270"/>
      <c r="Q152" s="270"/>
      <c r="R152" s="271"/>
      <c r="S152" s="113"/>
      <c r="T152" s="113"/>
      <c r="U152" s="113"/>
      <c r="V152" s="113"/>
      <c r="W152" s="113"/>
      <c r="X152" s="113"/>
      <c r="Y152" s="113"/>
      <c r="Z152" s="113"/>
      <c r="AA152" s="113"/>
      <c r="AB152" s="113"/>
      <c r="AC152" s="113"/>
      <c r="AD152" s="113"/>
      <c r="AE152" s="113"/>
    </row>
    <row r="153" spans="1:31" s="890" customFormat="1" ht="19.5" customHeight="1">
      <c r="A153" s="98">
        <v>183</v>
      </c>
      <c r="B153" s="885"/>
      <c r="C153" s="886"/>
      <c r="D153" s="884" t="s">
        <v>780</v>
      </c>
      <c r="E153" s="884"/>
      <c r="F153" s="887"/>
      <c r="G153" s="116"/>
      <c r="H153" s="116"/>
      <c r="I153" s="1227">
        <v>10996</v>
      </c>
      <c r="J153" s="274"/>
      <c r="K153" s="116"/>
      <c r="L153" s="116"/>
      <c r="M153" s="116"/>
      <c r="N153" s="116"/>
      <c r="O153" s="116"/>
      <c r="P153" s="116"/>
      <c r="Q153" s="116"/>
      <c r="R153" s="888"/>
      <c r="S153" s="960"/>
      <c r="T153" s="889"/>
      <c r="U153" s="889"/>
      <c r="V153" s="889"/>
      <c r="W153" s="889"/>
      <c r="X153" s="889"/>
      <c r="Y153" s="889"/>
      <c r="Z153" s="889"/>
      <c r="AA153" s="889"/>
      <c r="AB153" s="889"/>
      <c r="AC153" s="889"/>
      <c r="AD153" s="889"/>
      <c r="AE153" s="889"/>
    </row>
    <row r="154" spans="1:31" s="899" customFormat="1" ht="18" customHeight="1">
      <c r="A154" s="98">
        <v>184</v>
      </c>
      <c r="B154" s="891"/>
      <c r="C154" s="892"/>
      <c r="D154" s="893"/>
      <c r="E154" s="894" t="s">
        <v>303</v>
      </c>
      <c r="F154" s="579"/>
      <c r="G154" s="595"/>
      <c r="H154" s="595"/>
      <c r="I154" s="1221"/>
      <c r="J154" s="895">
        <f>SUM(K154:R154)</f>
        <v>2261</v>
      </c>
      <c r="K154" s="896">
        <v>1923</v>
      </c>
      <c r="L154" s="896">
        <v>338</v>
      </c>
      <c r="M154" s="896"/>
      <c r="N154" s="896"/>
      <c r="O154" s="896"/>
      <c r="P154" s="896"/>
      <c r="Q154" s="896"/>
      <c r="R154" s="897"/>
      <c r="S154" s="898"/>
      <c r="T154" s="898"/>
      <c r="U154" s="898"/>
      <c r="V154" s="898"/>
      <c r="W154" s="898"/>
      <c r="X154" s="898"/>
      <c r="Y154" s="898"/>
      <c r="Z154" s="898"/>
      <c r="AA154" s="898"/>
      <c r="AB154" s="898"/>
      <c r="AC154" s="898"/>
      <c r="AD154" s="898"/>
      <c r="AE154" s="898"/>
    </row>
    <row r="155" spans="1:31" s="899" customFormat="1" ht="18" customHeight="1">
      <c r="A155" s="98">
        <v>185</v>
      </c>
      <c r="B155" s="891"/>
      <c r="C155" s="1282"/>
      <c r="D155" s="893"/>
      <c r="E155" s="1044" t="s">
        <v>994</v>
      </c>
      <c r="F155" s="579"/>
      <c r="G155" s="595"/>
      <c r="H155" s="595"/>
      <c r="I155" s="1221"/>
      <c r="J155" s="274">
        <f>SUM(K155:R155)</f>
        <v>2261</v>
      </c>
      <c r="K155" s="1046">
        <v>1923</v>
      </c>
      <c r="L155" s="1046">
        <v>338</v>
      </c>
      <c r="M155" s="896"/>
      <c r="N155" s="896"/>
      <c r="O155" s="896"/>
      <c r="P155" s="896"/>
      <c r="Q155" s="896"/>
      <c r="R155" s="897"/>
      <c r="S155" s="898"/>
      <c r="T155" s="898"/>
      <c r="U155" s="898"/>
      <c r="V155" s="898"/>
      <c r="W155" s="898"/>
      <c r="X155" s="898"/>
      <c r="Y155" s="898"/>
      <c r="Z155" s="898"/>
      <c r="AA155" s="898"/>
      <c r="AB155" s="898"/>
      <c r="AC155" s="898"/>
      <c r="AD155" s="898"/>
      <c r="AE155" s="898"/>
    </row>
    <row r="156" spans="1:31" s="31" customFormat="1" ht="18" customHeight="1">
      <c r="A156" s="98">
        <v>186</v>
      </c>
      <c r="B156" s="1018"/>
      <c r="C156" s="1031"/>
      <c r="D156" s="1031"/>
      <c r="E156" s="1042" t="s">
        <v>1035</v>
      </c>
      <c r="F156" s="243"/>
      <c r="G156" s="243"/>
      <c r="H156" s="243"/>
      <c r="I156" s="1033"/>
      <c r="J156" s="1034">
        <f>SUM(K156:R156)</f>
        <v>2181</v>
      </c>
      <c r="K156" s="270">
        <v>1856</v>
      </c>
      <c r="L156" s="270">
        <v>325</v>
      </c>
      <c r="M156" s="270"/>
      <c r="N156" s="270"/>
      <c r="O156" s="270"/>
      <c r="P156" s="270"/>
      <c r="Q156" s="270"/>
      <c r="R156" s="271"/>
      <c r="S156" s="113"/>
      <c r="T156" s="113"/>
      <c r="U156" s="113"/>
      <c r="V156" s="113"/>
      <c r="W156" s="113"/>
      <c r="X156" s="113"/>
      <c r="Y156" s="113"/>
      <c r="Z156" s="113"/>
      <c r="AA156" s="113"/>
      <c r="AB156" s="113"/>
      <c r="AC156" s="113"/>
      <c r="AD156" s="113"/>
      <c r="AE156" s="113"/>
    </row>
    <row r="157" spans="1:31" s="890" customFormat="1" ht="19.5" customHeight="1">
      <c r="A157" s="98">
        <v>188</v>
      </c>
      <c r="B157" s="885"/>
      <c r="C157" s="886"/>
      <c r="D157" s="884" t="s">
        <v>781</v>
      </c>
      <c r="E157" s="884"/>
      <c r="F157" s="887"/>
      <c r="G157" s="116"/>
      <c r="H157" s="116"/>
      <c r="I157" s="1227"/>
      <c r="J157" s="274"/>
      <c r="K157" s="116"/>
      <c r="L157" s="116"/>
      <c r="M157" s="116"/>
      <c r="N157" s="116"/>
      <c r="O157" s="116"/>
      <c r="P157" s="116"/>
      <c r="Q157" s="116"/>
      <c r="R157" s="888"/>
      <c r="S157" s="960"/>
      <c r="T157" s="889"/>
      <c r="U157" s="889"/>
      <c r="V157" s="889"/>
      <c r="W157" s="889"/>
      <c r="X157" s="889"/>
      <c r="Y157" s="889"/>
      <c r="Z157" s="889"/>
      <c r="AA157" s="889"/>
      <c r="AB157" s="889"/>
      <c r="AC157" s="889"/>
      <c r="AD157" s="889"/>
      <c r="AE157" s="889"/>
    </row>
    <row r="158" spans="1:31" s="899" customFormat="1" ht="18" customHeight="1">
      <c r="A158" s="98">
        <v>189</v>
      </c>
      <c r="B158" s="891"/>
      <c r="C158" s="892"/>
      <c r="D158" s="893"/>
      <c r="E158" s="894" t="s">
        <v>303</v>
      </c>
      <c r="F158" s="579"/>
      <c r="G158" s="595"/>
      <c r="H158" s="595"/>
      <c r="I158" s="1221"/>
      <c r="J158" s="895">
        <f>SUM(K158:R158)</f>
        <v>205560</v>
      </c>
      <c r="K158" s="896">
        <v>174945</v>
      </c>
      <c r="L158" s="896">
        <v>30615</v>
      </c>
      <c r="M158" s="896"/>
      <c r="N158" s="896"/>
      <c r="O158" s="896"/>
      <c r="P158" s="896"/>
      <c r="Q158" s="896"/>
      <c r="R158" s="897"/>
      <c r="S158" s="898"/>
      <c r="T158" s="898"/>
      <c r="U158" s="898"/>
      <c r="V158" s="898"/>
      <c r="W158" s="898"/>
      <c r="X158" s="898"/>
      <c r="Y158" s="898"/>
      <c r="Z158" s="898"/>
      <c r="AA158" s="898"/>
      <c r="AB158" s="898"/>
      <c r="AC158" s="898"/>
      <c r="AD158" s="898"/>
      <c r="AE158" s="898"/>
    </row>
    <row r="159" spans="1:31" s="899" customFormat="1" ht="18" customHeight="1">
      <c r="A159" s="98">
        <v>190</v>
      </c>
      <c r="B159" s="891"/>
      <c r="C159" s="1282"/>
      <c r="D159" s="893"/>
      <c r="E159" s="1044" t="s">
        <v>994</v>
      </c>
      <c r="F159" s="579"/>
      <c r="G159" s="595"/>
      <c r="H159" s="595"/>
      <c r="I159" s="1221"/>
      <c r="J159" s="274">
        <f>SUM(K159:R159)</f>
        <v>13344</v>
      </c>
      <c r="K159" s="1046">
        <v>11276</v>
      </c>
      <c r="L159" s="1046">
        <v>2068</v>
      </c>
      <c r="M159" s="896"/>
      <c r="N159" s="896"/>
      <c r="O159" s="896"/>
      <c r="P159" s="896"/>
      <c r="Q159" s="896"/>
      <c r="R159" s="897"/>
      <c r="S159" s="898"/>
      <c r="T159" s="898"/>
      <c r="U159" s="898"/>
      <c r="V159" s="898"/>
      <c r="W159" s="898"/>
      <c r="X159" s="898"/>
      <c r="Y159" s="898"/>
      <c r="Z159" s="898"/>
      <c r="AA159" s="898"/>
      <c r="AB159" s="898"/>
      <c r="AC159" s="898"/>
      <c r="AD159" s="898"/>
      <c r="AE159" s="898"/>
    </row>
    <row r="160" spans="1:31" s="31" customFormat="1" ht="18" customHeight="1">
      <c r="A160" s="98">
        <v>191</v>
      </c>
      <c r="B160" s="1018"/>
      <c r="C160" s="1031"/>
      <c r="D160" s="1031"/>
      <c r="E160" s="1042" t="s">
        <v>1035</v>
      </c>
      <c r="F160" s="243"/>
      <c r="G160" s="243"/>
      <c r="H160" s="243"/>
      <c r="I160" s="1033"/>
      <c r="J160" s="1034">
        <f>SUM(K160:R160)</f>
        <v>9817</v>
      </c>
      <c r="K160" s="270">
        <v>8460</v>
      </c>
      <c r="L160" s="270">
        <v>1357</v>
      </c>
      <c r="M160" s="270"/>
      <c r="N160" s="270"/>
      <c r="O160" s="270"/>
      <c r="P160" s="270"/>
      <c r="Q160" s="270"/>
      <c r="R160" s="271"/>
      <c r="S160" s="113"/>
      <c r="T160" s="113"/>
      <c r="U160" s="113"/>
      <c r="V160" s="113"/>
      <c r="W160" s="113"/>
      <c r="X160" s="113"/>
      <c r="Y160" s="113"/>
      <c r="Z160" s="113"/>
      <c r="AA160" s="113"/>
      <c r="AB160" s="113"/>
      <c r="AC160" s="113"/>
      <c r="AD160" s="113"/>
      <c r="AE160" s="113"/>
    </row>
    <row r="161" spans="1:31" s="35" customFormat="1" ht="18" customHeight="1">
      <c r="A161" s="98">
        <v>193</v>
      </c>
      <c r="B161" s="267"/>
      <c r="C161" s="1043"/>
      <c r="D161" s="884" t="s">
        <v>975</v>
      </c>
      <c r="E161" s="884"/>
      <c r="F161" s="1045"/>
      <c r="G161" s="1045"/>
      <c r="H161" s="1045"/>
      <c r="I161" s="1222"/>
      <c r="J161" s="274"/>
      <c r="K161" s="1046"/>
      <c r="L161" s="1046"/>
      <c r="M161" s="1046"/>
      <c r="N161" s="1046"/>
      <c r="O161" s="1046"/>
      <c r="P161" s="1046"/>
      <c r="Q161" s="1046"/>
      <c r="R161" s="1047"/>
      <c r="S161" s="268"/>
      <c r="T161" s="268"/>
      <c r="U161" s="268"/>
      <c r="V161" s="268"/>
      <c r="W161" s="268"/>
      <c r="X161" s="268"/>
      <c r="Y161" s="268"/>
      <c r="Z161" s="268"/>
      <c r="AA161" s="268"/>
      <c r="AB161" s="268"/>
      <c r="AC161" s="268"/>
      <c r="AD161" s="268"/>
      <c r="AE161" s="268"/>
    </row>
    <row r="162" spans="1:31" s="35" customFormat="1" ht="18" customHeight="1">
      <c r="A162" s="98">
        <v>194</v>
      </c>
      <c r="B162" s="267"/>
      <c r="C162" s="1043"/>
      <c r="D162" s="1390"/>
      <c r="E162" s="1044" t="s">
        <v>994</v>
      </c>
      <c r="F162" s="1045"/>
      <c r="G162" s="1045"/>
      <c r="H162" s="1045"/>
      <c r="I162" s="1222"/>
      <c r="J162" s="274">
        <f>SUM(K162:R162)</f>
        <v>28984</v>
      </c>
      <c r="K162" s="1046">
        <v>25000</v>
      </c>
      <c r="L162" s="1046">
        <v>3984</v>
      </c>
      <c r="M162" s="1046"/>
      <c r="N162" s="1046"/>
      <c r="O162" s="1046"/>
      <c r="P162" s="1046"/>
      <c r="Q162" s="1046"/>
      <c r="R162" s="1047"/>
      <c r="S162" s="268"/>
      <c r="T162" s="268"/>
      <c r="U162" s="268"/>
      <c r="V162" s="268"/>
      <c r="W162" s="268"/>
      <c r="X162" s="268"/>
      <c r="Y162" s="268"/>
      <c r="Z162" s="268"/>
      <c r="AA162" s="268"/>
      <c r="AB162" s="268"/>
      <c r="AC162" s="268"/>
      <c r="AD162" s="268"/>
      <c r="AE162" s="268"/>
    </row>
    <row r="163" spans="1:31" s="35" customFormat="1" ht="18" customHeight="1">
      <c r="A163" s="98">
        <v>195</v>
      </c>
      <c r="B163" s="267"/>
      <c r="C163" s="1043"/>
      <c r="D163" s="1031"/>
      <c r="E163" s="1042" t="s">
        <v>1035</v>
      </c>
      <c r="F163" s="1045"/>
      <c r="G163" s="1045"/>
      <c r="H163" s="1045"/>
      <c r="I163" s="1222"/>
      <c r="J163" s="1034">
        <f>SUM(K163:R163)</f>
        <v>26713</v>
      </c>
      <c r="K163" s="270">
        <v>22923</v>
      </c>
      <c r="L163" s="270">
        <v>3790</v>
      </c>
      <c r="M163" s="1046"/>
      <c r="N163" s="1046"/>
      <c r="O163" s="1046"/>
      <c r="P163" s="1046"/>
      <c r="Q163" s="1046"/>
      <c r="R163" s="1047"/>
      <c r="S163" s="268"/>
      <c r="T163" s="268"/>
      <c r="U163" s="268"/>
      <c r="V163" s="268"/>
      <c r="W163" s="268"/>
      <c r="X163" s="268"/>
      <c r="Y163" s="268"/>
      <c r="Z163" s="268"/>
      <c r="AA163" s="268"/>
      <c r="AB163" s="268"/>
      <c r="AC163" s="268"/>
      <c r="AD163" s="268"/>
      <c r="AE163" s="268"/>
    </row>
    <row r="164" spans="1:31" s="34" customFormat="1" ht="19.5" customHeight="1">
      <c r="A164" s="98">
        <v>197</v>
      </c>
      <c r="B164" s="237"/>
      <c r="C164" s="238">
        <v>2</v>
      </c>
      <c r="D164" s="493" t="s">
        <v>164</v>
      </c>
      <c r="E164" s="493"/>
      <c r="F164" s="350"/>
      <c r="G164" s="95">
        <v>121346</v>
      </c>
      <c r="H164" s="95">
        <v>164570</v>
      </c>
      <c r="I164" s="265">
        <v>129126</v>
      </c>
      <c r="J164" s="274"/>
      <c r="K164" s="95"/>
      <c r="L164" s="95"/>
      <c r="M164" s="95"/>
      <c r="N164" s="95"/>
      <c r="O164" s="95"/>
      <c r="P164" s="95"/>
      <c r="Q164" s="95"/>
      <c r="R164" s="102"/>
      <c r="S164" s="220"/>
      <c r="T164" s="220"/>
      <c r="U164" s="220"/>
      <c r="V164" s="220"/>
      <c r="W164" s="220"/>
      <c r="X164" s="220"/>
      <c r="Y164" s="220"/>
      <c r="Z164" s="220"/>
      <c r="AA164" s="220"/>
      <c r="AB164" s="220"/>
      <c r="AC164" s="220"/>
      <c r="AD164" s="220"/>
      <c r="AE164" s="220"/>
    </row>
    <row r="165" spans="1:31" s="584" customFormat="1" ht="18" customHeight="1">
      <c r="A165" s="98">
        <v>198</v>
      </c>
      <c r="B165" s="574"/>
      <c r="C165" s="575"/>
      <c r="D165" s="606"/>
      <c r="E165" s="631" t="s">
        <v>303</v>
      </c>
      <c r="F165" s="578"/>
      <c r="G165" s="594"/>
      <c r="H165" s="594"/>
      <c r="I165" s="608"/>
      <c r="J165" s="609">
        <f>SUM(K165:R165)</f>
        <v>185553</v>
      </c>
      <c r="K165" s="610">
        <v>3200</v>
      </c>
      <c r="L165" s="610">
        <v>1471</v>
      </c>
      <c r="M165" s="610">
        <v>164897</v>
      </c>
      <c r="N165" s="610"/>
      <c r="O165" s="610"/>
      <c r="P165" s="610">
        <v>15985</v>
      </c>
      <c r="Q165" s="610"/>
      <c r="R165" s="611"/>
      <c r="S165" s="621"/>
      <c r="T165" s="621"/>
      <c r="U165" s="621"/>
      <c r="V165" s="621"/>
      <c r="W165" s="621"/>
      <c r="X165" s="621"/>
      <c r="Y165" s="621"/>
      <c r="Z165" s="621"/>
      <c r="AA165" s="621"/>
      <c r="AB165" s="621"/>
      <c r="AC165" s="621"/>
      <c r="AD165" s="621"/>
      <c r="AE165" s="621"/>
    </row>
    <row r="166" spans="1:31" s="584" customFormat="1" ht="18" customHeight="1">
      <c r="A166" s="98">
        <v>199</v>
      </c>
      <c r="B166" s="574"/>
      <c r="C166" s="1281"/>
      <c r="D166" s="606"/>
      <c r="E166" s="483" t="s">
        <v>994</v>
      </c>
      <c r="F166" s="578"/>
      <c r="G166" s="594"/>
      <c r="H166" s="594"/>
      <c r="I166" s="608"/>
      <c r="J166" s="266">
        <f>SUM(K166:R166)</f>
        <v>281698</v>
      </c>
      <c r="K166" s="1038">
        <v>3311</v>
      </c>
      <c r="L166" s="1038">
        <v>1971</v>
      </c>
      <c r="M166" s="1038">
        <v>267933</v>
      </c>
      <c r="N166" s="1038"/>
      <c r="O166" s="1038"/>
      <c r="P166" s="1038">
        <v>8483</v>
      </c>
      <c r="Q166" s="610"/>
      <c r="R166" s="611"/>
      <c r="S166" s="621"/>
      <c r="T166" s="621"/>
      <c r="U166" s="621"/>
      <c r="V166" s="621"/>
      <c r="W166" s="621"/>
      <c r="X166" s="621"/>
      <c r="Y166" s="621"/>
      <c r="Z166" s="621"/>
      <c r="AA166" s="621"/>
      <c r="AB166" s="621"/>
      <c r="AC166" s="621"/>
      <c r="AD166" s="621"/>
      <c r="AE166" s="621"/>
    </row>
    <row r="167" spans="1:31" s="31" customFormat="1" ht="18" customHeight="1">
      <c r="A167" s="98">
        <v>200</v>
      </c>
      <c r="B167" s="1018"/>
      <c r="C167" s="1031"/>
      <c r="D167" s="1031"/>
      <c r="E167" s="1032" t="s">
        <v>1035</v>
      </c>
      <c r="F167" s="243"/>
      <c r="G167" s="243"/>
      <c r="H167" s="243"/>
      <c r="I167" s="1033"/>
      <c r="J167" s="1034">
        <f>SUM(K167:R167)</f>
        <v>135967</v>
      </c>
      <c r="K167" s="270">
        <v>3221</v>
      </c>
      <c r="L167" s="270">
        <v>1647</v>
      </c>
      <c r="M167" s="270">
        <v>129077</v>
      </c>
      <c r="N167" s="270"/>
      <c r="O167" s="270"/>
      <c r="P167" s="270">
        <v>2022</v>
      </c>
      <c r="Q167" s="270"/>
      <c r="R167" s="271"/>
      <c r="S167" s="113"/>
      <c r="T167" s="113"/>
      <c r="U167" s="113"/>
      <c r="V167" s="113"/>
      <c r="W167" s="113"/>
      <c r="X167" s="113"/>
      <c r="Y167" s="113"/>
      <c r="Z167" s="113"/>
      <c r="AA167" s="113"/>
      <c r="AB167" s="113"/>
      <c r="AC167" s="113"/>
      <c r="AD167" s="113"/>
      <c r="AE167" s="113"/>
    </row>
    <row r="168" spans="1:31" s="34" customFormat="1" ht="19.5" customHeight="1">
      <c r="A168" s="98">
        <v>202</v>
      </c>
      <c r="B168" s="237"/>
      <c r="C168" s="238">
        <v>3</v>
      </c>
      <c r="D168" s="493" t="s">
        <v>35</v>
      </c>
      <c r="E168" s="493"/>
      <c r="F168" s="350"/>
      <c r="G168" s="95">
        <v>81896</v>
      </c>
      <c r="H168" s="95">
        <v>96571</v>
      </c>
      <c r="I168" s="265">
        <v>96889</v>
      </c>
      <c r="J168" s="274"/>
      <c r="K168" s="95"/>
      <c r="L168" s="95"/>
      <c r="M168" s="95"/>
      <c r="N168" s="95"/>
      <c r="O168" s="95"/>
      <c r="P168" s="95"/>
      <c r="Q168" s="95"/>
      <c r="R168" s="102"/>
      <c r="S168" s="220"/>
      <c r="T168" s="220"/>
      <c r="U168" s="220"/>
      <c r="V168" s="220"/>
      <c r="W168" s="220"/>
      <c r="X168" s="220"/>
      <c r="Y168" s="220"/>
      <c r="Z168" s="220"/>
      <c r="AA168" s="220"/>
      <c r="AB168" s="220"/>
      <c r="AC168" s="220"/>
      <c r="AD168" s="220"/>
      <c r="AE168" s="220"/>
    </row>
    <row r="169" spans="1:31" s="584" customFormat="1" ht="18" customHeight="1">
      <c r="A169" s="98">
        <v>203</v>
      </c>
      <c r="B169" s="574"/>
      <c r="C169" s="575"/>
      <c r="D169" s="606"/>
      <c r="E169" s="631" t="s">
        <v>303</v>
      </c>
      <c r="F169" s="578"/>
      <c r="G169" s="594"/>
      <c r="H169" s="594"/>
      <c r="I169" s="608"/>
      <c r="J169" s="609">
        <f>SUM(K169:R169)</f>
        <v>91571</v>
      </c>
      <c r="K169" s="610"/>
      <c r="L169" s="610"/>
      <c r="M169" s="610">
        <v>73191</v>
      </c>
      <c r="N169" s="610"/>
      <c r="O169" s="610"/>
      <c r="P169" s="610">
        <v>18380</v>
      </c>
      <c r="Q169" s="610"/>
      <c r="R169" s="611"/>
      <c r="S169" s="621"/>
      <c r="T169" s="621"/>
      <c r="U169" s="621"/>
      <c r="V169" s="621"/>
      <c r="W169" s="621"/>
      <c r="X169" s="621"/>
      <c r="Y169" s="621"/>
      <c r="Z169" s="621"/>
      <c r="AA169" s="621"/>
      <c r="AB169" s="621"/>
      <c r="AC169" s="621"/>
      <c r="AD169" s="621"/>
      <c r="AE169" s="621"/>
    </row>
    <row r="170" spans="1:31" s="584" customFormat="1" ht="18" customHeight="1">
      <c r="A170" s="98">
        <v>204</v>
      </c>
      <c r="B170" s="574"/>
      <c r="C170" s="1281"/>
      <c r="D170" s="606"/>
      <c r="E170" s="483" t="s">
        <v>994</v>
      </c>
      <c r="F170" s="578"/>
      <c r="G170" s="594"/>
      <c r="H170" s="594"/>
      <c r="I170" s="608"/>
      <c r="J170" s="266">
        <f>SUM(K170:R170)</f>
        <v>117796</v>
      </c>
      <c r="K170" s="610"/>
      <c r="L170" s="610"/>
      <c r="M170" s="1038">
        <v>93722</v>
      </c>
      <c r="N170" s="1038"/>
      <c r="O170" s="1038"/>
      <c r="P170" s="1038">
        <v>24074</v>
      </c>
      <c r="Q170" s="610"/>
      <c r="R170" s="611"/>
      <c r="S170" s="621"/>
      <c r="T170" s="621"/>
      <c r="U170" s="621"/>
      <c r="V170" s="621"/>
      <c r="W170" s="621"/>
      <c r="X170" s="621"/>
      <c r="Y170" s="621"/>
      <c r="Z170" s="621"/>
      <c r="AA170" s="621"/>
      <c r="AB170" s="621"/>
      <c r="AC170" s="621"/>
      <c r="AD170" s="621"/>
      <c r="AE170" s="621"/>
    </row>
    <row r="171" spans="1:31" s="31" customFormat="1" ht="18" customHeight="1">
      <c r="A171" s="98">
        <v>205</v>
      </c>
      <c r="B171" s="1018"/>
      <c r="C171" s="1031"/>
      <c r="D171" s="1031"/>
      <c r="E171" s="1032" t="s">
        <v>1036</v>
      </c>
      <c r="F171" s="243"/>
      <c r="G171" s="243"/>
      <c r="H171" s="243"/>
      <c r="I171" s="1033"/>
      <c r="J171" s="1034">
        <f>SUM(K171:R171)</f>
        <v>85976</v>
      </c>
      <c r="K171" s="270"/>
      <c r="L171" s="270"/>
      <c r="M171" s="270">
        <v>71127</v>
      </c>
      <c r="N171" s="270"/>
      <c r="O171" s="270"/>
      <c r="P171" s="270">
        <v>14849</v>
      </c>
      <c r="Q171" s="270"/>
      <c r="R171" s="271"/>
      <c r="S171" s="113"/>
      <c r="T171" s="113"/>
      <c r="U171" s="113"/>
      <c r="V171" s="113"/>
      <c r="W171" s="113"/>
      <c r="X171" s="113"/>
      <c r="Y171" s="113"/>
      <c r="Z171" s="113"/>
      <c r="AA171" s="113"/>
      <c r="AB171" s="113"/>
      <c r="AC171" s="113"/>
      <c r="AD171" s="113"/>
      <c r="AE171" s="113"/>
    </row>
    <row r="172" spans="1:31" s="34" customFormat="1" ht="19.5" customHeight="1">
      <c r="A172" s="98">
        <v>207</v>
      </c>
      <c r="B172" s="237"/>
      <c r="C172" s="238">
        <v>4</v>
      </c>
      <c r="D172" s="493" t="s">
        <v>165</v>
      </c>
      <c r="E172" s="493"/>
      <c r="F172" s="350"/>
      <c r="G172" s="95">
        <v>2690</v>
      </c>
      <c r="H172" s="95">
        <v>6350</v>
      </c>
      <c r="I172" s="265">
        <v>2385</v>
      </c>
      <c r="J172" s="274"/>
      <c r="K172" s="95"/>
      <c r="L172" s="95"/>
      <c r="M172" s="95"/>
      <c r="N172" s="95"/>
      <c r="O172" s="95"/>
      <c r="P172" s="95"/>
      <c r="Q172" s="95"/>
      <c r="R172" s="102"/>
      <c r="S172" s="220"/>
      <c r="T172" s="220"/>
      <c r="U172" s="220"/>
      <c r="V172" s="220"/>
      <c r="W172" s="220"/>
      <c r="X172" s="220"/>
      <c r="Y172" s="220"/>
      <c r="Z172" s="220"/>
      <c r="AA172" s="220"/>
      <c r="AB172" s="220"/>
      <c r="AC172" s="220"/>
      <c r="AD172" s="220"/>
      <c r="AE172" s="220"/>
    </row>
    <row r="173" spans="1:31" s="584" customFormat="1" ht="18" customHeight="1">
      <c r="A173" s="98">
        <v>208</v>
      </c>
      <c r="B173" s="574"/>
      <c r="C173" s="575"/>
      <c r="D173" s="606"/>
      <c r="E173" s="631" t="s">
        <v>303</v>
      </c>
      <c r="F173" s="578"/>
      <c r="G173" s="594"/>
      <c r="H173" s="594"/>
      <c r="I173" s="608"/>
      <c r="J173" s="609">
        <f>SUM(K173:R173)</f>
        <v>7800</v>
      </c>
      <c r="K173" s="610"/>
      <c r="L173" s="610"/>
      <c r="M173" s="610">
        <v>7800</v>
      </c>
      <c r="N173" s="610"/>
      <c r="O173" s="610"/>
      <c r="P173" s="610"/>
      <c r="Q173" s="610"/>
      <c r="R173" s="611"/>
      <c r="S173" s="621"/>
      <c r="T173" s="621"/>
      <c r="U173" s="621"/>
      <c r="V173" s="621"/>
      <c r="W173" s="621"/>
      <c r="X173" s="621"/>
      <c r="Y173" s="621"/>
      <c r="Z173" s="621"/>
      <c r="AA173" s="621"/>
      <c r="AB173" s="621"/>
      <c r="AC173" s="621"/>
      <c r="AD173" s="621"/>
      <c r="AE173" s="621"/>
    </row>
    <row r="174" spans="1:31" s="584" customFormat="1" ht="18" customHeight="1">
      <c r="A174" s="98">
        <v>209</v>
      </c>
      <c r="B174" s="574"/>
      <c r="C174" s="1281"/>
      <c r="D174" s="606"/>
      <c r="E174" s="483" t="s">
        <v>994</v>
      </c>
      <c r="F174" s="578"/>
      <c r="G174" s="594"/>
      <c r="H174" s="594"/>
      <c r="I174" s="608"/>
      <c r="J174" s="266">
        <f>SUM(K174:R174)</f>
        <v>13972</v>
      </c>
      <c r="K174" s="610"/>
      <c r="L174" s="610"/>
      <c r="M174" s="1038">
        <v>13972</v>
      </c>
      <c r="N174" s="610"/>
      <c r="O174" s="610"/>
      <c r="P174" s="610"/>
      <c r="Q174" s="610"/>
      <c r="R174" s="611"/>
      <c r="S174" s="621"/>
      <c r="T174" s="621"/>
      <c r="U174" s="621"/>
      <c r="V174" s="621"/>
      <c r="W174" s="621"/>
      <c r="X174" s="621"/>
      <c r="Y174" s="621"/>
      <c r="Z174" s="621"/>
      <c r="AA174" s="621"/>
      <c r="AB174" s="621"/>
      <c r="AC174" s="621"/>
      <c r="AD174" s="621"/>
      <c r="AE174" s="621"/>
    </row>
    <row r="175" spans="1:31" s="31" customFormat="1" ht="18" customHeight="1">
      <c r="A175" s="98">
        <v>210</v>
      </c>
      <c r="B175" s="1018"/>
      <c r="C175" s="1031"/>
      <c r="D175" s="1031"/>
      <c r="E175" s="1032" t="s">
        <v>1035</v>
      </c>
      <c r="F175" s="243"/>
      <c r="G175" s="243"/>
      <c r="H175" s="243"/>
      <c r="I175" s="1033"/>
      <c r="J175" s="1034">
        <f>SUM(K175:R175)</f>
        <v>71</v>
      </c>
      <c r="K175" s="270"/>
      <c r="L175" s="270"/>
      <c r="M175" s="270">
        <v>71</v>
      </c>
      <c r="N175" s="270"/>
      <c r="O175" s="270"/>
      <c r="P175" s="270"/>
      <c r="Q175" s="270"/>
      <c r="R175" s="271"/>
      <c r="S175" s="113"/>
      <c r="T175" s="113"/>
      <c r="U175" s="113"/>
      <c r="V175" s="113"/>
      <c r="W175" s="113"/>
      <c r="X175" s="113"/>
      <c r="Y175" s="113"/>
      <c r="Z175" s="113"/>
      <c r="AA175" s="113"/>
      <c r="AB175" s="113"/>
      <c r="AC175" s="113"/>
      <c r="AD175" s="113"/>
      <c r="AE175" s="113"/>
    </row>
    <row r="176" spans="1:31" s="34" customFormat="1" ht="30" customHeight="1">
      <c r="A176" s="98">
        <v>212</v>
      </c>
      <c r="B176" s="357"/>
      <c r="C176" s="241">
        <v>5</v>
      </c>
      <c r="D176" s="2074" t="s">
        <v>360</v>
      </c>
      <c r="E176" s="2075"/>
      <c r="F176" s="494"/>
      <c r="G176" s="242">
        <v>1577</v>
      </c>
      <c r="H176" s="242"/>
      <c r="I176" s="1228"/>
      <c r="J176" s="266"/>
      <c r="K176" s="275"/>
      <c r="L176" s="275"/>
      <c r="M176" s="275"/>
      <c r="N176" s="275"/>
      <c r="O176" s="275"/>
      <c r="P176" s="275"/>
      <c r="Q176" s="275"/>
      <c r="R176" s="276"/>
      <c r="S176" s="220"/>
      <c r="T176" s="220"/>
      <c r="U176" s="220"/>
      <c r="V176" s="220"/>
      <c r="W176" s="220"/>
      <c r="X176" s="220"/>
      <c r="Y176" s="220"/>
      <c r="Z176" s="220"/>
      <c r="AA176" s="220"/>
      <c r="AB176" s="220"/>
      <c r="AC176" s="220"/>
      <c r="AD176" s="220"/>
      <c r="AE176" s="220"/>
    </row>
    <row r="177" spans="1:31" s="34" customFormat="1" ht="19.5" customHeight="1">
      <c r="A177" s="98">
        <v>213</v>
      </c>
      <c r="B177" s="357"/>
      <c r="C177" s="238">
        <v>6</v>
      </c>
      <c r="D177" s="493" t="s">
        <v>357</v>
      </c>
      <c r="E177" s="493"/>
      <c r="F177" s="350"/>
      <c r="G177" s="242">
        <v>4167</v>
      </c>
      <c r="H177" s="242">
        <v>2495</v>
      </c>
      <c r="I177" s="1228"/>
      <c r="J177" s="266"/>
      <c r="K177" s="275"/>
      <c r="L177" s="275"/>
      <c r="M177" s="275"/>
      <c r="N177" s="275"/>
      <c r="O177" s="275"/>
      <c r="P177" s="275"/>
      <c r="Q177" s="275"/>
      <c r="R177" s="276"/>
      <c r="S177" s="220"/>
      <c r="T177" s="220"/>
      <c r="U177" s="220"/>
      <c r="V177" s="220"/>
      <c r="W177" s="220"/>
      <c r="X177" s="220"/>
      <c r="Y177" s="220"/>
      <c r="Z177" s="220"/>
      <c r="AA177" s="220"/>
      <c r="AB177" s="220"/>
      <c r="AC177" s="220"/>
      <c r="AD177" s="220"/>
      <c r="AE177" s="220"/>
    </row>
    <row r="178" spans="1:31" s="34" customFormat="1" ht="30" customHeight="1">
      <c r="A178" s="98">
        <v>214</v>
      </c>
      <c r="B178" s="357"/>
      <c r="C178" s="241">
        <v>7</v>
      </c>
      <c r="D178" s="2039" t="s">
        <v>559</v>
      </c>
      <c r="E178" s="2040"/>
      <c r="F178" s="350"/>
      <c r="G178" s="242"/>
      <c r="H178" s="242">
        <v>8475</v>
      </c>
      <c r="I178" s="1228"/>
      <c r="J178" s="266"/>
      <c r="K178" s="264"/>
      <c r="L178" s="264"/>
      <c r="M178" s="275"/>
      <c r="N178" s="275"/>
      <c r="O178" s="275"/>
      <c r="P178" s="275"/>
      <c r="Q178" s="275"/>
      <c r="R178" s="276"/>
      <c r="S178" s="220"/>
      <c r="T178" s="220"/>
      <c r="U178" s="220"/>
      <c r="V178" s="220"/>
      <c r="W178" s="220"/>
      <c r="X178" s="220"/>
      <c r="Y178" s="220"/>
      <c r="Z178" s="220"/>
      <c r="AA178" s="220"/>
      <c r="AB178" s="220"/>
      <c r="AC178" s="220"/>
      <c r="AD178" s="220"/>
      <c r="AE178" s="220"/>
    </row>
    <row r="179" spans="1:31" s="613" customFormat="1" ht="18" customHeight="1">
      <c r="A179" s="98">
        <v>215</v>
      </c>
      <c r="B179" s="574"/>
      <c r="C179" s="575"/>
      <c r="D179" s="606"/>
      <c r="E179" s="631" t="s">
        <v>303</v>
      </c>
      <c r="F179" s="632"/>
      <c r="G179" s="594"/>
      <c r="H179" s="594"/>
      <c r="I179" s="608"/>
      <c r="J179" s="609">
        <f>SUM(K179:R179)</f>
        <v>13852</v>
      </c>
      <c r="K179" s="629">
        <v>11592</v>
      </c>
      <c r="L179" s="629">
        <v>2260</v>
      </c>
      <c r="M179" s="629"/>
      <c r="N179" s="629"/>
      <c r="O179" s="629"/>
      <c r="P179" s="629"/>
      <c r="Q179" s="629"/>
      <c r="R179" s="630"/>
      <c r="S179" s="612"/>
      <c r="T179" s="612"/>
      <c r="U179" s="612"/>
      <c r="V179" s="612"/>
      <c r="W179" s="612"/>
      <c r="X179" s="612"/>
      <c r="Y179" s="612"/>
      <c r="Z179" s="612"/>
      <c r="AA179" s="612"/>
      <c r="AB179" s="612"/>
      <c r="AC179" s="612"/>
      <c r="AD179" s="612"/>
      <c r="AE179" s="612"/>
    </row>
    <row r="180" spans="1:31" s="613" customFormat="1" ht="18" customHeight="1">
      <c r="A180" s="98">
        <v>216</v>
      </c>
      <c r="B180" s="574"/>
      <c r="C180" s="1281"/>
      <c r="D180" s="606"/>
      <c r="E180" s="483" t="s">
        <v>994</v>
      </c>
      <c r="F180" s="632"/>
      <c r="G180" s="594"/>
      <c r="H180" s="594"/>
      <c r="I180" s="608"/>
      <c r="J180" s="266">
        <f>SUM(K180:R180)</f>
        <v>0</v>
      </c>
      <c r="K180" s="275">
        <v>0</v>
      </c>
      <c r="L180" s="275">
        <v>0</v>
      </c>
      <c r="M180" s="629"/>
      <c r="N180" s="629"/>
      <c r="O180" s="629"/>
      <c r="P180" s="629"/>
      <c r="Q180" s="629"/>
      <c r="R180" s="630"/>
      <c r="S180" s="612"/>
      <c r="T180" s="612"/>
      <c r="U180" s="612"/>
      <c r="V180" s="612"/>
      <c r="W180" s="612"/>
      <c r="X180" s="612"/>
      <c r="Y180" s="612"/>
      <c r="Z180" s="612"/>
      <c r="AA180" s="612"/>
      <c r="AB180" s="612"/>
      <c r="AC180" s="612"/>
      <c r="AD180" s="612"/>
      <c r="AE180" s="612"/>
    </row>
    <row r="181" spans="1:31" s="31" customFormat="1" ht="18" customHeight="1">
      <c r="A181" s="98">
        <v>217</v>
      </c>
      <c r="B181" s="1018"/>
      <c r="C181" s="1031"/>
      <c r="D181" s="1031"/>
      <c r="E181" s="1032" t="s">
        <v>1035</v>
      </c>
      <c r="F181" s="243"/>
      <c r="G181" s="243"/>
      <c r="H181" s="243"/>
      <c r="I181" s="1033"/>
      <c r="J181" s="1034">
        <f>SUM(K181:R181)</f>
        <v>0</v>
      </c>
      <c r="K181" s="270">
        <v>0</v>
      </c>
      <c r="L181" s="270">
        <v>0</v>
      </c>
      <c r="M181" s="270"/>
      <c r="N181" s="270"/>
      <c r="O181" s="270"/>
      <c r="P181" s="270"/>
      <c r="Q181" s="270"/>
      <c r="R181" s="271"/>
      <c r="S181" s="113"/>
      <c r="T181" s="113"/>
      <c r="U181" s="113"/>
      <c r="V181" s="113"/>
      <c r="W181" s="113"/>
      <c r="X181" s="113"/>
      <c r="Y181" s="113"/>
      <c r="Z181" s="113"/>
      <c r="AA181" s="113"/>
      <c r="AB181" s="113"/>
      <c r="AC181" s="113"/>
      <c r="AD181" s="113"/>
      <c r="AE181" s="113"/>
    </row>
    <row r="182" spans="1:31" s="34" customFormat="1" ht="30" customHeight="1">
      <c r="A182" s="98">
        <v>219</v>
      </c>
      <c r="B182" s="357"/>
      <c r="C182" s="241">
        <v>8</v>
      </c>
      <c r="D182" s="2039" t="s">
        <v>560</v>
      </c>
      <c r="E182" s="2040"/>
      <c r="F182" s="350"/>
      <c r="G182" s="242"/>
      <c r="H182" s="242">
        <v>3250</v>
      </c>
      <c r="I182" s="1228"/>
      <c r="J182" s="266"/>
      <c r="K182" s="264"/>
      <c r="L182" s="264"/>
      <c r="M182" s="275"/>
      <c r="N182" s="275"/>
      <c r="O182" s="275"/>
      <c r="P182" s="275"/>
      <c r="Q182" s="275"/>
      <c r="R182" s="276"/>
      <c r="S182" s="220"/>
      <c r="T182" s="220"/>
      <c r="U182" s="220"/>
      <c r="V182" s="220"/>
      <c r="W182" s="220"/>
      <c r="X182" s="220"/>
      <c r="Y182" s="220"/>
      <c r="Z182" s="220"/>
      <c r="AA182" s="220"/>
      <c r="AB182" s="220"/>
      <c r="AC182" s="220"/>
      <c r="AD182" s="220"/>
      <c r="AE182" s="220"/>
    </row>
    <row r="183" spans="1:31" s="613" customFormat="1" ht="18" customHeight="1">
      <c r="A183" s="98">
        <v>220</v>
      </c>
      <c r="B183" s="574"/>
      <c r="C183" s="575"/>
      <c r="D183" s="606"/>
      <c r="E183" s="631" t="s">
        <v>303</v>
      </c>
      <c r="F183" s="632"/>
      <c r="G183" s="594"/>
      <c r="H183" s="594"/>
      <c r="I183" s="608"/>
      <c r="J183" s="609">
        <f>SUM(K183:R183)</f>
        <v>3250</v>
      </c>
      <c r="K183" s="629">
        <v>2720</v>
      </c>
      <c r="L183" s="629">
        <v>530</v>
      </c>
      <c r="M183" s="629"/>
      <c r="N183" s="629"/>
      <c r="O183" s="629"/>
      <c r="P183" s="629"/>
      <c r="Q183" s="629"/>
      <c r="R183" s="630"/>
      <c r="S183" s="612"/>
      <c r="T183" s="612"/>
      <c r="U183" s="612"/>
      <c r="V183" s="612"/>
      <c r="W183" s="612"/>
      <c r="X183" s="612"/>
      <c r="Y183" s="612"/>
      <c r="Z183" s="612"/>
      <c r="AA183" s="612"/>
      <c r="AB183" s="612"/>
      <c r="AC183" s="612"/>
      <c r="AD183" s="612"/>
      <c r="AE183" s="612"/>
    </row>
    <row r="184" spans="1:31" s="613" customFormat="1" ht="18" customHeight="1">
      <c r="A184" s="98">
        <v>221</v>
      </c>
      <c r="B184" s="574"/>
      <c r="C184" s="1281"/>
      <c r="D184" s="606"/>
      <c r="E184" s="483" t="s">
        <v>994</v>
      </c>
      <c r="F184" s="632"/>
      <c r="G184" s="594"/>
      <c r="H184" s="594"/>
      <c r="I184" s="608"/>
      <c r="J184" s="266">
        <f>SUM(K184:R184)</f>
        <v>3250</v>
      </c>
      <c r="K184" s="275">
        <v>2720</v>
      </c>
      <c r="L184" s="275">
        <v>530</v>
      </c>
      <c r="M184" s="629"/>
      <c r="N184" s="629"/>
      <c r="O184" s="629"/>
      <c r="P184" s="629"/>
      <c r="Q184" s="629"/>
      <c r="R184" s="630"/>
      <c r="S184" s="612"/>
      <c r="T184" s="612"/>
      <c r="U184" s="612"/>
      <c r="V184" s="612"/>
      <c r="W184" s="612"/>
      <c r="X184" s="612"/>
      <c r="Y184" s="612"/>
      <c r="Z184" s="612"/>
      <c r="AA184" s="612"/>
      <c r="AB184" s="612"/>
      <c r="AC184" s="612"/>
      <c r="AD184" s="612"/>
      <c r="AE184" s="612"/>
    </row>
    <row r="185" spans="1:31" s="31" customFormat="1" ht="18" customHeight="1">
      <c r="A185" s="98">
        <v>222</v>
      </c>
      <c r="B185" s="1018"/>
      <c r="C185" s="1031"/>
      <c r="D185" s="1031"/>
      <c r="E185" s="1032" t="s">
        <v>1036</v>
      </c>
      <c r="F185" s="243"/>
      <c r="G185" s="243"/>
      <c r="H185" s="243"/>
      <c r="I185" s="1033"/>
      <c r="J185" s="1034">
        <f>SUM(K185:R185)</f>
        <v>0</v>
      </c>
      <c r="K185" s="270">
        <v>0</v>
      </c>
      <c r="L185" s="270">
        <v>0</v>
      </c>
      <c r="M185" s="270"/>
      <c r="N185" s="270"/>
      <c r="O185" s="270"/>
      <c r="P185" s="270"/>
      <c r="Q185" s="270"/>
      <c r="R185" s="271"/>
      <c r="S185" s="113"/>
      <c r="T185" s="113"/>
      <c r="U185" s="113"/>
      <c r="V185" s="113"/>
      <c r="W185" s="113"/>
      <c r="X185" s="113"/>
      <c r="Y185" s="113"/>
      <c r="Z185" s="113"/>
      <c r="AA185" s="113"/>
      <c r="AB185" s="113"/>
      <c r="AC185" s="113"/>
      <c r="AD185" s="113"/>
      <c r="AE185" s="113"/>
    </row>
    <row r="186" spans="1:31" s="34" customFormat="1" ht="33" customHeight="1">
      <c r="A186" s="98">
        <v>224</v>
      </c>
      <c r="B186" s="357"/>
      <c r="C186" s="238">
        <v>9</v>
      </c>
      <c r="D186" s="2077" t="s">
        <v>839</v>
      </c>
      <c r="E186" s="2078"/>
      <c r="F186" s="2078"/>
      <c r="G186" s="2079"/>
      <c r="H186" s="242"/>
      <c r="I186" s="1228"/>
      <c r="J186" s="266"/>
      <c r="K186" s="275"/>
      <c r="L186" s="275"/>
      <c r="M186" s="275"/>
      <c r="N186" s="275"/>
      <c r="O186" s="275"/>
      <c r="P186" s="275"/>
      <c r="Q186" s="275"/>
      <c r="R186" s="276"/>
      <c r="S186" s="220"/>
      <c r="T186" s="220"/>
      <c r="U186" s="220"/>
      <c r="V186" s="220"/>
      <c r="W186" s="220"/>
      <c r="X186" s="220"/>
      <c r="Y186" s="220"/>
      <c r="Z186" s="220"/>
      <c r="AA186" s="220"/>
      <c r="AB186" s="220"/>
      <c r="AC186" s="220"/>
      <c r="AD186" s="220"/>
      <c r="AE186" s="220"/>
    </row>
    <row r="187" spans="1:31" s="613" customFormat="1" ht="18" customHeight="1">
      <c r="A187" s="98">
        <v>225</v>
      </c>
      <c r="B187" s="574"/>
      <c r="C187" s="575"/>
      <c r="D187" s="606"/>
      <c r="E187" s="631" t="s">
        <v>303</v>
      </c>
      <c r="F187" s="632"/>
      <c r="G187" s="594"/>
      <c r="H187" s="594"/>
      <c r="I187" s="608"/>
      <c r="J187" s="609">
        <f>SUM(K187:R187)</f>
        <v>6000</v>
      </c>
      <c r="K187" s="629">
        <v>4918</v>
      </c>
      <c r="L187" s="629">
        <v>1082</v>
      </c>
      <c r="M187" s="629"/>
      <c r="N187" s="629"/>
      <c r="O187" s="629"/>
      <c r="P187" s="629"/>
      <c r="Q187" s="629"/>
      <c r="R187" s="630"/>
      <c r="S187" s="612"/>
      <c r="T187" s="612"/>
      <c r="U187" s="612"/>
      <c r="V187" s="612"/>
      <c r="W187" s="612"/>
      <c r="X187" s="612"/>
      <c r="Y187" s="612"/>
      <c r="Z187" s="612"/>
      <c r="AA187" s="612"/>
      <c r="AB187" s="612"/>
      <c r="AC187" s="612"/>
      <c r="AD187" s="612"/>
      <c r="AE187" s="612"/>
    </row>
    <row r="188" spans="1:31" s="613" customFormat="1" ht="18" customHeight="1">
      <c r="A188" s="98">
        <v>226</v>
      </c>
      <c r="B188" s="574"/>
      <c r="C188" s="1281"/>
      <c r="D188" s="606"/>
      <c r="E188" s="483" t="s">
        <v>994</v>
      </c>
      <c r="F188" s="632"/>
      <c r="G188" s="594"/>
      <c r="H188" s="594"/>
      <c r="I188" s="608"/>
      <c r="J188" s="266">
        <f>SUM(K188:R188)</f>
        <v>6000</v>
      </c>
      <c r="K188" s="275">
        <v>4918</v>
      </c>
      <c r="L188" s="275">
        <v>1082</v>
      </c>
      <c r="M188" s="629"/>
      <c r="N188" s="629"/>
      <c r="O188" s="629"/>
      <c r="P188" s="629"/>
      <c r="Q188" s="629"/>
      <c r="R188" s="630"/>
      <c r="S188" s="612"/>
      <c r="T188" s="612"/>
      <c r="U188" s="612"/>
      <c r="V188" s="612"/>
      <c r="W188" s="612"/>
      <c r="X188" s="612"/>
      <c r="Y188" s="612"/>
      <c r="Z188" s="612"/>
      <c r="AA188" s="612"/>
      <c r="AB188" s="612"/>
      <c r="AC188" s="612"/>
      <c r="AD188" s="612"/>
      <c r="AE188" s="612"/>
    </row>
    <row r="189" spans="1:31" s="31" customFormat="1" ht="18" customHeight="1">
      <c r="A189" s="98">
        <v>227</v>
      </c>
      <c r="B189" s="1018"/>
      <c r="C189" s="1031"/>
      <c r="D189" s="1031"/>
      <c r="E189" s="1032" t="s">
        <v>1036</v>
      </c>
      <c r="F189" s="243"/>
      <c r="G189" s="243"/>
      <c r="H189" s="243"/>
      <c r="I189" s="1033"/>
      <c r="J189" s="1034">
        <f>SUM(K189:R189)</f>
        <v>0</v>
      </c>
      <c r="K189" s="270">
        <v>0</v>
      </c>
      <c r="L189" s="270">
        <v>0</v>
      </c>
      <c r="M189" s="270"/>
      <c r="N189" s="270"/>
      <c r="O189" s="270"/>
      <c r="P189" s="270"/>
      <c r="Q189" s="270"/>
      <c r="R189" s="271"/>
      <c r="S189" s="113"/>
      <c r="T189" s="113"/>
      <c r="U189" s="113"/>
      <c r="V189" s="113"/>
      <c r="W189" s="113"/>
      <c r="X189" s="113"/>
      <c r="Y189" s="113"/>
      <c r="Z189" s="113"/>
      <c r="AA189" s="113"/>
      <c r="AB189" s="113"/>
      <c r="AC189" s="113"/>
      <c r="AD189" s="113"/>
      <c r="AE189" s="113"/>
    </row>
    <row r="190" spans="1:31" s="25" customFormat="1" ht="19.5" customHeight="1">
      <c r="A190" s="98">
        <v>229</v>
      </c>
      <c r="B190" s="357"/>
      <c r="C190" s="238">
        <v>10</v>
      </c>
      <c r="D190" s="493" t="s">
        <v>424</v>
      </c>
      <c r="E190" s="493"/>
      <c r="F190" s="350"/>
      <c r="G190" s="242">
        <v>7483</v>
      </c>
      <c r="H190" s="242"/>
      <c r="I190" s="1228">
        <v>3536</v>
      </c>
      <c r="J190" s="266"/>
      <c r="K190" s="275"/>
      <c r="L190" s="275"/>
      <c r="M190" s="275"/>
      <c r="N190" s="275"/>
      <c r="O190" s="275"/>
      <c r="P190" s="275"/>
      <c r="Q190" s="275"/>
      <c r="R190" s="276"/>
      <c r="S190" s="175"/>
      <c r="T190" s="175"/>
      <c r="U190" s="175"/>
      <c r="V190" s="175"/>
      <c r="W190" s="175"/>
      <c r="X190" s="175"/>
      <c r="Y190" s="175"/>
      <c r="Z190" s="175"/>
      <c r="AA190" s="175"/>
      <c r="AB190" s="175"/>
      <c r="AC190" s="175"/>
      <c r="AD190" s="175"/>
      <c r="AE190" s="175"/>
    </row>
    <row r="191" spans="1:31" s="25" customFormat="1" ht="30" customHeight="1">
      <c r="A191" s="98">
        <v>230</v>
      </c>
      <c r="B191" s="357"/>
      <c r="C191" s="241">
        <v>11</v>
      </c>
      <c r="D191" s="2074" t="s">
        <v>426</v>
      </c>
      <c r="E191" s="2075"/>
      <c r="F191" s="494"/>
      <c r="G191" s="242"/>
      <c r="H191" s="242"/>
      <c r="I191" s="1228">
        <v>2506</v>
      </c>
      <c r="J191" s="266"/>
      <c r="K191" s="275"/>
      <c r="L191" s="275"/>
      <c r="M191" s="275"/>
      <c r="N191" s="275"/>
      <c r="O191" s="275"/>
      <c r="P191" s="275"/>
      <c r="Q191" s="275"/>
      <c r="R191" s="276"/>
      <c r="S191" s="175"/>
      <c r="T191" s="175"/>
      <c r="U191" s="175"/>
      <c r="V191" s="175"/>
      <c r="W191" s="175"/>
      <c r="X191" s="175"/>
      <c r="Y191" s="175"/>
      <c r="Z191" s="175"/>
      <c r="AA191" s="175"/>
      <c r="AB191" s="175"/>
      <c r="AC191" s="175"/>
      <c r="AD191" s="175"/>
      <c r="AE191" s="175"/>
    </row>
    <row r="192" spans="1:31" s="25" customFormat="1" ht="19.5" customHeight="1">
      <c r="A192" s="98">
        <v>231</v>
      </c>
      <c r="B192" s="357"/>
      <c r="C192" s="238">
        <v>12</v>
      </c>
      <c r="D192" s="1626" t="s">
        <v>462</v>
      </c>
      <c r="E192" s="645"/>
      <c r="F192" s="254"/>
      <c r="G192" s="242">
        <v>1622</v>
      </c>
      <c r="H192" s="242"/>
      <c r="I192" s="1228"/>
      <c r="J192" s="266"/>
      <c r="K192" s="275"/>
      <c r="L192" s="275"/>
      <c r="M192" s="275"/>
      <c r="N192" s="275"/>
      <c r="O192" s="275"/>
      <c r="P192" s="275"/>
      <c r="Q192" s="275"/>
      <c r="R192" s="276"/>
      <c r="S192" s="175"/>
      <c r="T192" s="175"/>
      <c r="U192" s="175"/>
      <c r="V192" s="175"/>
      <c r="W192" s="175"/>
      <c r="X192" s="175"/>
      <c r="Y192" s="175"/>
      <c r="Z192" s="175"/>
      <c r="AA192" s="175"/>
      <c r="AB192" s="175"/>
      <c r="AC192" s="175"/>
      <c r="AD192" s="175"/>
      <c r="AE192" s="175"/>
    </row>
    <row r="193" spans="1:31" s="25" customFormat="1" ht="30" customHeight="1">
      <c r="A193" s="98">
        <v>232</v>
      </c>
      <c r="B193" s="357"/>
      <c r="C193" s="241">
        <v>13</v>
      </c>
      <c r="D193" s="2074" t="s">
        <v>461</v>
      </c>
      <c r="E193" s="2075"/>
      <c r="F193" s="494"/>
      <c r="G193" s="242"/>
      <c r="H193" s="242"/>
      <c r="I193" s="1228"/>
      <c r="J193" s="266"/>
      <c r="K193" s="275"/>
      <c r="L193" s="275"/>
      <c r="M193" s="275"/>
      <c r="N193" s="275"/>
      <c r="O193" s="275"/>
      <c r="P193" s="275"/>
      <c r="Q193" s="275"/>
      <c r="R193" s="276"/>
      <c r="S193" s="175"/>
      <c r="T193" s="175"/>
      <c r="U193" s="175"/>
      <c r="V193" s="175"/>
      <c r="W193" s="175"/>
      <c r="X193" s="175"/>
      <c r="Y193" s="175"/>
      <c r="Z193" s="175"/>
      <c r="AA193" s="175"/>
      <c r="AB193" s="175"/>
      <c r="AC193" s="175"/>
      <c r="AD193" s="175"/>
      <c r="AE193" s="175"/>
    </row>
    <row r="194" spans="1:31" s="581" customFormat="1" ht="18" customHeight="1">
      <c r="A194" s="98">
        <v>233</v>
      </c>
      <c r="B194" s="574"/>
      <c r="C194" s="575"/>
      <c r="D194" s="606"/>
      <c r="E194" s="631" t="s">
        <v>303</v>
      </c>
      <c r="F194" s="632"/>
      <c r="G194" s="594"/>
      <c r="H194" s="594"/>
      <c r="I194" s="608"/>
      <c r="J194" s="609">
        <f>SUM(K194:R194)</f>
        <v>5962</v>
      </c>
      <c r="K194" s="629">
        <v>4887</v>
      </c>
      <c r="L194" s="629">
        <v>1075</v>
      </c>
      <c r="M194" s="629"/>
      <c r="N194" s="629"/>
      <c r="O194" s="629"/>
      <c r="P194" s="629"/>
      <c r="Q194" s="629"/>
      <c r="R194" s="630"/>
      <c r="S194" s="633"/>
      <c r="T194" s="633"/>
      <c r="U194" s="633"/>
      <c r="V194" s="633"/>
      <c r="W194" s="633"/>
      <c r="X194" s="633"/>
      <c r="Y194" s="633"/>
      <c r="Z194" s="633"/>
      <c r="AA194" s="633"/>
      <c r="AB194" s="633"/>
      <c r="AC194" s="633"/>
      <c r="AD194" s="633"/>
      <c r="AE194" s="633"/>
    </row>
    <row r="195" spans="1:31" s="581" customFormat="1" ht="18" customHeight="1">
      <c r="A195" s="98">
        <v>234</v>
      </c>
      <c r="B195" s="574"/>
      <c r="C195" s="1281"/>
      <c r="D195" s="606"/>
      <c r="E195" s="483" t="s">
        <v>994</v>
      </c>
      <c r="F195" s="632"/>
      <c r="G195" s="594"/>
      <c r="H195" s="594"/>
      <c r="I195" s="608"/>
      <c r="J195" s="266">
        <f>SUM(K195:R195)</f>
        <v>5962</v>
      </c>
      <c r="K195" s="275">
        <v>4887</v>
      </c>
      <c r="L195" s="275">
        <v>1075</v>
      </c>
      <c r="M195" s="629"/>
      <c r="N195" s="629"/>
      <c r="O195" s="629"/>
      <c r="P195" s="629"/>
      <c r="Q195" s="629"/>
      <c r="R195" s="630"/>
      <c r="S195" s="633"/>
      <c r="T195" s="633"/>
      <c r="U195" s="633"/>
      <c r="V195" s="633"/>
      <c r="W195" s="633"/>
      <c r="X195" s="633"/>
      <c r="Y195" s="633"/>
      <c r="Z195" s="633"/>
      <c r="AA195" s="633"/>
      <c r="AB195" s="633"/>
      <c r="AC195" s="633"/>
      <c r="AD195" s="633"/>
      <c r="AE195" s="633"/>
    </row>
    <row r="196" spans="1:31" s="31" customFormat="1" ht="18" customHeight="1">
      <c r="A196" s="98">
        <v>235</v>
      </c>
      <c r="B196" s="1018"/>
      <c r="C196" s="1031"/>
      <c r="D196" s="1031"/>
      <c r="E196" s="1032" t="s">
        <v>1036</v>
      </c>
      <c r="F196" s="243"/>
      <c r="G196" s="243"/>
      <c r="H196" s="243"/>
      <c r="I196" s="1033"/>
      <c r="J196" s="1034">
        <f>SUM(K196:R196)</f>
        <v>0</v>
      </c>
      <c r="K196" s="270">
        <v>0</v>
      </c>
      <c r="L196" s="270">
        <v>0</v>
      </c>
      <c r="M196" s="270"/>
      <c r="N196" s="270"/>
      <c r="O196" s="270"/>
      <c r="P196" s="270"/>
      <c r="Q196" s="270"/>
      <c r="R196" s="271"/>
      <c r="S196" s="113"/>
      <c r="T196" s="113"/>
      <c r="U196" s="113"/>
      <c r="V196" s="113"/>
      <c r="W196" s="113"/>
      <c r="X196" s="113"/>
      <c r="Y196" s="113"/>
      <c r="Z196" s="113"/>
      <c r="AA196" s="113"/>
      <c r="AB196" s="113"/>
      <c r="AC196" s="113"/>
      <c r="AD196" s="113"/>
      <c r="AE196" s="113"/>
    </row>
    <row r="197" spans="1:31" s="25" customFormat="1" ht="19.5" customHeight="1">
      <c r="A197" s="98">
        <v>237</v>
      </c>
      <c r="B197" s="357"/>
      <c r="C197" s="238">
        <v>14</v>
      </c>
      <c r="D197" s="493" t="s">
        <v>464</v>
      </c>
      <c r="E197" s="1626"/>
      <c r="F197" s="254"/>
      <c r="G197" s="242"/>
      <c r="H197" s="242"/>
      <c r="I197" s="1228"/>
      <c r="J197" s="266"/>
      <c r="K197" s="275"/>
      <c r="L197" s="275"/>
      <c r="M197" s="275"/>
      <c r="N197" s="275"/>
      <c r="O197" s="275"/>
      <c r="P197" s="275"/>
      <c r="Q197" s="275"/>
      <c r="R197" s="276"/>
      <c r="S197" s="175"/>
      <c r="T197" s="175"/>
      <c r="U197" s="175"/>
      <c r="V197" s="175"/>
      <c r="W197" s="175"/>
      <c r="X197" s="175"/>
      <c r="Y197" s="175"/>
      <c r="Z197" s="175"/>
      <c r="AA197" s="175"/>
      <c r="AB197" s="175"/>
      <c r="AC197" s="175"/>
      <c r="AD197" s="175"/>
      <c r="AE197" s="175"/>
    </row>
    <row r="198" spans="1:31" s="581" customFormat="1" ht="18" customHeight="1">
      <c r="A198" s="98">
        <v>238</v>
      </c>
      <c r="B198" s="574"/>
      <c r="C198" s="575"/>
      <c r="D198" s="606"/>
      <c r="E198" s="631" t="s">
        <v>303</v>
      </c>
      <c r="F198" s="632"/>
      <c r="G198" s="594"/>
      <c r="H198" s="594"/>
      <c r="I198" s="608"/>
      <c r="J198" s="609">
        <f>SUM(K198:R198)</f>
        <v>482</v>
      </c>
      <c r="K198" s="629">
        <v>395</v>
      </c>
      <c r="L198" s="629">
        <v>87</v>
      </c>
      <c r="M198" s="629"/>
      <c r="N198" s="629"/>
      <c r="O198" s="629"/>
      <c r="P198" s="629"/>
      <c r="Q198" s="629"/>
      <c r="R198" s="630"/>
      <c r="S198" s="633"/>
      <c r="T198" s="633"/>
      <c r="U198" s="633"/>
      <c r="V198" s="633"/>
      <c r="W198" s="633"/>
      <c r="X198" s="633"/>
      <c r="Y198" s="633"/>
      <c r="Z198" s="633"/>
      <c r="AA198" s="633"/>
      <c r="AB198" s="633"/>
      <c r="AC198" s="633"/>
      <c r="AD198" s="633"/>
      <c r="AE198" s="633"/>
    </row>
    <row r="199" spans="1:31" s="581" customFormat="1" ht="18" customHeight="1">
      <c r="A199" s="98">
        <v>239</v>
      </c>
      <c r="B199" s="574"/>
      <c r="C199" s="1281"/>
      <c r="D199" s="606"/>
      <c r="E199" s="483" t="s">
        <v>994</v>
      </c>
      <c r="F199" s="632"/>
      <c r="G199" s="594"/>
      <c r="H199" s="594"/>
      <c r="I199" s="608"/>
      <c r="J199" s="266">
        <f>SUM(K199:R199)</f>
        <v>0</v>
      </c>
      <c r="K199" s="275">
        <v>0</v>
      </c>
      <c r="L199" s="275">
        <v>0</v>
      </c>
      <c r="M199" s="629"/>
      <c r="N199" s="629"/>
      <c r="O199" s="629"/>
      <c r="P199" s="629"/>
      <c r="Q199" s="629"/>
      <c r="R199" s="630"/>
      <c r="S199" s="633"/>
      <c r="T199" s="633"/>
      <c r="U199" s="633"/>
      <c r="V199" s="633"/>
      <c r="W199" s="633"/>
      <c r="X199" s="633"/>
      <c r="Y199" s="633"/>
      <c r="Z199" s="633"/>
      <c r="AA199" s="633"/>
      <c r="AB199" s="633"/>
      <c r="AC199" s="633"/>
      <c r="AD199" s="633"/>
      <c r="AE199" s="633"/>
    </row>
    <row r="200" spans="1:31" s="31" customFormat="1" ht="18" customHeight="1">
      <c r="A200" s="98">
        <v>240</v>
      </c>
      <c r="B200" s="1018"/>
      <c r="C200" s="1031"/>
      <c r="D200" s="1031"/>
      <c r="E200" s="1032" t="s">
        <v>1035</v>
      </c>
      <c r="F200" s="243"/>
      <c r="G200" s="243"/>
      <c r="H200" s="243"/>
      <c r="I200" s="1033"/>
      <c r="J200" s="1034">
        <f>SUM(K200:R200)</f>
        <v>0</v>
      </c>
      <c r="K200" s="270">
        <v>0</v>
      </c>
      <c r="L200" s="270">
        <v>0</v>
      </c>
      <c r="M200" s="270"/>
      <c r="N200" s="270"/>
      <c r="O200" s="270"/>
      <c r="P200" s="270"/>
      <c r="Q200" s="270"/>
      <c r="R200" s="271"/>
      <c r="S200" s="113"/>
      <c r="T200" s="113"/>
      <c r="U200" s="113"/>
      <c r="V200" s="113"/>
      <c r="W200" s="113"/>
      <c r="X200" s="113"/>
      <c r="Y200" s="113"/>
      <c r="Z200" s="113"/>
      <c r="AA200" s="113"/>
      <c r="AB200" s="113"/>
      <c r="AC200" s="113"/>
      <c r="AD200" s="113"/>
      <c r="AE200" s="113"/>
    </row>
    <row r="201" spans="1:31" s="25" customFormat="1" ht="19.5" customHeight="1">
      <c r="A201" s="98">
        <v>242</v>
      </c>
      <c r="B201" s="357"/>
      <c r="C201" s="238">
        <v>15</v>
      </c>
      <c r="D201" s="493" t="s">
        <v>490</v>
      </c>
      <c r="E201" s="645"/>
      <c r="F201" s="254"/>
      <c r="G201" s="242"/>
      <c r="H201" s="242"/>
      <c r="I201" s="1228">
        <v>1541</v>
      </c>
      <c r="J201" s="266"/>
      <c r="K201" s="275"/>
      <c r="L201" s="275"/>
      <c r="M201" s="275"/>
      <c r="N201" s="275"/>
      <c r="O201" s="275"/>
      <c r="P201" s="275"/>
      <c r="Q201" s="275"/>
      <c r="R201" s="276"/>
      <c r="S201" s="175"/>
      <c r="T201" s="175"/>
      <c r="U201" s="175"/>
      <c r="V201" s="175"/>
      <c r="W201" s="175"/>
      <c r="X201" s="175"/>
      <c r="Y201" s="175"/>
      <c r="Z201" s="175"/>
      <c r="AA201" s="175"/>
      <c r="AB201" s="175"/>
      <c r="AC201" s="175"/>
      <c r="AD201" s="175"/>
      <c r="AE201" s="175"/>
    </row>
    <row r="202" spans="1:31" s="25" customFormat="1" ht="30" customHeight="1">
      <c r="A202" s="98">
        <v>243</v>
      </c>
      <c r="B202" s="357"/>
      <c r="C202" s="241">
        <v>16</v>
      </c>
      <c r="D202" s="2074" t="s">
        <v>491</v>
      </c>
      <c r="E202" s="2075"/>
      <c r="F202" s="254"/>
      <c r="G202" s="242"/>
      <c r="H202" s="242"/>
      <c r="I202" s="1228">
        <v>13</v>
      </c>
      <c r="J202" s="266"/>
      <c r="K202" s="275"/>
      <c r="L202" s="275"/>
      <c r="M202" s="275"/>
      <c r="N202" s="275"/>
      <c r="O202" s="275"/>
      <c r="P202" s="275"/>
      <c r="Q202" s="275"/>
      <c r="R202" s="276"/>
      <c r="S202" s="175"/>
      <c r="T202" s="175"/>
      <c r="U202" s="175"/>
      <c r="V202" s="175"/>
      <c r="W202" s="175"/>
      <c r="X202" s="175"/>
      <c r="Y202" s="175"/>
      <c r="Z202" s="175"/>
      <c r="AA202" s="175"/>
      <c r="AB202" s="175"/>
      <c r="AC202" s="175"/>
      <c r="AD202" s="175"/>
      <c r="AE202" s="175"/>
    </row>
    <row r="203" spans="1:31" s="581" customFormat="1" ht="18" customHeight="1">
      <c r="A203" s="98">
        <v>244</v>
      </c>
      <c r="B203" s="574"/>
      <c r="C203" s="575"/>
      <c r="D203" s="606"/>
      <c r="E203" s="631" t="s">
        <v>303</v>
      </c>
      <c r="F203" s="632"/>
      <c r="G203" s="594"/>
      <c r="H203" s="594"/>
      <c r="I203" s="608"/>
      <c r="J203" s="609">
        <f>SUM(K203:R203)</f>
        <v>62</v>
      </c>
      <c r="K203" s="629">
        <v>52</v>
      </c>
      <c r="L203" s="629">
        <v>10</v>
      </c>
      <c r="M203" s="629"/>
      <c r="N203" s="629"/>
      <c r="O203" s="629"/>
      <c r="P203" s="629"/>
      <c r="Q203" s="629"/>
      <c r="R203" s="630"/>
      <c r="S203" s="633"/>
      <c r="T203" s="633"/>
      <c r="U203" s="633"/>
      <c r="V203" s="633"/>
      <c r="W203" s="633"/>
      <c r="X203" s="633"/>
      <c r="Y203" s="633"/>
      <c r="Z203" s="633"/>
      <c r="AA203" s="633"/>
      <c r="AB203" s="633"/>
      <c r="AC203" s="633"/>
      <c r="AD203" s="633"/>
      <c r="AE203" s="633"/>
    </row>
    <row r="204" spans="1:31" s="581" customFormat="1" ht="18" customHeight="1">
      <c r="A204" s="98">
        <v>245</v>
      </c>
      <c r="B204" s="574"/>
      <c r="C204" s="1281"/>
      <c r="D204" s="606"/>
      <c r="E204" s="483" t="s">
        <v>994</v>
      </c>
      <c r="F204" s="632"/>
      <c r="G204" s="594"/>
      <c r="H204" s="594"/>
      <c r="I204" s="608"/>
      <c r="J204" s="266">
        <f>SUM(K204:R204)</f>
        <v>0</v>
      </c>
      <c r="K204" s="275">
        <v>0</v>
      </c>
      <c r="L204" s="275">
        <v>0</v>
      </c>
      <c r="M204" s="629"/>
      <c r="N204" s="629"/>
      <c r="O204" s="629"/>
      <c r="P204" s="629"/>
      <c r="Q204" s="629"/>
      <c r="R204" s="630"/>
      <c r="S204" s="633"/>
      <c r="T204" s="633"/>
      <c r="U204" s="633"/>
      <c r="V204" s="633"/>
      <c r="W204" s="633"/>
      <c r="X204" s="633"/>
      <c r="Y204" s="633"/>
      <c r="Z204" s="633"/>
      <c r="AA204" s="633"/>
      <c r="AB204" s="633"/>
      <c r="AC204" s="633"/>
      <c r="AD204" s="633"/>
      <c r="AE204" s="633"/>
    </row>
    <row r="205" spans="1:31" s="31" customFormat="1" ht="18" customHeight="1">
      <c r="A205" s="98">
        <v>246</v>
      </c>
      <c r="B205" s="1018"/>
      <c r="C205" s="1031"/>
      <c r="D205" s="1031"/>
      <c r="E205" s="1032" t="s">
        <v>1035</v>
      </c>
      <c r="F205" s="243"/>
      <c r="G205" s="243"/>
      <c r="H205" s="243"/>
      <c r="I205" s="1033"/>
      <c r="J205" s="1034">
        <f>SUM(K205:R205)</f>
        <v>0</v>
      </c>
      <c r="K205" s="270">
        <v>0</v>
      </c>
      <c r="L205" s="270">
        <v>0</v>
      </c>
      <c r="M205" s="270"/>
      <c r="N205" s="270"/>
      <c r="O205" s="270"/>
      <c r="P205" s="270"/>
      <c r="Q205" s="270"/>
      <c r="R205" s="271"/>
      <c r="S205" s="113"/>
      <c r="T205" s="113"/>
      <c r="U205" s="113"/>
      <c r="V205" s="113"/>
      <c r="W205" s="113"/>
      <c r="X205" s="113"/>
      <c r="Y205" s="113"/>
      <c r="Z205" s="113"/>
      <c r="AA205" s="113"/>
      <c r="AB205" s="113"/>
      <c r="AC205" s="113"/>
      <c r="AD205" s="113"/>
      <c r="AE205" s="113"/>
    </row>
    <row r="206" spans="1:31" s="25" customFormat="1" ht="19.5" customHeight="1">
      <c r="A206" s="98">
        <v>248</v>
      </c>
      <c r="B206" s="357"/>
      <c r="C206" s="238">
        <v>17</v>
      </c>
      <c r="D206" s="493" t="s">
        <v>502</v>
      </c>
      <c r="E206" s="645"/>
      <c r="F206" s="254"/>
      <c r="G206" s="242"/>
      <c r="H206" s="242"/>
      <c r="I206" s="1228"/>
      <c r="J206" s="266"/>
      <c r="K206" s="275"/>
      <c r="L206" s="275"/>
      <c r="M206" s="275"/>
      <c r="N206" s="275"/>
      <c r="O206" s="275"/>
      <c r="P206" s="275"/>
      <c r="Q206" s="275"/>
      <c r="R206" s="276"/>
      <c r="S206" s="175"/>
      <c r="T206" s="175"/>
      <c r="U206" s="175"/>
      <c r="V206" s="175"/>
      <c r="W206" s="175"/>
      <c r="X206" s="175"/>
      <c r="Y206" s="175"/>
      <c r="Z206" s="175"/>
      <c r="AA206" s="175"/>
      <c r="AB206" s="175"/>
      <c r="AC206" s="175"/>
      <c r="AD206" s="175"/>
      <c r="AE206" s="175"/>
    </row>
    <row r="207" spans="1:31" s="581" customFormat="1" ht="18" customHeight="1">
      <c r="A207" s="98">
        <v>249</v>
      </c>
      <c r="B207" s="574"/>
      <c r="C207" s="575"/>
      <c r="D207" s="606"/>
      <c r="E207" s="631" t="s">
        <v>303</v>
      </c>
      <c r="F207" s="632"/>
      <c r="G207" s="594"/>
      <c r="H207" s="594"/>
      <c r="I207" s="608"/>
      <c r="J207" s="609">
        <f>SUM(K207:R207)</f>
        <v>12000</v>
      </c>
      <c r="K207" s="629">
        <v>10042</v>
      </c>
      <c r="L207" s="629">
        <v>1958</v>
      </c>
      <c r="M207" s="629"/>
      <c r="N207" s="629"/>
      <c r="O207" s="629"/>
      <c r="P207" s="629"/>
      <c r="Q207" s="629"/>
      <c r="R207" s="630"/>
      <c r="S207" s="633"/>
      <c r="T207" s="633"/>
      <c r="U207" s="633"/>
      <c r="V207" s="633"/>
      <c r="W207" s="633"/>
      <c r="X207" s="633"/>
      <c r="Y207" s="633"/>
      <c r="Z207" s="633"/>
      <c r="AA207" s="633"/>
      <c r="AB207" s="633"/>
      <c r="AC207" s="633"/>
      <c r="AD207" s="633"/>
      <c r="AE207" s="633"/>
    </row>
    <row r="208" spans="1:31" s="581" customFormat="1" ht="18" customHeight="1">
      <c r="A208" s="98">
        <v>250</v>
      </c>
      <c r="B208" s="574"/>
      <c r="C208" s="1281"/>
      <c r="D208" s="606"/>
      <c r="E208" s="483" t="s">
        <v>994</v>
      </c>
      <c r="F208" s="632"/>
      <c r="G208" s="594"/>
      <c r="H208" s="594"/>
      <c r="I208" s="608"/>
      <c r="J208" s="266">
        <f>SUM(K208:R208)</f>
        <v>12000</v>
      </c>
      <c r="K208" s="275">
        <v>10042</v>
      </c>
      <c r="L208" s="275">
        <v>1958</v>
      </c>
      <c r="M208" s="629"/>
      <c r="N208" s="629"/>
      <c r="O208" s="629"/>
      <c r="P208" s="629"/>
      <c r="Q208" s="629"/>
      <c r="R208" s="630"/>
      <c r="S208" s="633"/>
      <c r="T208" s="633"/>
      <c r="U208" s="633"/>
      <c r="V208" s="633"/>
      <c r="W208" s="633"/>
      <c r="X208" s="633"/>
      <c r="Y208" s="633"/>
      <c r="Z208" s="633"/>
      <c r="AA208" s="633"/>
      <c r="AB208" s="633"/>
      <c r="AC208" s="633"/>
      <c r="AD208" s="633"/>
      <c r="AE208" s="633"/>
    </row>
    <row r="209" spans="1:31" s="31" customFormat="1" ht="18" customHeight="1">
      <c r="A209" s="98">
        <v>251</v>
      </c>
      <c r="B209" s="1018"/>
      <c r="C209" s="1031"/>
      <c r="D209" s="1031"/>
      <c r="E209" s="1032" t="s">
        <v>1036</v>
      </c>
      <c r="F209" s="243"/>
      <c r="G209" s="243"/>
      <c r="H209" s="243"/>
      <c r="I209" s="1033"/>
      <c r="J209" s="1034">
        <f>SUM(K209:R209)</f>
        <v>0</v>
      </c>
      <c r="K209" s="270">
        <v>0</v>
      </c>
      <c r="L209" s="270">
        <v>0</v>
      </c>
      <c r="M209" s="270"/>
      <c r="N209" s="270"/>
      <c r="O209" s="270"/>
      <c r="P209" s="270"/>
      <c r="Q209" s="270"/>
      <c r="R209" s="271"/>
      <c r="S209" s="113"/>
      <c r="T209" s="113"/>
      <c r="U209" s="113"/>
      <c r="V209" s="113"/>
      <c r="W209" s="113"/>
      <c r="X209" s="113"/>
      <c r="Y209" s="113"/>
      <c r="Z209" s="113"/>
      <c r="AA209" s="113"/>
      <c r="AB209" s="113"/>
      <c r="AC209" s="113"/>
      <c r="AD209" s="113"/>
      <c r="AE209" s="113"/>
    </row>
    <row r="210" spans="1:31" s="25" customFormat="1" ht="19.5" customHeight="1">
      <c r="A210" s="98">
        <v>253</v>
      </c>
      <c r="B210" s="357"/>
      <c r="C210" s="238">
        <v>18</v>
      </c>
      <c r="D210" s="493" t="s">
        <v>582</v>
      </c>
      <c r="E210" s="645"/>
      <c r="F210" s="254"/>
      <c r="G210" s="242"/>
      <c r="H210" s="242"/>
      <c r="I210" s="1228">
        <v>14715</v>
      </c>
      <c r="J210" s="266"/>
      <c r="K210" s="275"/>
      <c r="L210" s="275"/>
      <c r="M210" s="275"/>
      <c r="N210" s="275"/>
      <c r="O210" s="275"/>
      <c r="P210" s="275"/>
      <c r="Q210" s="275"/>
      <c r="R210" s="276"/>
      <c r="S210" s="175"/>
      <c r="T210" s="175"/>
      <c r="U210" s="175"/>
      <c r="V210" s="175"/>
      <c r="W210" s="175"/>
      <c r="X210" s="175"/>
      <c r="Y210" s="175"/>
      <c r="Z210" s="175"/>
      <c r="AA210" s="175"/>
      <c r="AB210" s="175"/>
      <c r="AC210" s="175"/>
      <c r="AD210" s="175"/>
      <c r="AE210" s="175"/>
    </row>
    <row r="211" spans="1:31" s="25" customFormat="1" ht="19.5" customHeight="1">
      <c r="A211" s="98">
        <v>254</v>
      </c>
      <c r="B211" s="357"/>
      <c r="C211" s="238">
        <v>19</v>
      </c>
      <c r="D211" s="493" t="s">
        <v>576</v>
      </c>
      <c r="E211" s="645"/>
      <c r="F211" s="254"/>
      <c r="G211" s="242"/>
      <c r="H211" s="242"/>
      <c r="I211" s="1228">
        <v>16537</v>
      </c>
      <c r="J211" s="266"/>
      <c r="K211" s="275"/>
      <c r="L211" s="275"/>
      <c r="M211" s="275"/>
      <c r="N211" s="275"/>
      <c r="O211" s="275"/>
      <c r="P211" s="275"/>
      <c r="Q211" s="275"/>
      <c r="R211" s="276"/>
      <c r="S211" s="175"/>
      <c r="T211" s="175"/>
      <c r="U211" s="175"/>
      <c r="V211" s="175"/>
      <c r="W211" s="175"/>
      <c r="X211" s="175"/>
      <c r="Y211" s="175"/>
      <c r="Z211" s="175"/>
      <c r="AA211" s="175"/>
      <c r="AB211" s="175"/>
      <c r="AC211" s="175"/>
      <c r="AD211" s="175"/>
      <c r="AE211" s="175"/>
    </row>
    <row r="212" spans="1:31" s="581" customFormat="1" ht="18" customHeight="1">
      <c r="A212" s="98">
        <v>255</v>
      </c>
      <c r="B212" s="574"/>
      <c r="C212" s="575"/>
      <c r="D212" s="606"/>
      <c r="E212" s="631" t="s">
        <v>303</v>
      </c>
      <c r="F212" s="632"/>
      <c r="G212" s="594"/>
      <c r="H212" s="594"/>
      <c r="I212" s="608"/>
      <c r="J212" s="609">
        <f>SUM(K212:R212)</f>
        <v>22278</v>
      </c>
      <c r="K212" s="629">
        <v>18966</v>
      </c>
      <c r="L212" s="629">
        <v>3312</v>
      </c>
      <c r="M212" s="629"/>
      <c r="N212" s="629"/>
      <c r="O212" s="629"/>
      <c r="P212" s="629"/>
      <c r="Q212" s="629"/>
      <c r="R212" s="630"/>
      <c r="S212" s="633"/>
      <c r="T212" s="633"/>
      <c r="U212" s="633"/>
      <c r="V212" s="633"/>
      <c r="W212" s="633"/>
      <c r="X212" s="633"/>
      <c r="Y212" s="633"/>
      <c r="Z212" s="633"/>
      <c r="AA212" s="633"/>
      <c r="AB212" s="633"/>
      <c r="AC212" s="633"/>
      <c r="AD212" s="633"/>
      <c r="AE212" s="633"/>
    </row>
    <row r="213" spans="1:31" s="581" customFormat="1" ht="18" customHeight="1">
      <c r="A213" s="98">
        <v>256</v>
      </c>
      <c r="B213" s="574"/>
      <c r="C213" s="1281"/>
      <c r="D213" s="606"/>
      <c r="E213" s="483" t="s">
        <v>994</v>
      </c>
      <c r="F213" s="632"/>
      <c r="G213" s="594"/>
      <c r="H213" s="594"/>
      <c r="I213" s="608"/>
      <c r="J213" s="266">
        <f>SUM(K213:R213)</f>
        <v>0</v>
      </c>
      <c r="K213" s="275">
        <v>0</v>
      </c>
      <c r="L213" s="275">
        <v>0</v>
      </c>
      <c r="M213" s="629"/>
      <c r="N213" s="629"/>
      <c r="O213" s="629"/>
      <c r="P213" s="629"/>
      <c r="Q213" s="629"/>
      <c r="R213" s="630"/>
      <c r="S213" s="633"/>
      <c r="T213" s="633"/>
      <c r="U213" s="633"/>
      <c r="V213" s="633"/>
      <c r="W213" s="633"/>
      <c r="X213" s="633"/>
      <c r="Y213" s="633"/>
      <c r="Z213" s="633"/>
      <c r="AA213" s="633"/>
      <c r="AB213" s="633"/>
      <c r="AC213" s="633"/>
      <c r="AD213" s="633"/>
      <c r="AE213" s="633"/>
    </row>
    <row r="214" spans="1:31" s="31" customFormat="1" ht="18" customHeight="1">
      <c r="A214" s="98">
        <v>257</v>
      </c>
      <c r="B214" s="1018"/>
      <c r="C214" s="1031"/>
      <c r="D214" s="1031"/>
      <c r="E214" s="1032" t="s">
        <v>1035</v>
      </c>
      <c r="F214" s="243"/>
      <c r="G214" s="243"/>
      <c r="H214" s="243"/>
      <c r="I214" s="1033"/>
      <c r="J214" s="1034">
        <f>SUM(K214:R214)</f>
        <v>0</v>
      </c>
      <c r="K214" s="270">
        <v>0</v>
      </c>
      <c r="L214" s="270">
        <v>0</v>
      </c>
      <c r="M214" s="270"/>
      <c r="N214" s="270"/>
      <c r="O214" s="270"/>
      <c r="P214" s="270"/>
      <c r="Q214" s="270"/>
      <c r="R214" s="271"/>
      <c r="S214" s="113"/>
      <c r="T214" s="113"/>
      <c r="U214" s="113"/>
      <c r="V214" s="113"/>
      <c r="W214" s="113"/>
      <c r="X214" s="113"/>
      <c r="Y214" s="113"/>
      <c r="Z214" s="113"/>
      <c r="AA214" s="113"/>
      <c r="AB214" s="113"/>
      <c r="AC214" s="113"/>
      <c r="AD214" s="113"/>
      <c r="AE214" s="113"/>
    </row>
    <row r="215" spans="1:31" s="25" customFormat="1" ht="19.5" customHeight="1">
      <c r="A215" s="98">
        <v>259</v>
      </c>
      <c r="B215" s="357"/>
      <c r="C215" s="238">
        <v>20</v>
      </c>
      <c r="D215" s="493" t="s">
        <v>556</v>
      </c>
      <c r="E215" s="801"/>
      <c r="F215" s="494"/>
      <c r="G215" s="242"/>
      <c r="H215" s="242"/>
      <c r="I215" s="1228">
        <v>1684</v>
      </c>
      <c r="J215" s="266"/>
      <c r="K215" s="275"/>
      <c r="L215" s="275"/>
      <c r="M215" s="275"/>
      <c r="N215" s="275"/>
      <c r="O215" s="275"/>
      <c r="P215" s="275"/>
      <c r="Q215" s="275"/>
      <c r="R215" s="276"/>
      <c r="S215" s="175"/>
      <c r="T215" s="175"/>
      <c r="U215" s="175"/>
      <c r="V215" s="175"/>
      <c r="W215" s="175"/>
      <c r="X215" s="175"/>
      <c r="Y215" s="175"/>
      <c r="Z215" s="175"/>
      <c r="AA215" s="175"/>
      <c r="AB215" s="175"/>
      <c r="AC215" s="175"/>
      <c r="AD215" s="175"/>
      <c r="AE215" s="175"/>
    </row>
    <row r="216" spans="1:31" s="581" customFormat="1" ht="18" customHeight="1">
      <c r="A216" s="98">
        <v>260</v>
      </c>
      <c r="B216" s="574"/>
      <c r="C216" s="575"/>
      <c r="D216" s="606"/>
      <c r="E216" s="631" t="s">
        <v>303</v>
      </c>
      <c r="F216" s="632"/>
      <c r="G216" s="594"/>
      <c r="H216" s="594"/>
      <c r="I216" s="608"/>
      <c r="J216" s="609">
        <f>SUM(K216:R216)</f>
        <v>327</v>
      </c>
      <c r="K216" s="629">
        <v>211</v>
      </c>
      <c r="L216" s="629">
        <v>63</v>
      </c>
      <c r="M216" s="629">
        <v>53</v>
      </c>
      <c r="N216" s="629"/>
      <c r="O216" s="629"/>
      <c r="P216" s="629"/>
      <c r="Q216" s="629"/>
      <c r="R216" s="630"/>
      <c r="S216" s="633"/>
      <c r="T216" s="633"/>
      <c r="U216" s="633"/>
      <c r="V216" s="633"/>
      <c r="W216" s="633"/>
      <c r="X216" s="633"/>
      <c r="Y216" s="633"/>
      <c r="Z216" s="633"/>
      <c r="AA216" s="633"/>
      <c r="AB216" s="633"/>
      <c r="AC216" s="633"/>
      <c r="AD216" s="633"/>
      <c r="AE216" s="633"/>
    </row>
    <row r="217" spans="1:31" s="581" customFormat="1" ht="18" customHeight="1">
      <c r="A217" s="98">
        <v>261</v>
      </c>
      <c r="B217" s="574"/>
      <c r="C217" s="1281"/>
      <c r="D217" s="606"/>
      <c r="E217" s="483" t="s">
        <v>994</v>
      </c>
      <c r="F217" s="632"/>
      <c r="G217" s="594"/>
      <c r="H217" s="594"/>
      <c r="I217" s="608"/>
      <c r="J217" s="266">
        <f>SUM(K217:R217)</f>
        <v>2313</v>
      </c>
      <c r="K217" s="275">
        <v>1901</v>
      </c>
      <c r="L217" s="275">
        <v>359</v>
      </c>
      <c r="M217" s="275">
        <v>53</v>
      </c>
      <c r="N217" s="629"/>
      <c r="O217" s="629"/>
      <c r="P217" s="629"/>
      <c r="Q217" s="629"/>
      <c r="R217" s="630"/>
      <c r="S217" s="633"/>
      <c r="T217" s="633"/>
      <c r="U217" s="633"/>
      <c r="V217" s="633"/>
      <c r="W217" s="633"/>
      <c r="X217" s="633"/>
      <c r="Y217" s="633"/>
      <c r="Z217" s="633"/>
      <c r="AA217" s="633"/>
      <c r="AB217" s="633"/>
      <c r="AC217" s="633"/>
      <c r="AD217" s="633"/>
      <c r="AE217" s="633"/>
    </row>
    <row r="218" spans="1:31" s="31" customFormat="1" ht="18" customHeight="1">
      <c r="A218" s="98">
        <v>262</v>
      </c>
      <c r="B218" s="1018"/>
      <c r="C218" s="1031"/>
      <c r="D218" s="1031"/>
      <c r="E218" s="1032" t="s">
        <v>1035</v>
      </c>
      <c r="F218" s="243"/>
      <c r="G218" s="243"/>
      <c r="H218" s="243"/>
      <c r="I218" s="1033"/>
      <c r="J218" s="1034">
        <f>SUM(K218:R218)</f>
        <v>2237</v>
      </c>
      <c r="K218" s="270">
        <v>1904</v>
      </c>
      <c r="L218" s="270">
        <v>323</v>
      </c>
      <c r="M218" s="270">
        <v>10</v>
      </c>
      <c r="N218" s="270"/>
      <c r="O218" s="270"/>
      <c r="P218" s="270"/>
      <c r="Q218" s="270"/>
      <c r="R218" s="271"/>
      <c r="S218" s="113"/>
      <c r="T218" s="113"/>
      <c r="U218" s="113"/>
      <c r="V218" s="113"/>
      <c r="W218" s="113"/>
      <c r="X218" s="113"/>
      <c r="Y218" s="113"/>
      <c r="Z218" s="113"/>
      <c r="AA218" s="113"/>
      <c r="AB218" s="113"/>
      <c r="AC218" s="113"/>
      <c r="AD218" s="113"/>
      <c r="AE218" s="113"/>
    </row>
    <row r="219" spans="1:31" s="25" customFormat="1" ht="18" customHeight="1">
      <c r="A219" s="98">
        <v>264</v>
      </c>
      <c r="B219" s="357"/>
      <c r="C219" s="238">
        <v>21</v>
      </c>
      <c r="D219" s="493" t="s">
        <v>591</v>
      </c>
      <c r="E219" s="493"/>
      <c r="F219" s="350"/>
      <c r="G219" s="242"/>
      <c r="H219" s="242"/>
      <c r="I219" s="1228">
        <v>329</v>
      </c>
      <c r="J219" s="266"/>
      <c r="K219" s="275"/>
      <c r="L219" s="275"/>
      <c r="M219" s="275"/>
      <c r="N219" s="275"/>
      <c r="O219" s="275"/>
      <c r="P219" s="275"/>
      <c r="Q219" s="275"/>
      <c r="R219" s="276"/>
      <c r="S219" s="175"/>
      <c r="T219" s="175"/>
      <c r="U219" s="175"/>
      <c r="V219" s="175"/>
      <c r="W219" s="175"/>
      <c r="X219" s="175"/>
      <c r="Y219" s="175"/>
      <c r="Z219" s="175"/>
      <c r="AA219" s="175"/>
      <c r="AB219" s="175"/>
      <c r="AC219" s="175"/>
      <c r="AD219" s="175"/>
      <c r="AE219" s="175"/>
    </row>
    <row r="220" spans="1:31" s="25" customFormat="1" ht="30" customHeight="1">
      <c r="A220" s="98">
        <v>265</v>
      </c>
      <c r="B220" s="357"/>
      <c r="C220" s="241">
        <v>22</v>
      </c>
      <c r="D220" s="2039" t="s">
        <v>493</v>
      </c>
      <c r="E220" s="2040"/>
      <c r="F220" s="350"/>
      <c r="G220" s="242"/>
      <c r="H220" s="242"/>
      <c r="I220" s="1228">
        <v>11</v>
      </c>
      <c r="J220" s="266"/>
      <c r="K220" s="275"/>
      <c r="L220" s="275"/>
      <c r="M220" s="275"/>
      <c r="N220" s="275"/>
      <c r="O220" s="275"/>
      <c r="P220" s="275"/>
      <c r="Q220" s="275"/>
      <c r="R220" s="276"/>
      <c r="S220" s="175"/>
      <c r="T220" s="175"/>
      <c r="U220" s="175"/>
      <c r="V220" s="175"/>
      <c r="W220" s="175"/>
      <c r="X220" s="175"/>
      <c r="Y220" s="175"/>
      <c r="Z220" s="175"/>
      <c r="AA220" s="175"/>
      <c r="AB220" s="175"/>
      <c r="AC220" s="175"/>
      <c r="AD220" s="175"/>
      <c r="AE220" s="175"/>
    </row>
    <row r="221" spans="1:31" s="25" customFormat="1" ht="18" customHeight="1">
      <c r="A221" s="98">
        <v>266</v>
      </c>
      <c r="B221" s="357"/>
      <c r="C221" s="238">
        <v>23</v>
      </c>
      <c r="D221" s="493" t="s">
        <v>583</v>
      </c>
      <c r="E221" s="493"/>
      <c r="F221" s="350"/>
      <c r="G221" s="242"/>
      <c r="H221" s="242"/>
      <c r="I221" s="1228">
        <v>14897</v>
      </c>
      <c r="J221" s="266"/>
      <c r="K221" s="275"/>
      <c r="L221" s="275"/>
      <c r="M221" s="275"/>
      <c r="N221" s="275"/>
      <c r="O221" s="275"/>
      <c r="P221" s="275"/>
      <c r="Q221" s="275"/>
      <c r="R221" s="276"/>
      <c r="S221" s="175"/>
      <c r="T221" s="175"/>
      <c r="U221" s="175"/>
      <c r="V221" s="175"/>
      <c r="W221" s="175"/>
      <c r="X221" s="175"/>
      <c r="Y221" s="175"/>
      <c r="Z221" s="175"/>
      <c r="AA221" s="175"/>
      <c r="AB221" s="175"/>
      <c r="AC221" s="175"/>
      <c r="AD221" s="175"/>
      <c r="AE221" s="175"/>
    </row>
    <row r="222" spans="1:31" s="25" customFormat="1" ht="18" customHeight="1">
      <c r="A222" s="98">
        <v>267</v>
      </c>
      <c r="B222" s="357"/>
      <c r="C222" s="489"/>
      <c r="D222" s="1283"/>
      <c r="E222" s="483" t="s">
        <v>994</v>
      </c>
      <c r="F222" s="350"/>
      <c r="G222" s="242"/>
      <c r="H222" s="242"/>
      <c r="I222" s="1228"/>
      <c r="J222" s="266">
        <f>SUM(K222:R222)</f>
        <v>16</v>
      </c>
      <c r="K222" s="275"/>
      <c r="L222" s="275"/>
      <c r="M222" s="275">
        <v>16</v>
      </c>
      <c r="N222" s="275"/>
      <c r="O222" s="275"/>
      <c r="P222" s="275"/>
      <c r="Q222" s="275"/>
      <c r="R222" s="276"/>
      <c r="S222" s="175"/>
      <c r="T222" s="175"/>
      <c r="U222" s="175"/>
      <c r="V222" s="175"/>
      <c r="W222" s="175"/>
      <c r="X222" s="175"/>
      <c r="Y222" s="175"/>
      <c r="Z222" s="175"/>
      <c r="AA222" s="175"/>
      <c r="AB222" s="175"/>
      <c r="AC222" s="175"/>
      <c r="AD222" s="175"/>
      <c r="AE222" s="175"/>
    </row>
    <row r="223" spans="1:31" s="31" customFormat="1" ht="18" customHeight="1">
      <c r="A223" s="98">
        <v>268</v>
      </c>
      <c r="B223" s="1018"/>
      <c r="C223" s="1031"/>
      <c r="D223" s="1031"/>
      <c r="E223" s="1032" t="s">
        <v>1035</v>
      </c>
      <c r="F223" s="243"/>
      <c r="G223" s="243"/>
      <c r="H223" s="243"/>
      <c r="I223" s="1033"/>
      <c r="J223" s="1034">
        <f>SUM(K223:R223)</f>
        <v>16</v>
      </c>
      <c r="K223" s="270"/>
      <c r="L223" s="270"/>
      <c r="M223" s="270">
        <v>16</v>
      </c>
      <c r="N223" s="270"/>
      <c r="O223" s="270"/>
      <c r="P223" s="270"/>
      <c r="Q223" s="270"/>
      <c r="R223" s="271"/>
      <c r="S223" s="113"/>
      <c r="T223" s="113"/>
      <c r="U223" s="113"/>
      <c r="V223" s="113"/>
      <c r="W223" s="113"/>
      <c r="X223" s="113"/>
      <c r="Y223" s="113"/>
      <c r="Z223" s="113"/>
      <c r="AA223" s="113"/>
      <c r="AB223" s="113"/>
      <c r="AC223" s="113"/>
      <c r="AD223" s="113"/>
      <c r="AE223" s="113"/>
    </row>
    <row r="224" spans="1:31" s="34" customFormat="1" ht="18" customHeight="1">
      <c r="A224" s="98">
        <v>270</v>
      </c>
      <c r="B224" s="357"/>
      <c r="C224" s="1229">
        <v>24</v>
      </c>
      <c r="D224" s="493" t="s">
        <v>609</v>
      </c>
      <c r="E224" s="493"/>
      <c r="F224" s="1036"/>
      <c r="G224" s="1036"/>
      <c r="H224" s="1036"/>
      <c r="I224" s="1037"/>
      <c r="J224" s="266"/>
      <c r="K224" s="1038"/>
      <c r="L224" s="1038"/>
      <c r="M224" s="1038"/>
      <c r="N224" s="1038"/>
      <c r="O224" s="1038"/>
      <c r="P224" s="1038"/>
      <c r="Q224" s="1038"/>
      <c r="R224" s="1039"/>
      <c r="S224" s="220"/>
      <c r="T224" s="220"/>
      <c r="U224" s="220"/>
      <c r="V224" s="220"/>
      <c r="W224" s="220"/>
      <c r="X224" s="220"/>
      <c r="Y224" s="220"/>
      <c r="Z224" s="220"/>
      <c r="AA224" s="220"/>
      <c r="AB224" s="220"/>
      <c r="AC224" s="220"/>
      <c r="AD224" s="220"/>
      <c r="AE224" s="220"/>
    </row>
    <row r="225" spans="1:31" s="34" customFormat="1" ht="18" customHeight="1">
      <c r="A225" s="98">
        <v>271</v>
      </c>
      <c r="B225" s="357"/>
      <c r="C225" s="1229"/>
      <c r="D225" s="1283"/>
      <c r="E225" s="483" t="s">
        <v>994</v>
      </c>
      <c r="F225" s="1036"/>
      <c r="G225" s="1036"/>
      <c r="H225" s="1036"/>
      <c r="I225" s="1037"/>
      <c r="J225" s="266">
        <f>SUM(K225:R225)</f>
        <v>250</v>
      </c>
      <c r="K225" s="1038">
        <v>212</v>
      </c>
      <c r="L225" s="1038">
        <v>38</v>
      </c>
      <c r="M225" s="1038"/>
      <c r="N225" s="1038"/>
      <c r="O225" s="1038"/>
      <c r="P225" s="1038"/>
      <c r="Q225" s="1038"/>
      <c r="R225" s="1039"/>
      <c r="S225" s="220"/>
      <c r="T225" s="220"/>
      <c r="U225" s="220"/>
      <c r="V225" s="220"/>
      <c r="W225" s="220"/>
      <c r="X225" s="220"/>
      <c r="Y225" s="220"/>
      <c r="Z225" s="220"/>
      <c r="AA225" s="220"/>
      <c r="AB225" s="220"/>
      <c r="AC225" s="220"/>
      <c r="AD225" s="220"/>
      <c r="AE225" s="220"/>
    </row>
    <row r="226" spans="1:31" s="34" customFormat="1" ht="18" customHeight="1">
      <c r="A226" s="98">
        <v>272</v>
      </c>
      <c r="B226" s="357"/>
      <c r="C226" s="1035"/>
      <c r="D226" s="1179"/>
      <c r="E226" s="1032" t="s">
        <v>1036</v>
      </c>
      <c r="F226" s="1036"/>
      <c r="G226" s="1036"/>
      <c r="H226" s="1036"/>
      <c r="I226" s="1037"/>
      <c r="J226" s="1034">
        <f>SUM(K226:R226)</f>
        <v>250</v>
      </c>
      <c r="K226" s="270">
        <v>213</v>
      </c>
      <c r="L226" s="270">
        <v>37</v>
      </c>
      <c r="M226" s="1038"/>
      <c r="N226" s="1038"/>
      <c r="O226" s="1038"/>
      <c r="P226" s="1038"/>
      <c r="Q226" s="1038"/>
      <c r="R226" s="1039"/>
      <c r="S226" s="220"/>
      <c r="T226" s="220"/>
      <c r="U226" s="220"/>
      <c r="V226" s="220"/>
      <c r="W226" s="220"/>
      <c r="X226" s="220"/>
      <c r="Y226" s="220"/>
      <c r="Z226" s="220"/>
      <c r="AA226" s="220"/>
      <c r="AB226" s="220"/>
      <c r="AC226" s="220"/>
      <c r="AD226" s="220"/>
      <c r="AE226" s="220"/>
    </row>
    <row r="227" spans="1:31" s="34" customFormat="1" ht="18" customHeight="1">
      <c r="A227" s="98">
        <v>274</v>
      </c>
      <c r="B227" s="357"/>
      <c r="C227" s="1229">
        <v>25</v>
      </c>
      <c r="D227" s="493" t="s">
        <v>816</v>
      </c>
      <c r="E227" s="493"/>
      <c r="F227" s="1036"/>
      <c r="G227" s="1036"/>
      <c r="H227" s="1036"/>
      <c r="I227" s="1037"/>
      <c r="J227" s="266"/>
      <c r="K227" s="1038"/>
      <c r="L227" s="1038"/>
      <c r="M227" s="1038"/>
      <c r="N227" s="1038"/>
      <c r="O227" s="1038"/>
      <c r="P227" s="1038"/>
      <c r="Q227" s="1038"/>
      <c r="R227" s="1039"/>
      <c r="S227" s="220"/>
      <c r="T227" s="220"/>
      <c r="U227" s="220"/>
      <c r="V227" s="220"/>
      <c r="W227" s="220"/>
      <c r="X227" s="220"/>
      <c r="Y227" s="220"/>
      <c r="Z227" s="220"/>
      <c r="AA227" s="220"/>
      <c r="AB227" s="220"/>
      <c r="AC227" s="220"/>
      <c r="AD227" s="220"/>
      <c r="AE227" s="220"/>
    </row>
    <row r="228" spans="1:31" s="34" customFormat="1" ht="18" customHeight="1">
      <c r="A228" s="98">
        <v>275</v>
      </c>
      <c r="B228" s="357"/>
      <c r="C228" s="1229"/>
      <c r="D228" s="1283"/>
      <c r="E228" s="483" t="s">
        <v>994</v>
      </c>
      <c r="F228" s="1036"/>
      <c r="G228" s="1036"/>
      <c r="H228" s="1036"/>
      <c r="I228" s="1037"/>
      <c r="J228" s="266">
        <f>SUM(K228:R228)</f>
        <v>2500</v>
      </c>
      <c r="K228" s="1038"/>
      <c r="L228" s="1038"/>
      <c r="M228" s="1038">
        <v>2170</v>
      </c>
      <c r="N228" s="1038"/>
      <c r="O228" s="1038"/>
      <c r="P228" s="1038">
        <v>330</v>
      </c>
      <c r="Q228" s="1038"/>
      <c r="R228" s="1039"/>
      <c r="S228" s="220"/>
      <c r="T228" s="220"/>
      <c r="U228" s="220"/>
      <c r="V228" s="220"/>
      <c r="W228" s="220"/>
      <c r="X228" s="220"/>
      <c r="Y228" s="220"/>
      <c r="Z228" s="220"/>
      <c r="AA228" s="220"/>
      <c r="AB228" s="220"/>
      <c r="AC228" s="220"/>
      <c r="AD228" s="220"/>
      <c r="AE228" s="220"/>
    </row>
    <row r="229" spans="1:31" s="34" customFormat="1" ht="18" customHeight="1">
      <c r="A229" s="98">
        <v>276</v>
      </c>
      <c r="B229" s="357"/>
      <c r="C229" s="1035"/>
      <c r="D229" s="1179"/>
      <c r="E229" s="1032" t="s">
        <v>1035</v>
      </c>
      <c r="F229" s="1036"/>
      <c r="G229" s="1036"/>
      <c r="H229" s="1036"/>
      <c r="I229" s="1037"/>
      <c r="J229" s="1034">
        <f>SUM(K229:R229)</f>
        <v>2297</v>
      </c>
      <c r="K229" s="1038"/>
      <c r="L229" s="1038"/>
      <c r="M229" s="270">
        <v>2062</v>
      </c>
      <c r="N229" s="270"/>
      <c r="O229" s="270"/>
      <c r="P229" s="270">
        <v>235</v>
      </c>
      <c r="Q229" s="1038"/>
      <c r="R229" s="1039"/>
      <c r="S229" s="220"/>
      <c r="T229" s="220"/>
      <c r="U229" s="220"/>
      <c r="V229" s="220"/>
      <c r="W229" s="220"/>
      <c r="X229" s="220"/>
      <c r="Y229" s="220"/>
      <c r="Z229" s="220"/>
      <c r="AA229" s="220"/>
      <c r="AB229" s="220"/>
      <c r="AC229" s="220"/>
      <c r="AD229" s="220"/>
      <c r="AE229" s="220"/>
    </row>
    <row r="230" spans="1:31" s="34" customFormat="1" ht="18" customHeight="1">
      <c r="A230" s="98">
        <v>278</v>
      </c>
      <c r="B230" s="357"/>
      <c r="C230" s="1229">
        <v>26</v>
      </c>
      <c r="D230" s="493" t="s">
        <v>46</v>
      </c>
      <c r="E230" s="493"/>
      <c r="F230" s="1036"/>
      <c r="G230" s="1036"/>
      <c r="H230" s="1036"/>
      <c r="I230" s="1037"/>
      <c r="J230" s="266"/>
      <c r="K230" s="1038"/>
      <c r="L230" s="1038"/>
      <c r="M230" s="1038"/>
      <c r="N230" s="1038"/>
      <c r="O230" s="1038"/>
      <c r="P230" s="1038"/>
      <c r="Q230" s="1038"/>
      <c r="R230" s="1039"/>
      <c r="S230" s="220"/>
      <c r="T230" s="220"/>
      <c r="U230" s="220"/>
      <c r="V230" s="220"/>
      <c r="W230" s="220"/>
      <c r="X230" s="220"/>
      <c r="Y230" s="220"/>
      <c r="Z230" s="220"/>
      <c r="AA230" s="220"/>
      <c r="AB230" s="220"/>
      <c r="AC230" s="220"/>
      <c r="AD230" s="220"/>
      <c r="AE230" s="220"/>
    </row>
    <row r="231" spans="1:31" s="34" customFormat="1" ht="18" customHeight="1">
      <c r="A231" s="98">
        <v>279</v>
      </c>
      <c r="B231" s="357"/>
      <c r="C231" s="1229"/>
      <c r="D231" s="1283"/>
      <c r="E231" s="483" t="s">
        <v>994</v>
      </c>
      <c r="F231" s="1036"/>
      <c r="G231" s="1036"/>
      <c r="H231" s="1036"/>
      <c r="I231" s="1037"/>
      <c r="J231" s="266">
        <f>SUM(K231:R231)</f>
        <v>32</v>
      </c>
      <c r="K231" s="1038">
        <v>2</v>
      </c>
      <c r="L231" s="1038">
        <v>1</v>
      </c>
      <c r="M231" s="1038">
        <v>29</v>
      </c>
      <c r="N231" s="1038"/>
      <c r="O231" s="1038"/>
      <c r="P231" s="1038"/>
      <c r="Q231" s="1038"/>
      <c r="R231" s="1039"/>
      <c r="S231" s="220"/>
      <c r="T231" s="220"/>
      <c r="U231" s="220"/>
      <c r="V231" s="220"/>
      <c r="W231" s="220"/>
      <c r="X231" s="220"/>
      <c r="Y231" s="220"/>
      <c r="Z231" s="220"/>
      <c r="AA231" s="220"/>
      <c r="AB231" s="220"/>
      <c r="AC231" s="220"/>
      <c r="AD231" s="220"/>
      <c r="AE231" s="220"/>
    </row>
    <row r="232" spans="1:31" s="34" customFormat="1" ht="18" customHeight="1">
      <c r="A232" s="98">
        <v>280</v>
      </c>
      <c r="B232" s="357"/>
      <c r="C232" s="1035"/>
      <c r="D232" s="1179"/>
      <c r="E232" s="1032" t="s">
        <v>1036</v>
      </c>
      <c r="F232" s="1036"/>
      <c r="G232" s="1036"/>
      <c r="H232" s="1036"/>
      <c r="I232" s="1037"/>
      <c r="J232" s="1034">
        <f>SUM(K232:R232)</f>
        <v>36</v>
      </c>
      <c r="K232" s="270">
        <v>2</v>
      </c>
      <c r="L232" s="270">
        <v>1</v>
      </c>
      <c r="M232" s="270">
        <v>33</v>
      </c>
      <c r="N232" s="1038"/>
      <c r="O232" s="1038"/>
      <c r="P232" s="1038"/>
      <c r="Q232" s="1038"/>
      <c r="R232" s="1039"/>
      <c r="S232" s="220"/>
      <c r="T232" s="220"/>
      <c r="U232" s="220"/>
      <c r="V232" s="220"/>
      <c r="W232" s="220"/>
      <c r="X232" s="220"/>
      <c r="Y232" s="220"/>
      <c r="Z232" s="220"/>
      <c r="AA232" s="220"/>
      <c r="AB232" s="220"/>
      <c r="AC232" s="220"/>
      <c r="AD232" s="220"/>
      <c r="AE232" s="220"/>
    </row>
    <row r="233" spans="1:31" s="34" customFormat="1" ht="18" customHeight="1">
      <c r="A233" s="98">
        <v>282</v>
      </c>
      <c r="B233" s="357"/>
      <c r="C233" s="1229">
        <v>27</v>
      </c>
      <c r="D233" s="493" t="s">
        <v>614</v>
      </c>
      <c r="E233" s="493"/>
      <c r="F233" s="1036"/>
      <c r="G233" s="1036"/>
      <c r="H233" s="1036"/>
      <c r="I233" s="1037"/>
      <c r="J233" s="266"/>
      <c r="K233" s="1038"/>
      <c r="L233" s="1038"/>
      <c r="M233" s="1038"/>
      <c r="N233" s="1038"/>
      <c r="O233" s="1038"/>
      <c r="P233" s="1038"/>
      <c r="Q233" s="1038"/>
      <c r="R233" s="1039"/>
      <c r="S233" s="220"/>
      <c r="T233" s="220"/>
      <c r="U233" s="220"/>
      <c r="V233" s="220"/>
      <c r="W233" s="220"/>
      <c r="X233" s="220"/>
      <c r="Y233" s="220"/>
      <c r="Z233" s="220"/>
      <c r="AA233" s="220"/>
      <c r="AB233" s="220"/>
      <c r="AC233" s="220"/>
      <c r="AD233" s="220"/>
      <c r="AE233" s="220"/>
    </row>
    <row r="234" spans="1:31" s="34" customFormat="1" ht="18" customHeight="1">
      <c r="A234" s="98">
        <v>283</v>
      </c>
      <c r="B234" s="357"/>
      <c r="C234" s="1229"/>
      <c r="D234" s="1390"/>
      <c r="E234" s="483" t="s">
        <v>994</v>
      </c>
      <c r="F234" s="1036"/>
      <c r="G234" s="1036"/>
      <c r="H234" s="1036"/>
      <c r="I234" s="1037"/>
      <c r="J234" s="266">
        <f>SUM(K234:R234)</f>
        <v>3100</v>
      </c>
      <c r="K234" s="1038">
        <v>2684</v>
      </c>
      <c r="L234" s="1038">
        <v>416</v>
      </c>
      <c r="M234" s="1038"/>
      <c r="N234" s="1038"/>
      <c r="O234" s="1038"/>
      <c r="P234" s="1038"/>
      <c r="Q234" s="1038"/>
      <c r="R234" s="1039"/>
      <c r="S234" s="220"/>
      <c r="T234" s="220"/>
      <c r="U234" s="220"/>
      <c r="V234" s="220"/>
      <c r="W234" s="220"/>
      <c r="X234" s="220"/>
      <c r="Y234" s="220"/>
      <c r="Z234" s="220"/>
      <c r="AA234" s="220"/>
      <c r="AB234" s="220"/>
      <c r="AC234" s="220"/>
      <c r="AD234" s="220"/>
      <c r="AE234" s="220"/>
    </row>
    <row r="235" spans="1:31" s="34" customFormat="1" ht="18" customHeight="1">
      <c r="A235" s="98">
        <v>284</v>
      </c>
      <c r="B235" s="357"/>
      <c r="C235" s="1035"/>
      <c r="D235" s="1179"/>
      <c r="E235" s="1032" t="s">
        <v>1036</v>
      </c>
      <c r="F235" s="1036"/>
      <c r="G235" s="1036"/>
      <c r="H235" s="1036"/>
      <c r="I235" s="1037"/>
      <c r="J235" s="1034">
        <f>SUM(K235:R235)</f>
        <v>2474</v>
      </c>
      <c r="K235" s="270">
        <v>2175</v>
      </c>
      <c r="L235" s="270">
        <v>299</v>
      </c>
      <c r="M235" s="1038"/>
      <c r="N235" s="1038"/>
      <c r="O235" s="1038"/>
      <c r="P235" s="1038"/>
      <c r="Q235" s="1038"/>
      <c r="R235" s="1039"/>
      <c r="S235" s="220"/>
      <c r="T235" s="220"/>
      <c r="U235" s="220"/>
      <c r="V235" s="220"/>
      <c r="W235" s="220"/>
      <c r="X235" s="220"/>
      <c r="Y235" s="220"/>
      <c r="Z235" s="220"/>
      <c r="AA235" s="220"/>
      <c r="AB235" s="220"/>
      <c r="AC235" s="220"/>
      <c r="AD235" s="220"/>
      <c r="AE235" s="220"/>
    </row>
    <row r="236" spans="1:31" s="34" customFormat="1" ht="18" customHeight="1">
      <c r="A236" s="98">
        <v>286</v>
      </c>
      <c r="B236" s="357"/>
      <c r="C236" s="1229">
        <v>28</v>
      </c>
      <c r="D236" s="493" t="s">
        <v>991</v>
      </c>
      <c r="E236" s="493"/>
      <c r="F236" s="1036"/>
      <c r="G236" s="1036"/>
      <c r="H236" s="1036"/>
      <c r="I236" s="1037"/>
      <c r="J236" s="266"/>
      <c r="K236" s="1038"/>
      <c r="L236" s="1038"/>
      <c r="M236" s="1038"/>
      <c r="N236" s="1038"/>
      <c r="O236" s="1038"/>
      <c r="P236" s="1038"/>
      <c r="Q236" s="1038"/>
      <c r="R236" s="1039"/>
      <c r="S236" s="220"/>
      <c r="T236" s="220"/>
      <c r="U236" s="220"/>
      <c r="V236" s="220"/>
      <c r="W236" s="220"/>
      <c r="X236" s="220"/>
      <c r="Y236" s="220"/>
      <c r="Z236" s="220"/>
      <c r="AA236" s="220"/>
      <c r="AB236" s="220"/>
      <c r="AC236" s="220"/>
      <c r="AD236" s="220"/>
      <c r="AE236" s="220"/>
    </row>
    <row r="237" spans="1:31" s="34" customFormat="1" ht="18" customHeight="1">
      <c r="A237" s="98">
        <v>287</v>
      </c>
      <c r="B237" s="357"/>
      <c r="C237" s="1229"/>
      <c r="D237" s="1461"/>
      <c r="E237" s="483" t="s">
        <v>994</v>
      </c>
      <c r="F237" s="1036"/>
      <c r="G237" s="1036"/>
      <c r="H237" s="1036"/>
      <c r="I237" s="1037"/>
      <c r="J237" s="266">
        <f>SUM(K237:R237)</f>
        <v>47060</v>
      </c>
      <c r="K237" s="1038">
        <v>39706</v>
      </c>
      <c r="L237" s="1038">
        <v>6154</v>
      </c>
      <c r="M237" s="1038">
        <v>1200</v>
      </c>
      <c r="N237" s="1038"/>
      <c r="O237" s="1038"/>
      <c r="P237" s="1038"/>
      <c r="Q237" s="1038"/>
      <c r="R237" s="1039"/>
      <c r="S237" s="220"/>
      <c r="T237" s="220"/>
      <c r="U237" s="220"/>
      <c r="V237" s="220"/>
      <c r="W237" s="220"/>
      <c r="X237" s="220"/>
      <c r="Y237" s="220"/>
      <c r="Z237" s="220"/>
      <c r="AA237" s="220"/>
      <c r="AB237" s="220"/>
      <c r="AC237" s="220"/>
      <c r="AD237" s="220"/>
      <c r="AE237" s="220"/>
    </row>
    <row r="238" spans="1:31" s="34" customFormat="1" ht="18" customHeight="1">
      <c r="A238" s="98">
        <v>288</v>
      </c>
      <c r="B238" s="357"/>
      <c r="C238" s="1035"/>
      <c r="D238" s="1179"/>
      <c r="E238" s="1032" t="s">
        <v>1036</v>
      </c>
      <c r="F238" s="1036"/>
      <c r="G238" s="1036"/>
      <c r="H238" s="1036"/>
      <c r="I238" s="1037"/>
      <c r="J238" s="1034">
        <f>SUM(K238:R238)</f>
        <v>0</v>
      </c>
      <c r="K238" s="270">
        <v>0</v>
      </c>
      <c r="L238" s="270">
        <v>0</v>
      </c>
      <c r="M238" s="270">
        <v>0</v>
      </c>
      <c r="N238" s="1038"/>
      <c r="O238" s="1038"/>
      <c r="P238" s="1038"/>
      <c r="Q238" s="1038"/>
      <c r="R238" s="1039"/>
      <c r="S238" s="220"/>
      <c r="T238" s="220"/>
      <c r="U238" s="220"/>
      <c r="V238" s="220"/>
      <c r="W238" s="220"/>
      <c r="X238" s="220"/>
      <c r="Y238" s="220"/>
      <c r="Z238" s="220"/>
      <c r="AA238" s="220"/>
      <c r="AB238" s="220"/>
      <c r="AC238" s="220"/>
      <c r="AD238" s="220"/>
      <c r="AE238" s="220"/>
    </row>
    <row r="239" spans="1:31" s="25" customFormat="1" ht="18" customHeight="1">
      <c r="A239" s="98">
        <v>290</v>
      </c>
      <c r="B239" s="357"/>
      <c r="C239" s="238">
        <v>29</v>
      </c>
      <c r="D239" s="493" t="s">
        <v>425</v>
      </c>
      <c r="E239" s="493"/>
      <c r="F239" s="350"/>
      <c r="G239" s="242">
        <v>15790</v>
      </c>
      <c r="H239" s="242"/>
      <c r="I239" s="1228"/>
      <c r="J239" s="266"/>
      <c r="K239" s="275"/>
      <c r="L239" s="275"/>
      <c r="M239" s="275"/>
      <c r="N239" s="275"/>
      <c r="O239" s="275"/>
      <c r="P239" s="275"/>
      <c r="Q239" s="275"/>
      <c r="R239" s="276"/>
      <c r="S239" s="175"/>
      <c r="T239" s="175"/>
      <c r="U239" s="175"/>
      <c r="V239" s="175"/>
      <c r="W239" s="175"/>
      <c r="X239" s="175"/>
      <c r="Y239" s="175"/>
      <c r="Z239" s="175"/>
      <c r="AA239" s="175"/>
      <c r="AB239" s="175"/>
      <c r="AC239" s="175"/>
      <c r="AD239" s="175"/>
      <c r="AE239" s="175"/>
    </row>
    <row r="240" spans="1:31" s="25" customFormat="1" ht="18" customHeight="1">
      <c r="A240" s="98">
        <v>291</v>
      </c>
      <c r="B240" s="357"/>
      <c r="C240" s="238">
        <v>30</v>
      </c>
      <c r="D240" s="493" t="s">
        <v>488</v>
      </c>
      <c r="E240" s="493"/>
      <c r="F240" s="350"/>
      <c r="G240" s="242">
        <v>956</v>
      </c>
      <c r="H240" s="242"/>
      <c r="I240" s="1228"/>
      <c r="J240" s="266"/>
      <c r="K240" s="275"/>
      <c r="L240" s="275"/>
      <c r="M240" s="275"/>
      <c r="N240" s="275"/>
      <c r="O240" s="275"/>
      <c r="P240" s="275"/>
      <c r="Q240" s="275"/>
      <c r="R240" s="276"/>
      <c r="S240" s="175"/>
      <c r="T240" s="175"/>
      <c r="U240" s="175"/>
      <c r="V240" s="175"/>
      <c r="W240" s="175"/>
      <c r="X240" s="175"/>
      <c r="Y240" s="175"/>
      <c r="Z240" s="175"/>
      <c r="AA240" s="175"/>
      <c r="AB240" s="175"/>
      <c r="AC240" s="175"/>
      <c r="AD240" s="175"/>
      <c r="AE240" s="175"/>
    </row>
    <row r="241" spans="1:31" s="25" customFormat="1" ht="18" customHeight="1">
      <c r="A241" s="98">
        <v>292</v>
      </c>
      <c r="B241" s="357"/>
      <c r="C241" s="238">
        <v>31</v>
      </c>
      <c r="D241" s="493" t="s">
        <v>489</v>
      </c>
      <c r="E241" s="493"/>
      <c r="F241" s="350"/>
      <c r="G241" s="242">
        <v>1063</v>
      </c>
      <c r="H241" s="242"/>
      <c r="I241" s="1228"/>
      <c r="J241" s="266"/>
      <c r="K241" s="275"/>
      <c r="L241" s="275"/>
      <c r="M241" s="275"/>
      <c r="N241" s="275"/>
      <c r="O241" s="275"/>
      <c r="P241" s="275"/>
      <c r="Q241" s="275"/>
      <c r="R241" s="276"/>
      <c r="S241" s="175"/>
      <c r="T241" s="175"/>
      <c r="U241" s="175"/>
      <c r="V241" s="175"/>
      <c r="W241" s="175"/>
      <c r="X241" s="175"/>
      <c r="Y241" s="175"/>
      <c r="Z241" s="175"/>
      <c r="AA241" s="175"/>
      <c r="AB241" s="175"/>
      <c r="AC241" s="175"/>
      <c r="AD241" s="175"/>
      <c r="AE241" s="175"/>
    </row>
    <row r="242" spans="1:31" s="25" customFormat="1" ht="30" customHeight="1" thickBot="1">
      <c r="A242" s="98">
        <v>293</v>
      </c>
      <c r="B242" s="357"/>
      <c r="C242" s="241">
        <v>32</v>
      </c>
      <c r="D242" s="2089" t="s">
        <v>487</v>
      </c>
      <c r="E242" s="2090"/>
      <c r="F242" s="350"/>
      <c r="G242" s="242">
        <v>252</v>
      </c>
      <c r="H242" s="242"/>
      <c r="I242" s="1228"/>
      <c r="J242" s="266"/>
      <c r="K242" s="275"/>
      <c r="L242" s="275"/>
      <c r="M242" s="275"/>
      <c r="N242" s="275"/>
      <c r="O242" s="275"/>
      <c r="P242" s="275"/>
      <c r="Q242" s="275"/>
      <c r="R242" s="276"/>
      <c r="S242" s="175"/>
      <c r="T242" s="175"/>
      <c r="U242" s="175"/>
      <c r="V242" s="175"/>
      <c r="W242" s="175"/>
      <c r="X242" s="175"/>
      <c r="Y242" s="175"/>
      <c r="Z242" s="175"/>
      <c r="AA242" s="175"/>
      <c r="AB242" s="175"/>
      <c r="AC242" s="175"/>
      <c r="AD242" s="175"/>
      <c r="AE242" s="175"/>
    </row>
    <row r="243" spans="1:31" s="33" customFormat="1" ht="22.5" customHeight="1" thickTop="1">
      <c r="A243" s="98">
        <v>294</v>
      </c>
      <c r="B243" s="336"/>
      <c r="C243" s="2080" t="s">
        <v>572</v>
      </c>
      <c r="D243" s="2081"/>
      <c r="E243" s="2082"/>
      <c r="F243" s="625"/>
      <c r="G243" s="511">
        <f>SUM(G148:G242)</f>
        <v>1459238</v>
      </c>
      <c r="H243" s="511">
        <f>SUM(H148:H242)</f>
        <v>1572895</v>
      </c>
      <c r="I243" s="513">
        <f>SUM(I148:I242)</f>
        <v>1582989</v>
      </c>
      <c r="J243" s="514"/>
      <c r="K243" s="516"/>
      <c r="L243" s="516"/>
      <c r="M243" s="516"/>
      <c r="N243" s="516"/>
      <c r="O243" s="516"/>
      <c r="P243" s="516"/>
      <c r="Q243" s="516"/>
      <c r="R243" s="517"/>
      <c r="S243" s="216"/>
      <c r="T243" s="216"/>
      <c r="U243" s="216"/>
      <c r="V243" s="216"/>
      <c r="W243" s="216"/>
      <c r="X243" s="216"/>
      <c r="Y243" s="216"/>
      <c r="Z243" s="216"/>
      <c r="AA243" s="216"/>
      <c r="AB243" s="216"/>
      <c r="AC243" s="216"/>
      <c r="AD243" s="216"/>
      <c r="AE243" s="216"/>
    </row>
    <row r="244" spans="1:31" s="581" customFormat="1" ht="18" customHeight="1">
      <c r="A244" s="98">
        <v>295</v>
      </c>
      <c r="B244" s="574"/>
      <c r="C244" s="587"/>
      <c r="D244" s="616"/>
      <c r="E244" s="1052" t="s">
        <v>303</v>
      </c>
      <c r="F244" s="1053"/>
      <c r="G244" s="599"/>
      <c r="H244" s="599"/>
      <c r="I244" s="617"/>
      <c r="J244" s="618">
        <f>SUM(K244:R244)</f>
        <v>1675561</v>
      </c>
      <c r="K244" s="1054">
        <f aca="true" t="shared" si="9" ref="K244:R244">SUM(K150,K165,K169,K173,K179,K183,K187,K194,K198,K203,K207,K212,K216)</f>
        <v>1137523</v>
      </c>
      <c r="L244" s="1054">
        <f t="shared" si="9"/>
        <v>205853</v>
      </c>
      <c r="M244" s="1054">
        <f t="shared" si="9"/>
        <v>297820</v>
      </c>
      <c r="N244" s="1054">
        <f t="shared" si="9"/>
        <v>0</v>
      </c>
      <c r="O244" s="1054">
        <f t="shared" si="9"/>
        <v>0</v>
      </c>
      <c r="P244" s="1054">
        <f t="shared" si="9"/>
        <v>34365</v>
      </c>
      <c r="Q244" s="1054">
        <f t="shared" si="9"/>
        <v>0</v>
      </c>
      <c r="R244" s="1055">
        <f t="shared" si="9"/>
        <v>0</v>
      </c>
      <c r="S244" s="633"/>
      <c r="T244" s="633"/>
      <c r="U244" s="633"/>
      <c r="V244" s="633"/>
      <c r="W244" s="633"/>
      <c r="X244" s="633"/>
      <c r="Y244" s="633"/>
      <c r="Z244" s="633"/>
      <c r="AA244" s="633"/>
      <c r="AB244" s="633"/>
      <c r="AC244" s="633"/>
      <c r="AD244" s="633"/>
      <c r="AE244" s="633"/>
    </row>
    <row r="245" spans="1:31" s="581" customFormat="1" ht="18" customHeight="1">
      <c r="A245" s="98">
        <v>296</v>
      </c>
      <c r="B245" s="574"/>
      <c r="C245" s="587"/>
      <c r="D245" s="616"/>
      <c r="E245" s="483" t="s">
        <v>994</v>
      </c>
      <c r="F245" s="1053"/>
      <c r="G245" s="599"/>
      <c r="H245" s="599"/>
      <c r="I245" s="617"/>
      <c r="J245" s="266">
        <f>SUM(K245:R245)</f>
        <v>1945752</v>
      </c>
      <c r="K245" s="1285">
        <f aca="true" t="shared" si="10" ref="K245:R245">SUM(K151,K166,K170,K174,K180,K184,K188,K195,K199,K204,K208,K213,K217)+K222+K225+K228+K231+K234+K237</f>
        <v>1229649</v>
      </c>
      <c r="L245" s="1285">
        <f t="shared" si="10"/>
        <v>242777</v>
      </c>
      <c r="M245" s="1285">
        <f t="shared" si="10"/>
        <v>440439</v>
      </c>
      <c r="N245" s="1285">
        <f t="shared" si="10"/>
        <v>0</v>
      </c>
      <c r="O245" s="1285">
        <f t="shared" si="10"/>
        <v>0</v>
      </c>
      <c r="P245" s="1285">
        <f t="shared" si="10"/>
        <v>32887</v>
      </c>
      <c r="Q245" s="1285">
        <f t="shared" si="10"/>
        <v>0</v>
      </c>
      <c r="R245" s="1286">
        <f t="shared" si="10"/>
        <v>0</v>
      </c>
      <c r="S245" s="633"/>
      <c r="T245" s="633"/>
      <c r="U245" s="633"/>
      <c r="V245" s="633"/>
      <c r="W245" s="633"/>
      <c r="X245" s="633"/>
      <c r="Y245" s="633"/>
      <c r="Z245" s="633"/>
      <c r="AA245" s="633"/>
      <c r="AB245" s="633"/>
      <c r="AC245" s="633"/>
      <c r="AD245" s="633"/>
      <c r="AE245" s="633"/>
    </row>
    <row r="246" spans="1:31" s="31" customFormat="1" ht="18" customHeight="1" thickBot="1">
      <c r="A246" s="98">
        <v>297</v>
      </c>
      <c r="B246" s="1018"/>
      <c r="C246" s="1041"/>
      <c r="D246" s="1031"/>
      <c r="E246" s="1032" t="s">
        <v>1036</v>
      </c>
      <c r="F246" s="243"/>
      <c r="G246" s="243"/>
      <c r="H246" s="243"/>
      <c r="I246" s="1033"/>
      <c r="J246" s="1284">
        <f>SUM(K246:R246)</f>
        <v>1490907</v>
      </c>
      <c r="K246" s="270">
        <f aca="true" t="shared" si="11" ref="K246:R246">SUM(K152:K152,K167:K167,K171:K171,K175:K175,K181:K181,K185:K185,K189:K189,K196:K196,K200:K200,K205:K205,K209:K209,K214:K214,K218:K218,K223:K223,)+K226+K229+K232+K235+K238</f>
        <v>1054423</v>
      </c>
      <c r="L246" s="270">
        <f t="shared" si="11"/>
        <v>194612</v>
      </c>
      <c r="M246" s="270">
        <f t="shared" si="11"/>
        <v>224766</v>
      </c>
      <c r="N246" s="270">
        <f t="shared" si="11"/>
        <v>0</v>
      </c>
      <c r="O246" s="270">
        <f t="shared" si="11"/>
        <v>0</v>
      </c>
      <c r="P246" s="270">
        <f t="shared" si="11"/>
        <v>17106</v>
      </c>
      <c r="Q246" s="270">
        <f t="shared" si="11"/>
        <v>0</v>
      </c>
      <c r="R246" s="271">
        <f t="shared" si="11"/>
        <v>0</v>
      </c>
      <c r="S246" s="113"/>
      <c r="T246" s="113"/>
      <c r="U246" s="113"/>
      <c r="V246" s="113"/>
      <c r="W246" s="113"/>
      <c r="X246" s="113"/>
      <c r="Y246" s="113"/>
      <c r="Z246" s="113"/>
      <c r="AA246" s="113"/>
      <c r="AB246" s="113"/>
      <c r="AC246" s="113"/>
      <c r="AD246" s="113"/>
      <c r="AE246" s="113"/>
    </row>
    <row r="247" spans="1:31" s="33" customFormat="1" ht="36" customHeight="1">
      <c r="A247" s="98">
        <v>299</v>
      </c>
      <c r="B247" s="2041" t="s">
        <v>13</v>
      </c>
      <c r="C247" s="2042"/>
      <c r="D247" s="2042"/>
      <c r="E247" s="2043"/>
      <c r="F247" s="626"/>
      <c r="G247" s="602">
        <f>SUM(G243,G144)</f>
        <v>7353582</v>
      </c>
      <c r="H247" s="602">
        <f>SUM(H243,H144)</f>
        <v>7596089</v>
      </c>
      <c r="I247" s="1230">
        <f>SUM(I243,I144)</f>
        <v>8054296</v>
      </c>
      <c r="J247" s="627"/>
      <c r="K247" s="602"/>
      <c r="L247" s="602"/>
      <c r="M247" s="602"/>
      <c r="N247" s="602"/>
      <c r="O247" s="602"/>
      <c r="P247" s="602"/>
      <c r="Q247" s="602"/>
      <c r="R247" s="628"/>
      <c r="S247" s="216"/>
      <c r="T247" s="216"/>
      <c r="U247" s="216"/>
      <c r="V247" s="216"/>
      <c r="W247" s="216"/>
      <c r="X247" s="216"/>
      <c r="Y247" s="216"/>
      <c r="Z247" s="216"/>
      <c r="AA247" s="216"/>
      <c r="AB247" s="216"/>
      <c r="AC247" s="216"/>
      <c r="AD247" s="216"/>
      <c r="AE247" s="216"/>
    </row>
    <row r="248" spans="1:31" s="581" customFormat="1" ht="18" customHeight="1">
      <c r="A248" s="98">
        <v>300</v>
      </c>
      <c r="B248" s="603"/>
      <c r="C248" s="587"/>
      <c r="D248" s="616"/>
      <c r="E248" s="1052" t="s">
        <v>303</v>
      </c>
      <c r="F248" s="1053"/>
      <c r="G248" s="599"/>
      <c r="H248" s="599"/>
      <c r="I248" s="617"/>
      <c r="J248" s="618">
        <f>SUM(K248:R248)</f>
        <v>8038573</v>
      </c>
      <c r="K248" s="1054">
        <f aca="true" t="shared" si="12" ref="K248:R248">SUM(K244,K145)</f>
        <v>4439418</v>
      </c>
      <c r="L248" s="1054">
        <f t="shared" si="12"/>
        <v>851687</v>
      </c>
      <c r="M248" s="1054">
        <f t="shared" si="12"/>
        <v>2680254</v>
      </c>
      <c r="N248" s="1054">
        <f t="shared" si="12"/>
        <v>0</v>
      </c>
      <c r="O248" s="1054">
        <f t="shared" si="12"/>
        <v>178</v>
      </c>
      <c r="P248" s="1054">
        <f t="shared" si="12"/>
        <v>67036</v>
      </c>
      <c r="Q248" s="1054">
        <f t="shared" si="12"/>
        <v>0</v>
      </c>
      <c r="R248" s="1055">
        <f t="shared" si="12"/>
        <v>0</v>
      </c>
      <c r="S248" s="633"/>
      <c r="T248" s="633"/>
      <c r="U248" s="633"/>
      <c r="V248" s="633"/>
      <c r="W248" s="633"/>
      <c r="X248" s="633"/>
      <c r="Y248" s="633"/>
      <c r="Z248" s="633"/>
      <c r="AA248" s="633"/>
      <c r="AB248" s="633"/>
      <c r="AC248" s="633"/>
      <c r="AD248" s="633"/>
      <c r="AE248" s="633"/>
    </row>
    <row r="249" spans="1:31" s="581" customFormat="1" ht="18" customHeight="1">
      <c r="A249" s="98">
        <v>301</v>
      </c>
      <c r="B249" s="603"/>
      <c r="C249" s="587"/>
      <c r="D249" s="616"/>
      <c r="E249" s="483" t="s">
        <v>994</v>
      </c>
      <c r="F249" s="1053"/>
      <c r="G249" s="599"/>
      <c r="H249" s="599"/>
      <c r="I249" s="617"/>
      <c r="J249" s="1057">
        <f>SUM(K249:R249)</f>
        <v>9057932</v>
      </c>
      <c r="K249" s="1285">
        <f aca="true" t="shared" si="13" ref="K249:R249">SUM(K245,K146)</f>
        <v>4978495</v>
      </c>
      <c r="L249" s="1285">
        <f t="shared" si="13"/>
        <v>959283</v>
      </c>
      <c r="M249" s="1285">
        <f t="shared" si="13"/>
        <v>2907471</v>
      </c>
      <c r="N249" s="1285">
        <f t="shared" si="13"/>
        <v>0</v>
      </c>
      <c r="O249" s="1285">
        <f t="shared" si="13"/>
        <v>647</v>
      </c>
      <c r="P249" s="1285">
        <f t="shared" si="13"/>
        <v>208919</v>
      </c>
      <c r="Q249" s="1285">
        <f t="shared" si="13"/>
        <v>3117</v>
      </c>
      <c r="R249" s="1286">
        <f t="shared" si="13"/>
        <v>0</v>
      </c>
      <c r="S249" s="633"/>
      <c r="T249" s="633"/>
      <c r="U249" s="633"/>
      <c r="V249" s="633"/>
      <c r="W249" s="633"/>
      <c r="X249" s="633"/>
      <c r="Y249" s="633"/>
      <c r="Z249" s="633"/>
      <c r="AA249" s="633"/>
      <c r="AB249" s="633"/>
      <c r="AC249" s="633"/>
      <c r="AD249" s="633"/>
      <c r="AE249" s="633"/>
    </row>
    <row r="250" spans="1:31" s="31" customFormat="1" ht="18" customHeight="1" thickBot="1">
      <c r="A250" s="98">
        <v>302</v>
      </c>
      <c r="B250" s="1018"/>
      <c r="C250" s="1041"/>
      <c r="D250" s="1031"/>
      <c r="E250" s="1032" t="s">
        <v>1036</v>
      </c>
      <c r="F250" s="243"/>
      <c r="G250" s="243"/>
      <c r="H250" s="243"/>
      <c r="I250" s="1033"/>
      <c r="J250" s="1034">
        <f>SUM(K250:R250)</f>
        <v>7660387</v>
      </c>
      <c r="K250" s="270">
        <f aca="true" t="shared" si="14" ref="K250:R250">SUM(K147,K246)</f>
        <v>4597000</v>
      </c>
      <c r="L250" s="270">
        <f t="shared" si="14"/>
        <v>835197</v>
      </c>
      <c r="M250" s="270">
        <f t="shared" si="14"/>
        <v>2053464</v>
      </c>
      <c r="N250" s="270">
        <f t="shared" si="14"/>
        <v>0</v>
      </c>
      <c r="O250" s="270">
        <f t="shared" si="14"/>
        <v>351</v>
      </c>
      <c r="P250" s="270">
        <f t="shared" si="14"/>
        <v>171260</v>
      </c>
      <c r="Q250" s="270">
        <f t="shared" si="14"/>
        <v>3115</v>
      </c>
      <c r="R250" s="271">
        <f t="shared" si="14"/>
        <v>0</v>
      </c>
      <c r="S250" s="113"/>
      <c r="T250" s="113"/>
      <c r="U250" s="113"/>
      <c r="V250" s="113"/>
      <c r="W250" s="113"/>
      <c r="X250" s="113"/>
      <c r="Y250" s="113"/>
      <c r="Z250" s="113"/>
      <c r="AA250" s="113"/>
      <c r="AB250" s="113"/>
      <c r="AC250" s="113"/>
      <c r="AD250" s="113"/>
      <c r="AE250" s="113"/>
    </row>
    <row r="251" spans="1:31" s="31" customFormat="1" ht="15" customHeight="1">
      <c r="A251" s="98">
        <v>304</v>
      </c>
      <c r="B251" s="2091" t="s">
        <v>166</v>
      </c>
      <c r="C251" s="2092"/>
      <c r="D251" s="2092"/>
      <c r="E251" s="2093"/>
      <c r="F251" s="358"/>
      <c r="G251" s="277"/>
      <c r="H251" s="277"/>
      <c r="I251" s="1231"/>
      <c r="J251" s="280"/>
      <c r="K251" s="277"/>
      <c r="L251" s="277"/>
      <c r="M251" s="277"/>
      <c r="N251" s="277"/>
      <c r="O251" s="277"/>
      <c r="P251" s="277"/>
      <c r="Q251" s="277"/>
      <c r="R251" s="278"/>
      <c r="S251" s="222"/>
      <c r="T251" s="113"/>
      <c r="U251" s="113"/>
      <c r="V251" s="113"/>
      <c r="W251" s="113"/>
      <c r="X251" s="113"/>
      <c r="Y251" s="113"/>
      <c r="Z251" s="113"/>
      <c r="AA251" s="113"/>
      <c r="AB251" s="113"/>
      <c r="AC251" s="113"/>
      <c r="AD251" s="113"/>
      <c r="AE251" s="113"/>
    </row>
    <row r="252" spans="1:31" s="31" customFormat="1" ht="15" customHeight="1">
      <c r="A252" s="98">
        <v>305</v>
      </c>
      <c r="B252" s="2083" t="s">
        <v>167</v>
      </c>
      <c r="C252" s="2084"/>
      <c r="D252" s="2084"/>
      <c r="E252" s="2085"/>
      <c r="F252" s="2085"/>
      <c r="G252" s="264">
        <f>SUM(G68:G116,G64,G43,G140)</f>
        <v>4832764</v>
      </c>
      <c r="H252" s="264">
        <f>SUM(H68:H116,H64,H43,H140)</f>
        <v>5148329</v>
      </c>
      <c r="I252" s="1232">
        <f>SUM(I68:I116,I64,I43,I140)</f>
        <v>5457000</v>
      </c>
      <c r="J252" s="279"/>
      <c r="K252" s="242"/>
      <c r="L252" s="242"/>
      <c r="M252" s="242"/>
      <c r="N252" s="242"/>
      <c r="O252" s="242"/>
      <c r="P252" s="242"/>
      <c r="Q252" s="242"/>
      <c r="R252" s="252"/>
      <c r="S252" s="222"/>
      <c r="T252" s="113"/>
      <c r="U252" s="113"/>
      <c r="V252" s="113"/>
      <c r="W252" s="113"/>
      <c r="X252" s="113"/>
      <c r="Y252" s="113"/>
      <c r="Z252" s="113"/>
      <c r="AA252" s="113"/>
      <c r="AB252" s="113"/>
      <c r="AC252" s="113"/>
      <c r="AD252" s="113"/>
      <c r="AE252" s="113"/>
    </row>
    <row r="253" spans="1:31" s="613" customFormat="1" ht="15" customHeight="1">
      <c r="A253" s="98">
        <v>306</v>
      </c>
      <c r="B253" s="634"/>
      <c r="C253" s="635"/>
      <c r="D253" s="635"/>
      <c r="E253" s="607" t="s">
        <v>303</v>
      </c>
      <c r="F253" s="636"/>
      <c r="G253" s="637"/>
      <c r="H253" s="637"/>
      <c r="I253" s="1233"/>
      <c r="J253" s="629">
        <f>SUM(K253:R253)</f>
        <v>5482717</v>
      </c>
      <c r="K253" s="629">
        <f aca="true" t="shared" si="15" ref="K253:R253">SUM(K44,K65,K69,K77,K81,K92,K101,K105,K116,K141,)</f>
        <v>2882682</v>
      </c>
      <c r="L253" s="629">
        <f t="shared" si="15"/>
        <v>565818</v>
      </c>
      <c r="M253" s="629">
        <f t="shared" si="15"/>
        <v>2006199</v>
      </c>
      <c r="N253" s="629">
        <f t="shared" si="15"/>
        <v>0</v>
      </c>
      <c r="O253" s="629">
        <f t="shared" si="15"/>
        <v>178</v>
      </c>
      <c r="P253" s="629">
        <f t="shared" si="15"/>
        <v>27840</v>
      </c>
      <c r="Q253" s="629">
        <f t="shared" si="15"/>
        <v>0</v>
      </c>
      <c r="R253" s="630">
        <f t="shared" si="15"/>
        <v>0</v>
      </c>
      <c r="S253" s="614"/>
      <c r="T253" s="612"/>
      <c r="U253" s="612"/>
      <c r="V253" s="612"/>
      <c r="W253" s="612"/>
      <c r="X253" s="612"/>
      <c r="Y253" s="612"/>
      <c r="Z253" s="612"/>
      <c r="AA253" s="612"/>
      <c r="AB253" s="612"/>
      <c r="AC253" s="612"/>
      <c r="AD253" s="612"/>
      <c r="AE253" s="612"/>
    </row>
    <row r="254" spans="1:31" s="613" customFormat="1" ht="15" customHeight="1">
      <c r="A254" s="98">
        <v>307</v>
      </c>
      <c r="B254" s="634"/>
      <c r="C254" s="635"/>
      <c r="D254" s="635"/>
      <c r="E254" s="483" t="s">
        <v>994</v>
      </c>
      <c r="F254" s="636"/>
      <c r="G254" s="637"/>
      <c r="H254" s="637"/>
      <c r="I254" s="1234"/>
      <c r="J254" s="279">
        <f>SUM(K254:R254)</f>
        <v>5986699</v>
      </c>
      <c r="K254" s="275">
        <f aca="true" t="shared" si="16" ref="K254:R254">SUM(K45,K66,K70,K78,K82,K93,K102,K106,K142,)+K89+K113</f>
        <v>3215320</v>
      </c>
      <c r="L254" s="275">
        <f t="shared" si="16"/>
        <v>625766</v>
      </c>
      <c r="M254" s="275">
        <f t="shared" si="16"/>
        <v>1998367</v>
      </c>
      <c r="N254" s="275">
        <f t="shared" si="16"/>
        <v>0</v>
      </c>
      <c r="O254" s="275">
        <f t="shared" si="16"/>
        <v>357</v>
      </c>
      <c r="P254" s="275">
        <f t="shared" si="16"/>
        <v>143772</v>
      </c>
      <c r="Q254" s="275">
        <f t="shared" si="16"/>
        <v>3117</v>
      </c>
      <c r="R254" s="276">
        <f t="shared" si="16"/>
        <v>0</v>
      </c>
      <c r="S254" s="614"/>
      <c r="T254" s="612"/>
      <c r="U254" s="612"/>
      <c r="V254" s="612"/>
      <c r="W254" s="612"/>
      <c r="X254" s="612"/>
      <c r="Y254" s="612"/>
      <c r="Z254" s="612"/>
      <c r="AA254" s="612"/>
      <c r="AB254" s="612"/>
      <c r="AC254" s="612"/>
      <c r="AD254" s="612"/>
      <c r="AE254" s="612"/>
    </row>
    <row r="255" spans="1:31" s="31" customFormat="1" ht="18" customHeight="1">
      <c r="A255" s="98">
        <v>308</v>
      </c>
      <c r="B255" s="1018"/>
      <c r="C255" s="1041"/>
      <c r="D255" s="1031"/>
      <c r="E255" s="1032" t="s">
        <v>1036</v>
      </c>
      <c r="F255" s="243"/>
      <c r="G255" s="243"/>
      <c r="H255" s="243"/>
      <c r="I255" s="1033"/>
      <c r="J255" s="1034">
        <f>SUM(K255:R255)</f>
        <v>5189835</v>
      </c>
      <c r="K255" s="270">
        <f>SUM(K46,K67,K71:K71,K79,K83:K83,K94:K94,K103,K107:K107,)+K143+K90+K114</f>
        <v>3029144</v>
      </c>
      <c r="L255" s="270">
        <f aca="true" t="shared" si="17" ref="L255:R255">SUM(L46,L67,L71:L71,L79,L83:L83,L94:L94,L103,L107:L107,)+L143+L90+L114</f>
        <v>558763</v>
      </c>
      <c r="M255" s="270">
        <f t="shared" si="17"/>
        <v>1473404</v>
      </c>
      <c r="N255" s="270">
        <f t="shared" si="17"/>
        <v>0</v>
      </c>
      <c r="O255" s="270">
        <f t="shared" si="17"/>
        <v>351</v>
      </c>
      <c r="P255" s="270">
        <f t="shared" si="17"/>
        <v>125058</v>
      </c>
      <c r="Q255" s="270">
        <f t="shared" si="17"/>
        <v>3115</v>
      </c>
      <c r="R255" s="271">
        <f t="shared" si="17"/>
        <v>0</v>
      </c>
      <c r="S255" s="113"/>
      <c r="T255" s="113"/>
      <c r="U255" s="113"/>
      <c r="V255" s="113"/>
      <c r="W255" s="113"/>
      <c r="X255" s="113"/>
      <c r="Y255" s="113"/>
      <c r="Z255" s="113"/>
      <c r="AA255" s="113"/>
      <c r="AB255" s="113"/>
      <c r="AC255" s="113"/>
      <c r="AD255" s="113"/>
      <c r="AE255" s="113"/>
    </row>
    <row r="256" spans="1:31" s="31" customFormat="1" ht="15" customHeight="1">
      <c r="A256" s="98">
        <v>310</v>
      </c>
      <c r="B256" s="2083" t="s">
        <v>166</v>
      </c>
      <c r="C256" s="2084"/>
      <c r="D256" s="2084"/>
      <c r="E256" s="2085"/>
      <c r="F256" s="359"/>
      <c r="G256" s="264"/>
      <c r="H256" s="264"/>
      <c r="I256" s="1232"/>
      <c r="J256" s="281"/>
      <c r="K256" s="264"/>
      <c r="L256" s="264"/>
      <c r="M256" s="264"/>
      <c r="N256" s="264"/>
      <c r="O256" s="264"/>
      <c r="P256" s="264"/>
      <c r="Q256" s="264"/>
      <c r="R256" s="272"/>
      <c r="S256" s="222"/>
      <c r="T256" s="113"/>
      <c r="U256" s="113"/>
      <c r="V256" s="113"/>
      <c r="W256" s="113"/>
      <c r="X256" s="113"/>
      <c r="Y256" s="113"/>
      <c r="Z256" s="113"/>
      <c r="AA256" s="113"/>
      <c r="AB256" s="113"/>
      <c r="AC256" s="113"/>
      <c r="AD256" s="113"/>
      <c r="AE256" s="113"/>
    </row>
    <row r="257" spans="1:31" s="31" customFormat="1" ht="15" customHeight="1">
      <c r="A257" s="98">
        <v>311</v>
      </c>
      <c r="B257" s="2083" t="s">
        <v>168</v>
      </c>
      <c r="C257" s="2084"/>
      <c r="D257" s="2084"/>
      <c r="E257" s="2085"/>
      <c r="F257" s="2085"/>
      <c r="G257" s="264">
        <f>SUM(G117:G133)</f>
        <v>1061580</v>
      </c>
      <c r="H257" s="264">
        <f>SUM(H117:H133)</f>
        <v>874865</v>
      </c>
      <c r="I257" s="1232">
        <f>SUM(I117:I133)</f>
        <v>1014307</v>
      </c>
      <c r="J257" s="281"/>
      <c r="K257" s="264"/>
      <c r="L257" s="264"/>
      <c r="M257" s="264"/>
      <c r="N257" s="264"/>
      <c r="O257" s="264"/>
      <c r="P257" s="264"/>
      <c r="Q257" s="264"/>
      <c r="R257" s="272"/>
      <c r="S257" s="222"/>
      <c r="T257" s="113"/>
      <c r="U257" s="113"/>
      <c r="V257" s="113"/>
      <c r="W257" s="113"/>
      <c r="X257" s="113"/>
      <c r="Y257" s="113"/>
      <c r="Z257" s="113"/>
      <c r="AA257" s="113"/>
      <c r="AB257" s="113"/>
      <c r="AC257" s="113"/>
      <c r="AD257" s="113"/>
      <c r="AE257" s="113"/>
    </row>
    <row r="258" spans="1:31" s="613" customFormat="1" ht="15" customHeight="1">
      <c r="A258" s="98">
        <v>312</v>
      </c>
      <c r="B258" s="634"/>
      <c r="C258" s="635"/>
      <c r="D258" s="635"/>
      <c r="E258" s="607" t="s">
        <v>303</v>
      </c>
      <c r="F258" s="636"/>
      <c r="G258" s="637"/>
      <c r="H258" s="637"/>
      <c r="I258" s="1234"/>
      <c r="J258" s="638">
        <f>SUM(K258:R258)</f>
        <v>880295</v>
      </c>
      <c r="K258" s="629">
        <f aca="true" t="shared" si="18" ref="K258:R258">SUM(K118,K122,K133)+K126</f>
        <v>419213</v>
      </c>
      <c r="L258" s="629">
        <f t="shared" si="18"/>
        <v>80016</v>
      </c>
      <c r="M258" s="629">
        <f t="shared" si="18"/>
        <v>376235</v>
      </c>
      <c r="N258" s="629">
        <f t="shared" si="18"/>
        <v>0</v>
      </c>
      <c r="O258" s="629">
        <f t="shared" si="18"/>
        <v>0</v>
      </c>
      <c r="P258" s="629">
        <f t="shared" si="18"/>
        <v>4831</v>
      </c>
      <c r="Q258" s="629">
        <f t="shared" si="18"/>
        <v>0</v>
      </c>
      <c r="R258" s="630">
        <f t="shared" si="18"/>
        <v>0</v>
      </c>
      <c r="S258" s="614"/>
      <c r="T258" s="612"/>
      <c r="U258" s="612"/>
      <c r="V258" s="612"/>
      <c r="W258" s="612"/>
      <c r="X258" s="612"/>
      <c r="Y258" s="612"/>
      <c r="Z258" s="612"/>
      <c r="AA258" s="612"/>
      <c r="AB258" s="612"/>
      <c r="AC258" s="612"/>
      <c r="AD258" s="612"/>
      <c r="AE258" s="612"/>
    </row>
    <row r="259" spans="1:31" s="613" customFormat="1" ht="15" customHeight="1">
      <c r="A259" s="98">
        <v>313</v>
      </c>
      <c r="B259" s="634"/>
      <c r="C259" s="635"/>
      <c r="D259" s="635"/>
      <c r="E259" s="483" t="s">
        <v>994</v>
      </c>
      <c r="F259" s="636"/>
      <c r="G259" s="637"/>
      <c r="H259" s="637"/>
      <c r="I259" s="1234"/>
      <c r="J259" s="279">
        <f>SUM(K259:R259)</f>
        <v>1125481</v>
      </c>
      <c r="K259" s="275">
        <f aca="true" t="shared" si="19" ref="K259:R259">SUM(K119,K123,K134)+K127+K130</f>
        <v>533526</v>
      </c>
      <c r="L259" s="275">
        <f t="shared" si="19"/>
        <v>90740</v>
      </c>
      <c r="M259" s="275">
        <f t="shared" si="19"/>
        <v>468665</v>
      </c>
      <c r="N259" s="275">
        <f t="shared" si="19"/>
        <v>0</v>
      </c>
      <c r="O259" s="275">
        <f t="shared" si="19"/>
        <v>290</v>
      </c>
      <c r="P259" s="275">
        <f t="shared" si="19"/>
        <v>32260</v>
      </c>
      <c r="Q259" s="275">
        <f t="shared" si="19"/>
        <v>0</v>
      </c>
      <c r="R259" s="276">
        <f t="shared" si="19"/>
        <v>0</v>
      </c>
      <c r="S259" s="614"/>
      <c r="T259" s="612"/>
      <c r="U259" s="612"/>
      <c r="V259" s="612"/>
      <c r="W259" s="612"/>
      <c r="X259" s="612"/>
      <c r="Y259" s="612"/>
      <c r="Z259" s="612"/>
      <c r="AA259" s="612"/>
      <c r="AB259" s="612"/>
      <c r="AC259" s="612"/>
      <c r="AD259" s="612"/>
      <c r="AE259" s="612"/>
    </row>
    <row r="260" spans="1:31" s="31" customFormat="1" ht="18" customHeight="1">
      <c r="A260" s="98">
        <v>314</v>
      </c>
      <c r="B260" s="1018"/>
      <c r="C260" s="1041"/>
      <c r="D260" s="1031"/>
      <c r="E260" s="1032" t="s">
        <v>1036</v>
      </c>
      <c r="F260" s="243"/>
      <c r="G260" s="243"/>
      <c r="H260" s="243"/>
      <c r="I260" s="1033"/>
      <c r="J260" s="1034">
        <f>SUM(K260:R260)</f>
        <v>979645</v>
      </c>
      <c r="K260" s="270">
        <f aca="true" t="shared" si="20" ref="K260:R260">SUM(K120:K120,K124,K128,K135:K135)+K131</f>
        <v>513433</v>
      </c>
      <c r="L260" s="270">
        <f t="shared" si="20"/>
        <v>81822</v>
      </c>
      <c r="M260" s="270">
        <f t="shared" si="20"/>
        <v>355294</v>
      </c>
      <c r="N260" s="270">
        <f t="shared" si="20"/>
        <v>0</v>
      </c>
      <c r="O260" s="270">
        <f t="shared" si="20"/>
        <v>0</v>
      </c>
      <c r="P260" s="270">
        <f t="shared" si="20"/>
        <v>29096</v>
      </c>
      <c r="Q260" s="270">
        <f t="shared" si="20"/>
        <v>0</v>
      </c>
      <c r="R260" s="271">
        <f t="shared" si="20"/>
        <v>0</v>
      </c>
      <c r="S260" s="113"/>
      <c r="T260" s="113"/>
      <c r="U260" s="113"/>
      <c r="V260" s="113"/>
      <c r="W260" s="113"/>
      <c r="X260" s="113"/>
      <c r="Y260" s="113"/>
      <c r="Z260" s="113"/>
      <c r="AA260" s="113"/>
      <c r="AB260" s="113"/>
      <c r="AC260" s="113"/>
      <c r="AD260" s="113"/>
      <c r="AE260" s="113"/>
    </row>
    <row r="261" spans="1:31" s="31" customFormat="1" ht="15" customHeight="1">
      <c r="A261" s="98">
        <v>316</v>
      </c>
      <c r="B261" s="2083" t="s">
        <v>166</v>
      </c>
      <c r="C261" s="2084"/>
      <c r="D261" s="2084"/>
      <c r="E261" s="2085"/>
      <c r="F261" s="359"/>
      <c r="G261" s="264"/>
      <c r="H261" s="264"/>
      <c r="I261" s="1232"/>
      <c r="J261" s="281"/>
      <c r="K261" s="275"/>
      <c r="L261" s="275"/>
      <c r="M261" s="275"/>
      <c r="N261" s="275"/>
      <c r="O261" s="275"/>
      <c r="P261" s="275"/>
      <c r="Q261" s="275"/>
      <c r="R261" s="276"/>
      <c r="S261" s="222"/>
      <c r="T261" s="113"/>
      <c r="U261" s="113"/>
      <c r="V261" s="113"/>
      <c r="W261" s="113"/>
      <c r="X261" s="113"/>
      <c r="Y261" s="113"/>
      <c r="Z261" s="113"/>
      <c r="AA261" s="113"/>
      <c r="AB261" s="113"/>
      <c r="AC261" s="113"/>
      <c r="AD261" s="113"/>
      <c r="AE261" s="113"/>
    </row>
    <row r="262" spans="1:31" s="31" customFormat="1" ht="15" customHeight="1">
      <c r="A262" s="98">
        <v>317</v>
      </c>
      <c r="B262" s="2086" t="s">
        <v>169</v>
      </c>
      <c r="C262" s="2087"/>
      <c r="D262" s="2087"/>
      <c r="E262" s="2088"/>
      <c r="F262" s="2088"/>
      <c r="G262" s="263">
        <f>SUM(G243)</f>
        <v>1459238</v>
      </c>
      <c r="H262" s="263">
        <f>SUM(H243)</f>
        <v>1572895</v>
      </c>
      <c r="I262" s="1235">
        <f>SUM(I243)</f>
        <v>1582989</v>
      </c>
      <c r="J262" s="281"/>
      <c r="K262" s="264"/>
      <c r="L262" s="264"/>
      <c r="M262" s="264"/>
      <c r="N262" s="264"/>
      <c r="O262" s="264"/>
      <c r="P262" s="264"/>
      <c r="Q262" s="264"/>
      <c r="R262" s="272"/>
      <c r="S262" s="222"/>
      <c r="T262" s="113"/>
      <c r="U262" s="113"/>
      <c r="V262" s="113"/>
      <c r="W262" s="113"/>
      <c r="X262" s="113"/>
      <c r="Y262" s="113"/>
      <c r="Z262" s="113"/>
      <c r="AA262" s="113"/>
      <c r="AB262" s="113"/>
      <c r="AC262" s="113"/>
      <c r="AD262" s="113"/>
      <c r="AE262" s="113"/>
    </row>
    <row r="263" spans="1:31" s="639" customFormat="1" ht="15" customHeight="1">
      <c r="A263" s="98">
        <v>318</v>
      </c>
      <c r="B263" s="1060"/>
      <c r="C263" s="1061"/>
      <c r="D263" s="1061"/>
      <c r="E263" s="604" t="s">
        <v>303</v>
      </c>
      <c r="F263" s="1062"/>
      <c r="G263" s="1063"/>
      <c r="H263" s="1063"/>
      <c r="I263" s="1236"/>
      <c r="J263" s="1064">
        <f>SUM(K263:R263)</f>
        <v>1675561</v>
      </c>
      <c r="K263" s="1054">
        <f aca="true" t="shared" si="21" ref="K263:R264">K244</f>
        <v>1137523</v>
      </c>
      <c r="L263" s="1054">
        <f t="shared" si="21"/>
        <v>205853</v>
      </c>
      <c r="M263" s="1054">
        <f t="shared" si="21"/>
        <v>297820</v>
      </c>
      <c r="N263" s="1054">
        <f t="shared" si="21"/>
        <v>0</v>
      </c>
      <c r="O263" s="1054">
        <f t="shared" si="21"/>
        <v>0</v>
      </c>
      <c r="P263" s="1054">
        <f t="shared" si="21"/>
        <v>34365</v>
      </c>
      <c r="Q263" s="1054">
        <f t="shared" si="21"/>
        <v>0</v>
      </c>
      <c r="R263" s="1055">
        <f t="shared" si="21"/>
        <v>0</v>
      </c>
      <c r="S263" s="621"/>
      <c r="T263" s="621"/>
      <c r="U263" s="621"/>
      <c r="V263" s="621"/>
      <c r="W263" s="621"/>
      <c r="X263" s="621"/>
      <c r="Y263" s="621"/>
      <c r="Z263" s="621"/>
      <c r="AA263" s="621"/>
      <c r="AB263" s="621"/>
      <c r="AC263" s="621"/>
      <c r="AD263" s="621"/>
      <c r="AE263" s="621"/>
    </row>
    <row r="264" spans="1:31" s="639" customFormat="1" ht="15" customHeight="1">
      <c r="A264" s="98">
        <v>319</v>
      </c>
      <c r="B264" s="1060"/>
      <c r="C264" s="1061"/>
      <c r="D264" s="1061"/>
      <c r="E264" s="483" t="s">
        <v>994</v>
      </c>
      <c r="F264" s="1062"/>
      <c r="G264" s="1063"/>
      <c r="H264" s="1063"/>
      <c r="I264" s="1236"/>
      <c r="J264" s="1287">
        <f>SUM(K264:R264)</f>
        <v>1945752</v>
      </c>
      <c r="K264" s="1285">
        <f t="shared" si="21"/>
        <v>1229649</v>
      </c>
      <c r="L264" s="1285">
        <f t="shared" si="21"/>
        <v>242777</v>
      </c>
      <c r="M264" s="1285">
        <f t="shared" si="21"/>
        <v>440439</v>
      </c>
      <c r="N264" s="1285">
        <f t="shared" si="21"/>
        <v>0</v>
      </c>
      <c r="O264" s="1285">
        <f t="shared" si="21"/>
        <v>0</v>
      </c>
      <c r="P264" s="1285">
        <f t="shared" si="21"/>
        <v>32887</v>
      </c>
      <c r="Q264" s="1285">
        <f t="shared" si="21"/>
        <v>0</v>
      </c>
      <c r="R264" s="1286">
        <f t="shared" si="21"/>
        <v>0</v>
      </c>
      <c r="S264" s="621"/>
      <c r="T264" s="621"/>
      <c r="U264" s="621"/>
      <c r="V264" s="621"/>
      <c r="W264" s="621"/>
      <c r="X264" s="621"/>
      <c r="Y264" s="621"/>
      <c r="Z264" s="621"/>
      <c r="AA264" s="621"/>
      <c r="AB264" s="621"/>
      <c r="AC264" s="621"/>
      <c r="AD264" s="621"/>
      <c r="AE264" s="621"/>
    </row>
    <row r="265" spans="1:31" s="31" customFormat="1" ht="18" customHeight="1" thickBot="1">
      <c r="A265" s="98">
        <v>320</v>
      </c>
      <c r="B265" s="1508"/>
      <c r="C265" s="1522"/>
      <c r="D265" s="1523"/>
      <c r="E265" s="1524" t="s">
        <v>1036</v>
      </c>
      <c r="F265" s="1525"/>
      <c r="G265" s="1525"/>
      <c r="H265" s="1525"/>
      <c r="I265" s="1526"/>
      <c r="J265" s="1527">
        <f>SUM(K265:R265)</f>
        <v>1490907</v>
      </c>
      <c r="K265" s="1528">
        <f aca="true" t="shared" si="22" ref="K265:R265">SUM(K246)</f>
        <v>1054423</v>
      </c>
      <c r="L265" s="1528">
        <f t="shared" si="22"/>
        <v>194612</v>
      </c>
      <c r="M265" s="1528">
        <f t="shared" si="22"/>
        <v>224766</v>
      </c>
      <c r="N265" s="1528">
        <f t="shared" si="22"/>
        <v>0</v>
      </c>
      <c r="O265" s="1528">
        <f t="shared" si="22"/>
        <v>0</v>
      </c>
      <c r="P265" s="1528">
        <f t="shared" si="22"/>
        <v>17106</v>
      </c>
      <c r="Q265" s="1528">
        <f t="shared" si="22"/>
        <v>0</v>
      </c>
      <c r="R265" s="1529">
        <f t="shared" si="22"/>
        <v>0</v>
      </c>
      <c r="S265" s="113"/>
      <c r="T265" s="113"/>
      <c r="U265" s="113"/>
      <c r="V265" s="113"/>
      <c r="W265" s="113"/>
      <c r="X265" s="113"/>
      <c r="Y265" s="113"/>
      <c r="Z265" s="113"/>
      <c r="AA265" s="113"/>
      <c r="AB265" s="113"/>
      <c r="AC265" s="113"/>
      <c r="AD265" s="113"/>
      <c r="AE265" s="113"/>
    </row>
    <row r="266" spans="1:31" s="642" customFormat="1" ht="18" customHeight="1">
      <c r="A266" s="640"/>
      <c r="B266" s="644" t="s">
        <v>27</v>
      </c>
      <c r="C266" s="644"/>
      <c r="D266" s="644"/>
      <c r="E266" s="641"/>
      <c r="F266" s="419"/>
      <c r="G266" s="420"/>
      <c r="H266" s="420"/>
      <c r="I266" s="420"/>
      <c r="J266" s="421"/>
      <c r="K266" s="420"/>
      <c r="L266" s="420"/>
      <c r="M266" s="420"/>
      <c r="N266" s="420"/>
      <c r="O266" s="420"/>
      <c r="P266" s="420"/>
      <c r="Q266" s="420"/>
      <c r="R266" s="420"/>
      <c r="S266" s="960"/>
      <c r="T266" s="960"/>
      <c r="U266" s="960"/>
      <c r="V266" s="960"/>
      <c r="W266" s="960"/>
      <c r="X266" s="960"/>
      <c r="Y266" s="960"/>
      <c r="Z266" s="960"/>
      <c r="AA266" s="960"/>
      <c r="AB266" s="960"/>
      <c r="AC266" s="960"/>
      <c r="AD266" s="960"/>
      <c r="AE266" s="960"/>
    </row>
    <row r="267" spans="1:31" s="112" customFormat="1" ht="18" customHeight="1">
      <c r="A267" s="640"/>
      <c r="B267" s="643" t="s">
        <v>28</v>
      </c>
      <c r="C267" s="643"/>
      <c r="D267" s="643"/>
      <c r="E267" s="30"/>
      <c r="F267" s="30"/>
      <c r="G267" s="30"/>
      <c r="H267" s="30"/>
      <c r="I267" s="30"/>
      <c r="J267" s="30"/>
      <c r="K267" s="89"/>
      <c r="L267" s="89"/>
      <c r="M267" s="89"/>
      <c r="N267" s="89"/>
      <c r="O267" s="89"/>
      <c r="P267" s="89"/>
      <c r="Q267" s="89"/>
      <c r="R267" s="89"/>
      <c r="S267" s="114"/>
      <c r="T267" s="114"/>
      <c r="U267" s="114"/>
      <c r="V267" s="114"/>
      <c r="W267" s="114"/>
      <c r="X267" s="114"/>
      <c r="Y267" s="114"/>
      <c r="Z267" s="114"/>
      <c r="AA267" s="114"/>
      <c r="AB267" s="114"/>
      <c r="AC267" s="114"/>
      <c r="AD267" s="114"/>
      <c r="AE267" s="114"/>
    </row>
    <row r="268" spans="1:31" s="29" customFormat="1" ht="18" customHeight="1">
      <c r="A268" s="640"/>
      <c r="B268" s="643" t="s">
        <v>29</v>
      </c>
      <c r="C268" s="643"/>
      <c r="D268" s="643"/>
      <c r="E268" s="30"/>
      <c r="F268" s="348"/>
      <c r="G268" s="89"/>
      <c r="H268" s="89"/>
      <c r="I268" s="89"/>
      <c r="J268" s="1386"/>
      <c r="K268" s="89"/>
      <c r="L268" s="89"/>
      <c r="M268" s="89"/>
      <c r="N268" s="89"/>
      <c r="O268" s="89"/>
      <c r="P268" s="89"/>
      <c r="Q268" s="89"/>
      <c r="R268" s="89"/>
      <c r="S268" s="218"/>
      <c r="T268" s="218"/>
      <c r="U268" s="218"/>
      <c r="V268" s="218"/>
      <c r="W268" s="218"/>
      <c r="X268" s="218"/>
      <c r="Y268" s="218"/>
      <c r="Z268" s="218"/>
      <c r="AA268" s="218"/>
      <c r="AB268" s="218"/>
      <c r="AC268" s="218"/>
      <c r="AD268" s="218"/>
      <c r="AE268" s="218"/>
    </row>
    <row r="269" spans="7:18" ht="15">
      <c r="G269" s="218">
        <f>+G247-G252-G257-G262</f>
        <v>0</v>
      </c>
      <c r="H269" s="218">
        <f>+H247-H252-H257-H262</f>
        <v>0</v>
      </c>
      <c r="I269" s="1219">
        <f>+I247-I252-I257-I262</f>
        <v>0</v>
      </c>
      <c r="J269" s="114">
        <f aca="true" t="shared" si="23" ref="J269:R269">+J248-J253-J258-J263</f>
        <v>0</v>
      </c>
      <c r="K269" s="114">
        <f t="shared" si="23"/>
        <v>0</v>
      </c>
      <c r="L269" s="114">
        <f t="shared" si="23"/>
        <v>0</v>
      </c>
      <c r="M269" s="114">
        <f t="shared" si="23"/>
        <v>0</v>
      </c>
      <c r="N269" s="114">
        <f t="shared" si="23"/>
        <v>0</v>
      </c>
      <c r="O269" s="114">
        <f t="shared" si="23"/>
        <v>0</v>
      </c>
      <c r="P269" s="114">
        <f t="shared" si="23"/>
        <v>0</v>
      </c>
      <c r="Q269" s="114">
        <f t="shared" si="23"/>
        <v>0</v>
      </c>
      <c r="R269" s="114">
        <f t="shared" si="23"/>
        <v>0</v>
      </c>
    </row>
    <row r="270" spans="10:18" ht="15">
      <c r="J270" s="114">
        <f aca="true" t="shared" si="24" ref="J270:R270">+J250-J255-J260-J265</f>
        <v>0</v>
      </c>
      <c r="K270" s="114">
        <f t="shared" si="24"/>
        <v>0</v>
      </c>
      <c r="L270" s="114">
        <f t="shared" si="24"/>
        <v>0</v>
      </c>
      <c r="M270" s="114">
        <f t="shared" si="24"/>
        <v>0</v>
      </c>
      <c r="N270" s="114">
        <f t="shared" si="24"/>
        <v>0</v>
      </c>
      <c r="O270" s="114">
        <f t="shared" si="24"/>
        <v>0</v>
      </c>
      <c r="P270" s="114">
        <f t="shared" si="24"/>
        <v>0</v>
      </c>
      <c r="Q270" s="114">
        <f t="shared" si="24"/>
        <v>0</v>
      </c>
      <c r="R270" s="114">
        <f t="shared" si="24"/>
        <v>0</v>
      </c>
    </row>
  </sheetData>
  <sheetProtection/>
  <mergeCells count="42">
    <mergeCell ref="B261:E261"/>
    <mergeCell ref="B262:F262"/>
    <mergeCell ref="D220:E220"/>
    <mergeCell ref="D242:E242"/>
    <mergeCell ref="C243:E243"/>
    <mergeCell ref="B247:E247"/>
    <mergeCell ref="B251:E251"/>
    <mergeCell ref="B252:F252"/>
    <mergeCell ref="B256:E256"/>
    <mergeCell ref="B257:F257"/>
    <mergeCell ref="G7:G8"/>
    <mergeCell ref="D202:E202"/>
    <mergeCell ref="C43:E43"/>
    <mergeCell ref="C64:E64"/>
    <mergeCell ref="D116:E116"/>
    <mergeCell ref="D125:E125"/>
    <mergeCell ref="D193:E193"/>
    <mergeCell ref="B144:E144"/>
    <mergeCell ref="D176:E176"/>
    <mergeCell ref="D178:E178"/>
    <mergeCell ref="D182:E182"/>
    <mergeCell ref="D186:G186"/>
    <mergeCell ref="D129:E129"/>
    <mergeCell ref="D191:E191"/>
    <mergeCell ref="C136:E136"/>
    <mergeCell ref="D112:E112"/>
    <mergeCell ref="B1:R1"/>
    <mergeCell ref="K7:O7"/>
    <mergeCell ref="P7:R7"/>
    <mergeCell ref="D39:E39"/>
    <mergeCell ref="H7:H8"/>
    <mergeCell ref="I7:I8"/>
    <mergeCell ref="J7:J8"/>
    <mergeCell ref="D35:E35"/>
    <mergeCell ref="B3:R3"/>
    <mergeCell ref="B4:R4"/>
    <mergeCell ref="Q5:R5"/>
    <mergeCell ref="D6:E6"/>
    <mergeCell ref="B7:B8"/>
    <mergeCell ref="C7:C8"/>
    <mergeCell ref="D7:E8"/>
    <mergeCell ref="F7:F8"/>
  </mergeCells>
  <printOptions horizontalCentered="1"/>
  <pageMargins left="0.1968503937007874" right="0.1968503937007874" top="0.5905511811023623" bottom="0.5905511811023623" header="0.5118110236220472" footer="0.5118110236220472"/>
  <pageSetup fitToHeight="0" horizontalDpi="600" verticalDpi="600" orientation="landscape" paperSize="9" scale="55" r:id="rId1"/>
  <headerFooter alignWithMargins="0">
    <oddFooter>&amp;C -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O149"/>
  <sheetViews>
    <sheetView view="pageBreakPreview" zoomScaleSheetLayoutView="100" zoomScalePageLayoutView="0" workbookViewId="0" topLeftCell="A1">
      <selection activeCell="B1" sqref="B1"/>
    </sheetView>
  </sheetViews>
  <sheetFormatPr defaultColWidth="9.125" defaultRowHeight="12.75"/>
  <cols>
    <col min="1" max="1" width="3.75390625" style="664" customWidth="1"/>
    <col min="2" max="2" width="5.75390625" style="654" customWidth="1"/>
    <col min="3" max="3" width="5.75390625" style="655" customWidth="1"/>
    <col min="4" max="4" width="59.75390625" style="656" customWidth="1"/>
    <col min="5" max="5" width="6.75390625" style="657" customWidth="1"/>
    <col min="6" max="7" width="13.75390625" style="712" customWidth="1"/>
    <col min="8" max="9" width="13.75390625" style="1067" customWidth="1"/>
    <col min="10" max="10" width="15.75390625" style="1367" customWidth="1"/>
    <col min="11" max="11" width="15.75390625" style="1355" customWidth="1"/>
    <col min="12" max="16384" width="9.125" style="659" customWidth="1"/>
  </cols>
  <sheetData>
    <row r="1" spans="1:17" ht="16.5" customHeight="1">
      <c r="A1" s="1065"/>
      <c r="B1" s="1910" t="s">
        <v>1462</v>
      </c>
      <c r="C1" s="1910"/>
      <c r="D1" s="1910"/>
      <c r="E1" s="1910"/>
      <c r="F1" s="1910"/>
      <c r="G1" s="1910"/>
      <c r="H1" s="1910"/>
      <c r="I1" s="1910"/>
      <c r="J1" s="1910"/>
      <c r="K1" s="1910"/>
      <c r="L1" s="1910"/>
      <c r="M1" s="1910"/>
      <c r="N1" s="1910"/>
      <c r="O1" s="1910"/>
      <c r="P1" s="1910"/>
      <c r="Q1" s="1910"/>
    </row>
    <row r="2" spans="1:249" s="652" customFormat="1" ht="18" customHeight="1">
      <c r="A2" s="1065"/>
      <c r="B2" s="1413"/>
      <c r="C2" s="1413"/>
      <c r="D2" s="1413"/>
      <c r="E2" s="1413"/>
      <c r="F2" s="1413"/>
      <c r="G2" s="1413"/>
      <c r="H2" s="1413"/>
      <c r="I2" s="1413"/>
      <c r="J2" s="1413"/>
      <c r="K2" s="1413"/>
      <c r="L2" s="1066"/>
      <c r="M2" s="1066"/>
      <c r="N2" s="1066"/>
      <c r="O2" s="1066"/>
      <c r="P2" s="1066"/>
      <c r="Q2" s="1066"/>
      <c r="R2" s="1066"/>
      <c r="S2" s="1066"/>
      <c r="T2" s="1066"/>
      <c r="U2" s="1066"/>
      <c r="V2" s="1066"/>
      <c r="W2" s="1066"/>
      <c r="X2" s="1066"/>
      <c r="Y2" s="1066"/>
      <c r="Z2" s="1066"/>
      <c r="AA2" s="1066"/>
      <c r="AB2" s="1066"/>
      <c r="AC2" s="1066"/>
      <c r="AD2" s="1066"/>
      <c r="AE2" s="1066"/>
      <c r="AF2" s="1066"/>
      <c r="AG2" s="1066"/>
      <c r="AH2" s="1066"/>
      <c r="AI2" s="1066"/>
      <c r="AJ2" s="1066"/>
      <c r="AK2" s="1066"/>
      <c r="AL2" s="1066"/>
      <c r="AM2" s="1066"/>
      <c r="AN2" s="1066"/>
      <c r="AO2" s="1066"/>
      <c r="AP2" s="1066"/>
      <c r="AQ2" s="1066"/>
      <c r="AR2" s="1066"/>
      <c r="AS2" s="1066"/>
      <c r="AT2" s="1066"/>
      <c r="AU2" s="1066"/>
      <c r="AV2" s="1066"/>
      <c r="AW2" s="1066"/>
      <c r="AX2" s="1066"/>
      <c r="AY2" s="1066"/>
      <c r="AZ2" s="1066"/>
      <c r="BA2" s="1066"/>
      <c r="BB2" s="1066"/>
      <c r="BC2" s="1066"/>
      <c r="BD2" s="1066"/>
      <c r="BE2" s="1066"/>
      <c r="BF2" s="1066"/>
      <c r="BG2" s="1066"/>
      <c r="BH2" s="1066"/>
      <c r="BI2" s="1066"/>
      <c r="BJ2" s="1066"/>
      <c r="BK2" s="1066"/>
      <c r="BL2" s="1066"/>
      <c r="BM2" s="1066"/>
      <c r="BN2" s="1066"/>
      <c r="BO2" s="1066"/>
      <c r="BP2" s="1066"/>
      <c r="BQ2" s="1066"/>
      <c r="BR2" s="1066"/>
      <c r="BS2" s="1066"/>
      <c r="BT2" s="1066"/>
      <c r="BU2" s="1066"/>
      <c r="BV2" s="1066"/>
      <c r="BW2" s="1066"/>
      <c r="BX2" s="1066"/>
      <c r="BY2" s="1066"/>
      <c r="BZ2" s="1066"/>
      <c r="CA2" s="1066"/>
      <c r="CB2" s="1066"/>
      <c r="CC2" s="1066"/>
      <c r="CD2" s="1066"/>
      <c r="CE2" s="1066"/>
      <c r="CF2" s="1066"/>
      <c r="CG2" s="1066"/>
      <c r="CH2" s="1066"/>
      <c r="CI2" s="1066"/>
      <c r="CJ2" s="1066"/>
      <c r="CK2" s="1066"/>
      <c r="CL2" s="1066"/>
      <c r="CM2" s="1066"/>
      <c r="CN2" s="1066"/>
      <c r="CO2" s="1066"/>
      <c r="CP2" s="1066"/>
      <c r="CQ2" s="1066"/>
      <c r="CR2" s="1066"/>
      <c r="CS2" s="1066"/>
      <c r="CT2" s="1066"/>
      <c r="CU2" s="1066"/>
      <c r="CV2" s="1066"/>
      <c r="CW2" s="1066"/>
      <c r="CX2" s="1066"/>
      <c r="CY2" s="1066"/>
      <c r="CZ2" s="1066"/>
      <c r="DA2" s="1066"/>
      <c r="DB2" s="1066"/>
      <c r="DC2" s="1066"/>
      <c r="DD2" s="1066"/>
      <c r="DE2" s="1066"/>
      <c r="DF2" s="1066"/>
      <c r="DG2" s="1066"/>
      <c r="DH2" s="1066"/>
      <c r="DI2" s="1066"/>
      <c r="DJ2" s="1066"/>
      <c r="DK2" s="1066"/>
      <c r="DL2" s="1066"/>
      <c r="DM2" s="1066"/>
      <c r="DN2" s="1066"/>
      <c r="DO2" s="1066"/>
      <c r="DP2" s="1066"/>
      <c r="DQ2" s="1066"/>
      <c r="DR2" s="1066"/>
      <c r="DS2" s="1066"/>
      <c r="DT2" s="1066"/>
      <c r="DU2" s="1066"/>
      <c r="DV2" s="1066"/>
      <c r="DW2" s="1066"/>
      <c r="DX2" s="1066"/>
      <c r="DY2" s="1066"/>
      <c r="DZ2" s="1066"/>
      <c r="EA2" s="1066"/>
      <c r="EB2" s="1066"/>
      <c r="EC2" s="1066"/>
      <c r="ED2" s="1066"/>
      <c r="EE2" s="1066"/>
      <c r="EF2" s="1066"/>
      <c r="EG2" s="1066"/>
      <c r="EH2" s="1066"/>
      <c r="EI2" s="1066"/>
      <c r="EJ2" s="1066"/>
      <c r="EK2" s="1066"/>
      <c r="EL2" s="1066"/>
      <c r="EM2" s="1066"/>
      <c r="EN2" s="1066"/>
      <c r="EO2" s="1066"/>
      <c r="EP2" s="1066"/>
      <c r="EQ2" s="1066"/>
      <c r="ER2" s="1066"/>
      <c r="ES2" s="1066"/>
      <c r="ET2" s="1066"/>
      <c r="EU2" s="1066"/>
      <c r="EV2" s="1066"/>
      <c r="EW2" s="1066"/>
      <c r="EX2" s="1066"/>
      <c r="EY2" s="1066"/>
      <c r="EZ2" s="1066"/>
      <c r="FA2" s="1066"/>
      <c r="FB2" s="1066"/>
      <c r="FC2" s="1066"/>
      <c r="FD2" s="1066"/>
      <c r="FE2" s="1066"/>
      <c r="FF2" s="1066"/>
      <c r="FG2" s="1066"/>
      <c r="FH2" s="1066"/>
      <c r="FI2" s="1066"/>
      <c r="FJ2" s="1066"/>
      <c r="FK2" s="1066"/>
      <c r="FL2" s="1066"/>
      <c r="FM2" s="1066"/>
      <c r="FN2" s="1066"/>
      <c r="FO2" s="1066"/>
      <c r="FP2" s="1066"/>
      <c r="FQ2" s="1066"/>
      <c r="FR2" s="1066"/>
      <c r="FS2" s="1066"/>
      <c r="FT2" s="1066"/>
      <c r="FU2" s="1066"/>
      <c r="FV2" s="1066"/>
      <c r="FW2" s="1066"/>
      <c r="FX2" s="1066"/>
      <c r="FY2" s="1066"/>
      <c r="FZ2" s="1066"/>
      <c r="GA2" s="1066"/>
      <c r="GB2" s="1066"/>
      <c r="GC2" s="1066"/>
      <c r="GD2" s="1066"/>
      <c r="GE2" s="1066"/>
      <c r="GF2" s="1066"/>
      <c r="GG2" s="1066"/>
      <c r="GH2" s="1066"/>
      <c r="GI2" s="1066"/>
      <c r="GJ2" s="1066"/>
      <c r="GK2" s="1066"/>
      <c r="GL2" s="1066"/>
      <c r="GM2" s="1066"/>
      <c r="GN2" s="1066"/>
      <c r="GO2" s="1066"/>
      <c r="GP2" s="1066"/>
      <c r="GQ2" s="1066"/>
      <c r="GR2" s="1066"/>
      <c r="GS2" s="1066"/>
      <c r="GT2" s="1066"/>
      <c r="GU2" s="1066"/>
      <c r="GV2" s="1066"/>
      <c r="GW2" s="1066"/>
      <c r="GX2" s="1066"/>
      <c r="GY2" s="1066"/>
      <c r="GZ2" s="1066"/>
      <c r="HA2" s="1066"/>
      <c r="HB2" s="1066"/>
      <c r="HC2" s="1066"/>
      <c r="HD2" s="1066"/>
      <c r="HE2" s="1066"/>
      <c r="HF2" s="1066"/>
      <c r="HG2" s="1066"/>
      <c r="HH2" s="1066"/>
      <c r="HI2" s="1066"/>
      <c r="HJ2" s="1066"/>
      <c r="HK2" s="1066"/>
      <c r="HL2" s="1066"/>
      <c r="HM2" s="1066"/>
      <c r="HN2" s="1066"/>
      <c r="HO2" s="1066"/>
      <c r="HP2" s="1066"/>
      <c r="HQ2" s="1066"/>
      <c r="HR2" s="1066"/>
      <c r="HS2" s="1066"/>
      <c r="HT2" s="1066"/>
      <c r="HU2" s="1066"/>
      <c r="HV2" s="1066"/>
      <c r="HW2" s="1066"/>
      <c r="HX2" s="1066"/>
      <c r="HY2" s="1066"/>
      <c r="HZ2" s="1066"/>
      <c r="IA2" s="1066"/>
      <c r="IB2" s="1066"/>
      <c r="IC2" s="1066"/>
      <c r="ID2" s="1066"/>
      <c r="IE2" s="1066"/>
      <c r="IF2" s="1066"/>
      <c r="IG2" s="1066"/>
      <c r="IH2" s="1066"/>
      <c r="II2" s="1066"/>
      <c r="IJ2" s="1066"/>
      <c r="IK2" s="1066"/>
      <c r="IL2" s="1066"/>
      <c r="IM2" s="1066"/>
      <c r="IN2" s="1066"/>
      <c r="IO2" s="1066"/>
    </row>
    <row r="3" spans="1:11" s="652" customFormat="1" ht="24.75" customHeight="1">
      <c r="A3" s="653"/>
      <c r="B3" s="2094" t="s">
        <v>140</v>
      </c>
      <c r="C3" s="2094"/>
      <c r="D3" s="2094"/>
      <c r="E3" s="2094"/>
      <c r="F3" s="2094"/>
      <c r="G3" s="2094"/>
      <c r="H3" s="2094"/>
      <c r="I3" s="2094"/>
      <c r="J3" s="2094"/>
      <c r="K3" s="2094"/>
    </row>
    <row r="4" spans="1:11" s="652" customFormat="1" ht="24.75" customHeight="1">
      <c r="A4" s="653"/>
      <c r="B4" s="2095" t="s">
        <v>1045</v>
      </c>
      <c r="C4" s="2095"/>
      <c r="D4" s="2095"/>
      <c r="E4" s="2095"/>
      <c r="F4" s="2095"/>
      <c r="G4" s="2095"/>
      <c r="H4" s="2095"/>
      <c r="I4" s="2095"/>
      <c r="J4" s="2095"/>
      <c r="K4" s="2095"/>
    </row>
    <row r="5" spans="1:11" ht="18" customHeight="1">
      <c r="A5" s="654"/>
      <c r="H5" s="658"/>
      <c r="I5" s="658"/>
      <c r="J5" s="1362"/>
      <c r="K5" s="1362" t="s">
        <v>0</v>
      </c>
    </row>
    <row r="6" spans="1:249" s="663" customFormat="1" ht="18" customHeight="1" thickBot="1">
      <c r="A6" s="660"/>
      <c r="B6" s="661" t="s">
        <v>1</v>
      </c>
      <c r="C6" s="662" t="s">
        <v>3</v>
      </c>
      <c r="D6" s="662" t="s">
        <v>2</v>
      </c>
      <c r="E6" s="662" t="s">
        <v>4</v>
      </c>
      <c r="F6" s="662" t="s">
        <v>5</v>
      </c>
      <c r="G6" s="662" t="s">
        <v>15</v>
      </c>
      <c r="H6" s="662" t="s">
        <v>16</v>
      </c>
      <c r="I6" s="662" t="s">
        <v>17</v>
      </c>
      <c r="J6" s="662" t="s">
        <v>36</v>
      </c>
      <c r="K6" s="662" t="s">
        <v>30</v>
      </c>
      <c r="L6" s="660"/>
      <c r="M6" s="660"/>
      <c r="N6" s="660"/>
      <c r="O6" s="660"/>
      <c r="P6" s="660"/>
      <c r="Q6" s="660"/>
      <c r="R6" s="660"/>
      <c r="S6" s="660"/>
      <c r="T6" s="660"/>
      <c r="U6" s="660"/>
      <c r="V6" s="660"/>
      <c r="W6" s="660"/>
      <c r="X6" s="660"/>
      <c r="Y6" s="660"/>
      <c r="Z6" s="660"/>
      <c r="AA6" s="660"/>
      <c r="AB6" s="660"/>
      <c r="AC6" s="660"/>
      <c r="AD6" s="660"/>
      <c r="AE6" s="660"/>
      <c r="AF6" s="660"/>
      <c r="AG6" s="660"/>
      <c r="AH6" s="660"/>
      <c r="AI6" s="660"/>
      <c r="AJ6" s="660"/>
      <c r="AK6" s="660"/>
      <c r="AL6" s="660"/>
      <c r="AM6" s="660"/>
      <c r="AN6" s="660"/>
      <c r="AO6" s="660"/>
      <c r="AP6" s="660"/>
      <c r="AQ6" s="660"/>
      <c r="AR6" s="660"/>
      <c r="AS6" s="660"/>
      <c r="AT6" s="660"/>
      <c r="AU6" s="660"/>
      <c r="AV6" s="660"/>
      <c r="AW6" s="660"/>
      <c r="AX6" s="660"/>
      <c r="AY6" s="660"/>
      <c r="AZ6" s="660"/>
      <c r="BA6" s="660"/>
      <c r="BB6" s="660"/>
      <c r="BC6" s="660"/>
      <c r="BD6" s="660"/>
      <c r="BE6" s="660"/>
      <c r="BF6" s="660"/>
      <c r="BG6" s="660"/>
      <c r="BH6" s="660"/>
      <c r="BI6" s="660"/>
      <c r="BJ6" s="660"/>
      <c r="BK6" s="660"/>
      <c r="BL6" s="660"/>
      <c r="BM6" s="660"/>
      <c r="BN6" s="660"/>
      <c r="BO6" s="660"/>
      <c r="BP6" s="660"/>
      <c r="BQ6" s="660"/>
      <c r="BR6" s="660"/>
      <c r="BS6" s="660"/>
      <c r="BT6" s="660"/>
      <c r="BU6" s="660"/>
      <c r="BV6" s="660"/>
      <c r="BW6" s="660"/>
      <c r="BX6" s="660"/>
      <c r="BY6" s="660"/>
      <c r="BZ6" s="660"/>
      <c r="CA6" s="660"/>
      <c r="CB6" s="660"/>
      <c r="CC6" s="660"/>
      <c r="CD6" s="660"/>
      <c r="CE6" s="660"/>
      <c r="CF6" s="660"/>
      <c r="CG6" s="660"/>
      <c r="CH6" s="660"/>
      <c r="CI6" s="660"/>
      <c r="CJ6" s="660"/>
      <c r="CK6" s="660"/>
      <c r="CL6" s="660"/>
      <c r="CM6" s="660"/>
      <c r="CN6" s="660"/>
      <c r="CO6" s="660"/>
      <c r="CP6" s="660"/>
      <c r="CQ6" s="660"/>
      <c r="CR6" s="660"/>
      <c r="CS6" s="660"/>
      <c r="CT6" s="660"/>
      <c r="CU6" s="660"/>
      <c r="CV6" s="660"/>
      <c r="CW6" s="660"/>
      <c r="CX6" s="660"/>
      <c r="CY6" s="660"/>
      <c r="CZ6" s="660"/>
      <c r="DA6" s="660"/>
      <c r="DB6" s="660"/>
      <c r="DC6" s="660"/>
      <c r="DD6" s="660"/>
      <c r="DE6" s="660"/>
      <c r="DF6" s="660"/>
      <c r="DG6" s="660"/>
      <c r="DH6" s="660"/>
      <c r="DI6" s="660"/>
      <c r="DJ6" s="660"/>
      <c r="DK6" s="660"/>
      <c r="DL6" s="660"/>
      <c r="DM6" s="660"/>
      <c r="DN6" s="660"/>
      <c r="DO6" s="660"/>
      <c r="DP6" s="660"/>
      <c r="DQ6" s="660"/>
      <c r="DR6" s="660"/>
      <c r="DS6" s="660"/>
      <c r="DT6" s="660"/>
      <c r="DU6" s="660"/>
      <c r="DV6" s="660"/>
      <c r="DW6" s="660"/>
      <c r="DX6" s="660"/>
      <c r="DY6" s="660"/>
      <c r="DZ6" s="660"/>
      <c r="EA6" s="660"/>
      <c r="EB6" s="660"/>
      <c r="EC6" s="660"/>
      <c r="ED6" s="660"/>
      <c r="EE6" s="660"/>
      <c r="EF6" s="660"/>
      <c r="EG6" s="660"/>
      <c r="EH6" s="660"/>
      <c r="EI6" s="660"/>
      <c r="EJ6" s="660"/>
      <c r="EK6" s="660"/>
      <c r="EL6" s="660"/>
      <c r="EM6" s="660"/>
      <c r="EN6" s="660"/>
      <c r="EO6" s="660"/>
      <c r="EP6" s="660"/>
      <c r="EQ6" s="660"/>
      <c r="ER6" s="660"/>
      <c r="ES6" s="660"/>
      <c r="ET6" s="660"/>
      <c r="EU6" s="660"/>
      <c r="EV6" s="660"/>
      <c r="EW6" s="660"/>
      <c r="EX6" s="660"/>
      <c r="EY6" s="660"/>
      <c r="EZ6" s="660"/>
      <c r="FA6" s="660"/>
      <c r="FB6" s="660"/>
      <c r="FC6" s="660"/>
      <c r="FD6" s="660"/>
      <c r="FE6" s="660"/>
      <c r="FF6" s="660"/>
      <c r="FG6" s="660"/>
      <c r="FH6" s="660"/>
      <c r="FI6" s="660"/>
      <c r="FJ6" s="660"/>
      <c r="FK6" s="660"/>
      <c r="FL6" s="660"/>
      <c r="FM6" s="660"/>
      <c r="FN6" s="660"/>
      <c r="FO6" s="660"/>
      <c r="FP6" s="660"/>
      <c r="FQ6" s="660"/>
      <c r="FR6" s="660"/>
      <c r="FS6" s="660"/>
      <c r="FT6" s="660"/>
      <c r="FU6" s="660"/>
      <c r="FV6" s="660"/>
      <c r="FW6" s="660"/>
      <c r="FX6" s="660"/>
      <c r="FY6" s="660"/>
      <c r="FZ6" s="660"/>
      <c r="GA6" s="660"/>
      <c r="GB6" s="660"/>
      <c r="GC6" s="660"/>
      <c r="GD6" s="660"/>
      <c r="GE6" s="660"/>
      <c r="GF6" s="660"/>
      <c r="GG6" s="660"/>
      <c r="GH6" s="660"/>
      <c r="GI6" s="660"/>
      <c r="GJ6" s="660"/>
      <c r="GK6" s="660"/>
      <c r="GL6" s="660"/>
      <c r="GM6" s="660"/>
      <c r="GN6" s="660"/>
      <c r="GO6" s="660"/>
      <c r="GP6" s="660"/>
      <c r="GQ6" s="660"/>
      <c r="GR6" s="660"/>
      <c r="GS6" s="660"/>
      <c r="GT6" s="660"/>
      <c r="GU6" s="660"/>
      <c r="GV6" s="660"/>
      <c r="GW6" s="660"/>
      <c r="GX6" s="660"/>
      <c r="GY6" s="660"/>
      <c r="GZ6" s="660"/>
      <c r="HA6" s="660"/>
      <c r="HB6" s="660"/>
      <c r="HC6" s="660"/>
      <c r="HD6" s="660"/>
      <c r="HE6" s="660"/>
      <c r="HF6" s="660"/>
      <c r="HG6" s="660"/>
      <c r="HH6" s="660"/>
      <c r="HI6" s="660"/>
      <c r="HJ6" s="660"/>
      <c r="HK6" s="660"/>
      <c r="HL6" s="660"/>
      <c r="HM6" s="660"/>
      <c r="HN6" s="660"/>
      <c r="HO6" s="660"/>
      <c r="HP6" s="660"/>
      <c r="HQ6" s="660"/>
      <c r="HR6" s="660"/>
      <c r="HS6" s="660"/>
      <c r="HT6" s="660"/>
      <c r="HU6" s="660"/>
      <c r="HV6" s="660"/>
      <c r="HW6" s="660"/>
      <c r="HX6" s="660"/>
      <c r="HY6" s="660"/>
      <c r="HZ6" s="660"/>
      <c r="IA6" s="660"/>
      <c r="IB6" s="660"/>
      <c r="IC6" s="660"/>
      <c r="ID6" s="660"/>
      <c r="IE6" s="660"/>
      <c r="IF6" s="660"/>
      <c r="IG6" s="660"/>
      <c r="IH6" s="660"/>
      <c r="II6" s="660"/>
      <c r="IJ6" s="660"/>
      <c r="IK6" s="660"/>
      <c r="IL6" s="660"/>
      <c r="IM6" s="660"/>
      <c r="IN6" s="660"/>
      <c r="IO6" s="660"/>
    </row>
    <row r="7" spans="2:11" ht="30" customHeight="1">
      <c r="B7" s="2096" t="s">
        <v>18</v>
      </c>
      <c r="C7" s="2098" t="s">
        <v>19</v>
      </c>
      <c r="D7" s="2100" t="s">
        <v>6</v>
      </c>
      <c r="E7" s="2102" t="s">
        <v>294</v>
      </c>
      <c r="F7" s="2104" t="s">
        <v>566</v>
      </c>
      <c r="G7" s="2104" t="s">
        <v>567</v>
      </c>
      <c r="H7" s="2106" t="s">
        <v>764</v>
      </c>
      <c r="I7" s="2112" t="s">
        <v>843</v>
      </c>
      <c r="J7" s="2108" t="s">
        <v>1038</v>
      </c>
      <c r="K7" s="2110" t="s">
        <v>1039</v>
      </c>
    </row>
    <row r="8" spans="2:11" ht="60.75" customHeight="1" thickBot="1">
      <c r="B8" s="2097"/>
      <c r="C8" s="2099"/>
      <c r="D8" s="2101"/>
      <c r="E8" s="2103"/>
      <c r="F8" s="2105"/>
      <c r="G8" s="2105"/>
      <c r="H8" s="2107"/>
      <c r="I8" s="2113"/>
      <c r="J8" s="2109"/>
      <c r="K8" s="2111"/>
    </row>
    <row r="9" spans="1:11" ht="19.5" customHeight="1">
      <c r="A9" s="664">
        <v>1</v>
      </c>
      <c r="B9" s="1197"/>
      <c r="C9" s="2114" t="s">
        <v>227</v>
      </c>
      <c r="D9" s="2115"/>
      <c r="E9" s="1198"/>
      <c r="F9" s="1199"/>
      <c r="G9" s="1199"/>
      <c r="H9" s="1326"/>
      <c r="I9" s="1331"/>
      <c r="J9" s="1200"/>
      <c r="K9" s="1657"/>
    </row>
    <row r="10" spans="1:11" s="670" customFormat="1" ht="22.5" customHeight="1">
      <c r="A10" s="665">
        <v>2</v>
      </c>
      <c r="B10" s="666">
        <v>1</v>
      </c>
      <c r="C10" s="667" t="s">
        <v>306</v>
      </c>
      <c r="D10" s="669"/>
      <c r="E10" s="668" t="s">
        <v>23</v>
      </c>
      <c r="F10" s="719">
        <v>1695</v>
      </c>
      <c r="G10" s="714">
        <v>1800</v>
      </c>
      <c r="H10" s="1213">
        <v>3100</v>
      </c>
      <c r="I10" s="1332"/>
      <c r="J10" s="1363"/>
      <c r="K10" s="1658"/>
    </row>
    <row r="11" spans="1:11" s="672" customFormat="1" ht="18" customHeight="1">
      <c r="A11" s="654">
        <v>3</v>
      </c>
      <c r="B11" s="666"/>
      <c r="C11" s="671">
        <v>1</v>
      </c>
      <c r="D11" s="678" t="s">
        <v>726</v>
      </c>
      <c r="E11" s="668"/>
      <c r="F11" s="715"/>
      <c r="G11" s="716"/>
      <c r="H11" s="1214"/>
      <c r="I11" s="1333">
        <v>510</v>
      </c>
      <c r="J11" s="1364">
        <v>502</v>
      </c>
      <c r="K11" s="1659">
        <v>501</v>
      </c>
    </row>
    <row r="12" spans="1:11" s="672" customFormat="1" ht="59.25" customHeight="1">
      <c r="A12" s="664">
        <v>4</v>
      </c>
      <c r="B12" s="666"/>
      <c r="C12" s="683">
        <v>2</v>
      </c>
      <c r="D12" s="726" t="s">
        <v>947</v>
      </c>
      <c r="E12" s="668"/>
      <c r="F12" s="715"/>
      <c r="G12" s="716"/>
      <c r="H12" s="1214"/>
      <c r="I12" s="1333"/>
      <c r="J12" s="1364">
        <v>658</v>
      </c>
      <c r="K12" s="1659">
        <v>30</v>
      </c>
    </row>
    <row r="13" spans="1:11" s="672" customFormat="1" ht="18" customHeight="1">
      <c r="A13" s="665">
        <v>5</v>
      </c>
      <c r="B13" s="666"/>
      <c r="C13" s="673" t="s">
        <v>427</v>
      </c>
      <c r="D13" s="674"/>
      <c r="E13" s="668"/>
      <c r="F13" s="715">
        <v>217</v>
      </c>
      <c r="G13" s="716">
        <v>900</v>
      </c>
      <c r="H13" s="1214">
        <v>1294</v>
      </c>
      <c r="I13" s="1333"/>
      <c r="J13" s="1364"/>
      <c r="K13" s="1659"/>
    </row>
    <row r="14" spans="1:11" s="672" customFormat="1" ht="18" customHeight="1">
      <c r="A14" s="654">
        <v>6</v>
      </c>
      <c r="B14" s="666"/>
      <c r="C14" s="668">
        <v>3</v>
      </c>
      <c r="D14" s="678" t="s">
        <v>727</v>
      </c>
      <c r="E14" s="668"/>
      <c r="F14" s="715"/>
      <c r="G14" s="716"/>
      <c r="H14" s="1214"/>
      <c r="I14" s="1333">
        <v>200</v>
      </c>
      <c r="J14" s="1364">
        <v>0</v>
      </c>
      <c r="K14" s="1659">
        <v>0</v>
      </c>
    </row>
    <row r="15" spans="1:11" s="672" customFormat="1" ht="29.25" customHeight="1">
      <c r="A15" s="664">
        <v>7</v>
      </c>
      <c r="B15" s="666"/>
      <c r="C15" s="683">
        <v>4</v>
      </c>
      <c r="D15" s="726" t="s">
        <v>948</v>
      </c>
      <c r="E15" s="668"/>
      <c r="F15" s="715"/>
      <c r="G15" s="716"/>
      <c r="H15" s="1214"/>
      <c r="I15" s="1333"/>
      <c r="J15" s="1364">
        <v>300</v>
      </c>
      <c r="K15" s="1659">
        <v>15</v>
      </c>
    </row>
    <row r="16" spans="1:11" s="670" customFormat="1" ht="22.5" customHeight="1">
      <c r="A16" s="665">
        <v>8</v>
      </c>
      <c r="B16" s="666">
        <v>2</v>
      </c>
      <c r="C16" s="675" t="s">
        <v>305</v>
      </c>
      <c r="D16" s="669"/>
      <c r="E16" s="668" t="s">
        <v>23</v>
      </c>
      <c r="F16" s="719">
        <v>2509</v>
      </c>
      <c r="G16" s="714">
        <v>3300</v>
      </c>
      <c r="H16" s="1213">
        <v>3496</v>
      </c>
      <c r="I16" s="1332"/>
      <c r="J16" s="1363"/>
      <c r="K16" s="1660"/>
    </row>
    <row r="17" spans="1:11" s="672" customFormat="1" ht="18" customHeight="1">
      <c r="A17" s="654">
        <v>9</v>
      </c>
      <c r="B17" s="666"/>
      <c r="C17" s="671">
        <v>1</v>
      </c>
      <c r="D17" s="678" t="s">
        <v>943</v>
      </c>
      <c r="E17" s="668"/>
      <c r="F17" s="715"/>
      <c r="G17" s="716"/>
      <c r="H17" s="1214"/>
      <c r="I17" s="1333">
        <v>700</v>
      </c>
      <c r="J17" s="1364">
        <v>1125</v>
      </c>
      <c r="K17" s="1659">
        <v>824</v>
      </c>
    </row>
    <row r="18" spans="1:11" s="672" customFormat="1" ht="18" customHeight="1">
      <c r="A18" s="664">
        <v>10</v>
      </c>
      <c r="B18" s="666"/>
      <c r="C18" s="1180">
        <v>2</v>
      </c>
      <c r="D18" s="726" t="s">
        <v>798</v>
      </c>
      <c r="E18" s="668"/>
      <c r="F18" s="715"/>
      <c r="G18" s="716"/>
      <c r="H18" s="1214"/>
      <c r="I18" s="1333"/>
      <c r="J18" s="1364">
        <v>4198</v>
      </c>
      <c r="K18" s="1659">
        <v>4198</v>
      </c>
    </row>
    <row r="19" spans="1:11" s="672" customFormat="1" ht="95.25" customHeight="1">
      <c r="A19" s="665">
        <v>11</v>
      </c>
      <c r="B19" s="666"/>
      <c r="C19" s="1357">
        <v>3</v>
      </c>
      <c r="D19" s="726" t="s">
        <v>1009</v>
      </c>
      <c r="E19" s="668"/>
      <c r="F19" s="715"/>
      <c r="G19" s="716"/>
      <c r="H19" s="1214"/>
      <c r="I19" s="1333"/>
      <c r="J19" s="1364">
        <v>3592</v>
      </c>
      <c r="K19" s="1659">
        <v>3319</v>
      </c>
    </row>
    <row r="20" spans="1:11" s="672" customFormat="1" ht="18" customHeight="1">
      <c r="A20" s="654">
        <v>12</v>
      </c>
      <c r="B20" s="666"/>
      <c r="C20" s="2120" t="s">
        <v>428</v>
      </c>
      <c r="D20" s="2121"/>
      <c r="E20" s="668"/>
      <c r="F20" s="715">
        <v>1162</v>
      </c>
      <c r="G20" s="716"/>
      <c r="H20" s="1214">
        <v>1094</v>
      </c>
      <c r="I20" s="1333"/>
      <c r="J20" s="1364"/>
      <c r="K20" s="1659"/>
    </row>
    <row r="21" spans="1:11" s="672" customFormat="1" ht="18" customHeight="1">
      <c r="A21" s="664">
        <v>13</v>
      </c>
      <c r="B21" s="666"/>
      <c r="C21" s="1180">
        <v>4</v>
      </c>
      <c r="D21" s="726" t="s">
        <v>815</v>
      </c>
      <c r="E21" s="668"/>
      <c r="F21" s="715"/>
      <c r="G21" s="716"/>
      <c r="H21" s="1214"/>
      <c r="I21" s="1333"/>
      <c r="J21" s="1364">
        <v>2756</v>
      </c>
      <c r="K21" s="1659">
        <v>2755</v>
      </c>
    </row>
    <row r="22" spans="1:11" s="672" customFormat="1" ht="58.5" customHeight="1">
      <c r="A22" s="665">
        <v>14</v>
      </c>
      <c r="B22" s="666"/>
      <c r="C22" s="1357">
        <v>5</v>
      </c>
      <c r="D22" s="726" t="s">
        <v>941</v>
      </c>
      <c r="E22" s="668"/>
      <c r="F22" s="715"/>
      <c r="G22" s="716"/>
      <c r="H22" s="1214"/>
      <c r="I22" s="1333"/>
      <c r="J22" s="1364">
        <v>1816</v>
      </c>
      <c r="K22" s="1659">
        <v>1007</v>
      </c>
    </row>
    <row r="23" spans="1:11" s="672" customFormat="1" ht="19.5" customHeight="1">
      <c r="A23" s="654">
        <v>15</v>
      </c>
      <c r="B23" s="666"/>
      <c r="C23" s="1180">
        <v>6</v>
      </c>
      <c r="D23" s="726" t="s">
        <v>942</v>
      </c>
      <c r="E23" s="668"/>
      <c r="F23" s="715"/>
      <c r="G23" s="716"/>
      <c r="H23" s="1214"/>
      <c r="I23" s="1333"/>
      <c r="J23" s="1364">
        <v>300</v>
      </c>
      <c r="K23" s="1659">
        <v>0</v>
      </c>
    </row>
    <row r="24" spans="1:11" s="672" customFormat="1" ht="19.5" customHeight="1">
      <c r="A24" s="664">
        <v>16</v>
      </c>
      <c r="B24" s="666"/>
      <c r="C24" s="1180">
        <v>7</v>
      </c>
      <c r="D24" s="726" t="s">
        <v>944</v>
      </c>
      <c r="E24" s="668"/>
      <c r="F24" s="715"/>
      <c r="G24" s="716"/>
      <c r="H24" s="1214"/>
      <c r="I24" s="1333"/>
      <c r="J24" s="1364">
        <v>280</v>
      </c>
      <c r="K24" s="1659">
        <v>78</v>
      </c>
    </row>
    <row r="25" spans="1:11" s="670" customFormat="1" ht="22.5" customHeight="1">
      <c r="A25" s="665">
        <v>17</v>
      </c>
      <c r="B25" s="666">
        <v>3</v>
      </c>
      <c r="C25" s="675" t="s">
        <v>261</v>
      </c>
      <c r="D25" s="669"/>
      <c r="E25" s="668" t="s">
        <v>23</v>
      </c>
      <c r="F25" s="719">
        <v>5920</v>
      </c>
      <c r="G25" s="714">
        <v>1500</v>
      </c>
      <c r="H25" s="1213">
        <v>6208</v>
      </c>
      <c r="I25" s="1332"/>
      <c r="J25" s="1364"/>
      <c r="K25" s="1660"/>
    </row>
    <row r="26" spans="1:11" s="672" customFormat="1" ht="45" customHeight="1">
      <c r="A26" s="654">
        <v>18</v>
      </c>
      <c r="B26" s="666"/>
      <c r="C26" s="679">
        <v>1</v>
      </c>
      <c r="D26" s="678" t="s">
        <v>925</v>
      </c>
      <c r="E26" s="668"/>
      <c r="F26" s="715"/>
      <c r="G26" s="716"/>
      <c r="H26" s="1214"/>
      <c r="I26" s="1333"/>
      <c r="J26" s="1364">
        <v>1193</v>
      </c>
      <c r="K26" s="1659">
        <v>819</v>
      </c>
    </row>
    <row r="27" spans="1:11" s="672" customFormat="1" ht="19.5" customHeight="1">
      <c r="A27" s="664">
        <v>19</v>
      </c>
      <c r="B27" s="666"/>
      <c r="C27" s="671">
        <v>2</v>
      </c>
      <c r="D27" s="726" t="s">
        <v>899</v>
      </c>
      <c r="E27" s="668"/>
      <c r="F27" s="715"/>
      <c r="G27" s="716"/>
      <c r="H27" s="1214"/>
      <c r="I27" s="1333"/>
      <c r="J27" s="1364">
        <v>220</v>
      </c>
      <c r="K27" s="1659">
        <v>132</v>
      </c>
    </row>
    <row r="28" spans="1:11" s="672" customFormat="1" ht="18" customHeight="1">
      <c r="A28" s="665">
        <v>20</v>
      </c>
      <c r="B28" s="666"/>
      <c r="C28" s="673" t="s">
        <v>595</v>
      </c>
      <c r="D28" s="674"/>
      <c r="E28" s="668"/>
      <c r="F28" s="715">
        <v>7972</v>
      </c>
      <c r="G28" s="716">
        <v>1500</v>
      </c>
      <c r="H28" s="1214">
        <v>3386</v>
      </c>
      <c r="I28" s="1333"/>
      <c r="J28" s="1364"/>
      <c r="K28" s="1659"/>
    </row>
    <row r="29" spans="1:11" s="672" customFormat="1" ht="19.5" customHeight="1">
      <c r="A29" s="654">
        <v>21</v>
      </c>
      <c r="B29" s="666"/>
      <c r="C29" s="1389">
        <v>3</v>
      </c>
      <c r="D29" s="1381" t="s">
        <v>926</v>
      </c>
      <c r="E29" s="668"/>
      <c r="F29" s="715"/>
      <c r="G29" s="716"/>
      <c r="H29" s="1214"/>
      <c r="I29" s="1333"/>
      <c r="J29" s="1364">
        <v>348</v>
      </c>
      <c r="K29" s="1659">
        <v>317</v>
      </c>
    </row>
    <row r="30" spans="1:11" s="670" customFormat="1" ht="22.5" customHeight="1">
      <c r="A30" s="664">
        <v>22</v>
      </c>
      <c r="B30" s="666">
        <v>4</v>
      </c>
      <c r="C30" s="675" t="s">
        <v>262</v>
      </c>
      <c r="D30" s="669"/>
      <c r="E30" s="668" t="s">
        <v>23</v>
      </c>
      <c r="F30" s="719">
        <v>3926</v>
      </c>
      <c r="G30" s="714">
        <v>1000</v>
      </c>
      <c r="H30" s="1213">
        <v>1347</v>
      </c>
      <c r="I30" s="1332"/>
      <c r="J30" s="1364"/>
      <c r="K30" s="1660"/>
    </row>
    <row r="31" spans="1:11" s="672" customFormat="1" ht="60" customHeight="1">
      <c r="A31" s="665">
        <v>23</v>
      </c>
      <c r="B31" s="666"/>
      <c r="C31" s="679">
        <v>1</v>
      </c>
      <c r="D31" s="678" t="s">
        <v>973</v>
      </c>
      <c r="E31" s="668"/>
      <c r="F31" s="715"/>
      <c r="G31" s="716"/>
      <c r="H31" s="1214"/>
      <c r="I31" s="1333"/>
      <c r="J31" s="1364">
        <v>1170</v>
      </c>
      <c r="K31" s="1659">
        <v>1115</v>
      </c>
    </row>
    <row r="32" spans="1:11" s="672" customFormat="1" ht="18" customHeight="1">
      <c r="A32" s="654">
        <v>24</v>
      </c>
      <c r="B32" s="666"/>
      <c r="C32" s="676" t="s">
        <v>429</v>
      </c>
      <c r="D32" s="678"/>
      <c r="E32" s="668"/>
      <c r="F32" s="715">
        <v>2560</v>
      </c>
      <c r="G32" s="716">
        <v>900</v>
      </c>
      <c r="H32" s="1214">
        <v>2216</v>
      </c>
      <c r="I32" s="1333"/>
      <c r="J32" s="1364"/>
      <c r="K32" s="1659"/>
    </row>
    <row r="33" spans="1:11" s="672" customFormat="1" ht="18" customHeight="1">
      <c r="A33" s="664">
        <v>25</v>
      </c>
      <c r="B33" s="666"/>
      <c r="C33" s="671">
        <v>2</v>
      </c>
      <c r="D33" s="678" t="s">
        <v>432</v>
      </c>
      <c r="E33" s="668"/>
      <c r="F33" s="715"/>
      <c r="G33" s="716"/>
      <c r="H33" s="1214"/>
      <c r="I33" s="1333"/>
      <c r="J33" s="1364"/>
      <c r="K33" s="1659"/>
    </row>
    <row r="34" spans="1:11" s="670" customFormat="1" ht="22.5" customHeight="1">
      <c r="A34" s="665">
        <v>26</v>
      </c>
      <c r="B34" s="666">
        <v>5</v>
      </c>
      <c r="C34" s="675" t="s">
        <v>263</v>
      </c>
      <c r="D34" s="669"/>
      <c r="E34" s="668" t="s">
        <v>23</v>
      </c>
      <c r="F34" s="719">
        <v>4964</v>
      </c>
      <c r="G34" s="714">
        <v>2400</v>
      </c>
      <c r="H34" s="1213">
        <v>6273</v>
      </c>
      <c r="I34" s="1332"/>
      <c r="J34" s="1364"/>
      <c r="K34" s="1660"/>
    </row>
    <row r="35" spans="1:11" s="672" customFormat="1" ht="18" customHeight="1">
      <c r="A35" s="654">
        <v>27</v>
      </c>
      <c r="B35" s="666"/>
      <c r="C35" s="671">
        <v>1</v>
      </c>
      <c r="D35" s="678" t="s">
        <v>934</v>
      </c>
      <c r="E35" s="668"/>
      <c r="F35" s="715"/>
      <c r="G35" s="716"/>
      <c r="H35" s="1214"/>
      <c r="I35" s="1333"/>
      <c r="J35" s="1364">
        <v>200</v>
      </c>
      <c r="K35" s="1659">
        <v>90</v>
      </c>
    </row>
    <row r="36" spans="1:11" s="672" customFormat="1" ht="18" customHeight="1">
      <c r="A36" s="664">
        <v>28</v>
      </c>
      <c r="B36" s="666"/>
      <c r="C36" s="671">
        <v>2</v>
      </c>
      <c r="D36" s="678" t="s">
        <v>983</v>
      </c>
      <c r="E36" s="668"/>
      <c r="F36" s="715"/>
      <c r="G36" s="716"/>
      <c r="H36" s="1214"/>
      <c r="I36" s="1333"/>
      <c r="J36" s="1364">
        <v>800</v>
      </c>
      <c r="K36" s="1659">
        <v>617</v>
      </c>
    </row>
    <row r="37" spans="1:11" s="672" customFormat="1" ht="18" customHeight="1">
      <c r="A37" s="665">
        <v>29</v>
      </c>
      <c r="B37" s="666"/>
      <c r="C37" s="676" t="s">
        <v>430</v>
      </c>
      <c r="D37" s="678"/>
      <c r="E37" s="668"/>
      <c r="F37" s="715">
        <v>4686</v>
      </c>
      <c r="G37" s="716">
        <v>2900</v>
      </c>
      <c r="H37" s="1214">
        <v>6233</v>
      </c>
      <c r="I37" s="1333"/>
      <c r="J37" s="1364"/>
      <c r="K37" s="1659"/>
    </row>
    <row r="38" spans="1:11" s="672" customFormat="1" ht="18" customHeight="1">
      <c r="A38" s="654">
        <v>30</v>
      </c>
      <c r="B38" s="666"/>
      <c r="C38" s="671">
        <v>3</v>
      </c>
      <c r="D38" s="678" t="s">
        <v>934</v>
      </c>
      <c r="E38" s="668"/>
      <c r="F38" s="715"/>
      <c r="G38" s="716"/>
      <c r="H38" s="1214"/>
      <c r="I38" s="1333"/>
      <c r="J38" s="1364">
        <v>200</v>
      </c>
      <c r="K38" s="1659">
        <v>90</v>
      </c>
    </row>
    <row r="39" spans="1:11" s="672" customFormat="1" ht="18" customHeight="1">
      <c r="A39" s="664">
        <v>31</v>
      </c>
      <c r="B39" s="666"/>
      <c r="C39" s="671">
        <v>4</v>
      </c>
      <c r="D39" s="678" t="s">
        <v>984</v>
      </c>
      <c r="E39" s="668"/>
      <c r="F39" s="715"/>
      <c r="G39" s="716"/>
      <c r="H39" s="1214"/>
      <c r="I39" s="1333"/>
      <c r="J39" s="1364">
        <v>400</v>
      </c>
      <c r="K39" s="1659">
        <v>309</v>
      </c>
    </row>
    <row r="40" spans="1:11" s="670" customFormat="1" ht="22.5" customHeight="1">
      <c r="A40" s="665">
        <v>32</v>
      </c>
      <c r="B40" s="666">
        <v>6</v>
      </c>
      <c r="C40" s="675" t="s">
        <v>264</v>
      </c>
      <c r="D40" s="669"/>
      <c r="E40" s="668" t="s">
        <v>23</v>
      </c>
      <c r="F40" s="719">
        <v>527</v>
      </c>
      <c r="G40" s="714">
        <v>500</v>
      </c>
      <c r="H40" s="1213">
        <v>6174</v>
      </c>
      <c r="I40" s="1332"/>
      <c r="J40" s="1364"/>
      <c r="K40" s="1660"/>
    </row>
    <row r="41" spans="1:11" s="672" customFormat="1" ht="93" customHeight="1">
      <c r="A41" s="654">
        <v>33</v>
      </c>
      <c r="B41" s="666"/>
      <c r="C41" s="679">
        <v>1</v>
      </c>
      <c r="D41" s="678" t="s">
        <v>985</v>
      </c>
      <c r="E41" s="668"/>
      <c r="F41" s="715"/>
      <c r="G41" s="716"/>
      <c r="H41" s="1214"/>
      <c r="I41" s="1333"/>
      <c r="J41" s="1364">
        <v>1625</v>
      </c>
      <c r="K41" s="1659">
        <f>1612-1</f>
        <v>1611</v>
      </c>
    </row>
    <row r="42" spans="1:11" s="672" customFormat="1" ht="19.5" customHeight="1">
      <c r="A42" s="664">
        <v>34</v>
      </c>
      <c r="B42" s="666"/>
      <c r="C42" s="671">
        <v>2</v>
      </c>
      <c r="D42" s="678" t="s">
        <v>903</v>
      </c>
      <c r="E42" s="668"/>
      <c r="F42" s="715"/>
      <c r="G42" s="716"/>
      <c r="H42" s="1214"/>
      <c r="I42" s="1333"/>
      <c r="J42" s="1364">
        <v>500</v>
      </c>
      <c r="K42" s="1659">
        <v>467</v>
      </c>
    </row>
    <row r="43" spans="1:11" s="672" customFormat="1" ht="19.5" customHeight="1">
      <c r="A43" s="665">
        <v>35</v>
      </c>
      <c r="B43" s="666"/>
      <c r="C43" s="671">
        <v>3</v>
      </c>
      <c r="D43" s="678" t="s">
        <v>945</v>
      </c>
      <c r="E43" s="668"/>
      <c r="F43" s="715"/>
      <c r="G43" s="716"/>
      <c r="H43" s="1214"/>
      <c r="I43" s="1333"/>
      <c r="J43" s="1364">
        <v>2300</v>
      </c>
      <c r="K43" s="1659">
        <v>0</v>
      </c>
    </row>
    <row r="44" spans="1:11" s="672" customFormat="1" ht="18" customHeight="1">
      <c r="A44" s="654">
        <v>36</v>
      </c>
      <c r="B44" s="666"/>
      <c r="C44" s="676" t="s">
        <v>431</v>
      </c>
      <c r="D44" s="678"/>
      <c r="E44" s="668"/>
      <c r="F44" s="715">
        <v>15</v>
      </c>
      <c r="G44" s="716">
        <v>600</v>
      </c>
      <c r="H44" s="1214">
        <v>324</v>
      </c>
      <c r="I44" s="1333"/>
      <c r="J44" s="1364"/>
      <c r="K44" s="1659"/>
    </row>
    <row r="45" spans="1:11" s="672" customFormat="1" ht="29.25" customHeight="1">
      <c r="A45" s="664">
        <v>37</v>
      </c>
      <c r="B45" s="666"/>
      <c r="C45" s="679">
        <v>3</v>
      </c>
      <c r="D45" s="678" t="s">
        <v>946</v>
      </c>
      <c r="E45" s="668"/>
      <c r="F45" s="715"/>
      <c r="G45" s="716"/>
      <c r="H45" s="1214"/>
      <c r="I45" s="1333"/>
      <c r="J45" s="1364">
        <v>546</v>
      </c>
      <c r="K45" s="1659">
        <v>347</v>
      </c>
    </row>
    <row r="46" spans="1:11" s="670" customFormat="1" ht="22.5" customHeight="1">
      <c r="A46" s="665">
        <v>38</v>
      </c>
      <c r="B46" s="666">
        <v>7</v>
      </c>
      <c r="C46" s="667" t="s">
        <v>354</v>
      </c>
      <c r="D46" s="669"/>
      <c r="E46" s="668" t="s">
        <v>23</v>
      </c>
      <c r="F46" s="713"/>
      <c r="G46" s="714"/>
      <c r="H46" s="1215"/>
      <c r="I46" s="1334"/>
      <c r="J46" s="1363"/>
      <c r="K46" s="1660"/>
    </row>
    <row r="47" spans="1:11" s="672" customFormat="1" ht="18" customHeight="1">
      <c r="A47" s="654">
        <v>39</v>
      </c>
      <c r="B47" s="666"/>
      <c r="C47" s="676" t="s">
        <v>501</v>
      </c>
      <c r="D47" s="677"/>
      <c r="E47" s="668"/>
      <c r="F47" s="715">
        <v>1083</v>
      </c>
      <c r="G47" s="716">
        <v>300</v>
      </c>
      <c r="H47" s="1214">
        <v>1129</v>
      </c>
      <c r="I47" s="1333"/>
      <c r="J47" s="1364"/>
      <c r="K47" s="1659"/>
    </row>
    <row r="48" spans="1:11" s="672" customFormat="1" ht="18" customHeight="1">
      <c r="A48" s="664">
        <v>40</v>
      </c>
      <c r="B48" s="666"/>
      <c r="C48" s="671">
        <v>1</v>
      </c>
      <c r="D48" s="678" t="s">
        <v>986</v>
      </c>
      <c r="E48" s="668"/>
      <c r="F48" s="715"/>
      <c r="G48" s="716"/>
      <c r="H48" s="1214"/>
      <c r="I48" s="1333">
        <v>120</v>
      </c>
      <c r="J48" s="1364">
        <v>150</v>
      </c>
      <c r="K48" s="1659">
        <v>141</v>
      </c>
    </row>
    <row r="49" spans="1:11" s="672" customFormat="1" ht="18" customHeight="1">
      <c r="A49" s="665">
        <v>41</v>
      </c>
      <c r="B49" s="666"/>
      <c r="C49" s="671">
        <v>2</v>
      </c>
      <c r="D49" s="678" t="s">
        <v>728</v>
      </c>
      <c r="E49" s="668"/>
      <c r="F49" s="715"/>
      <c r="G49" s="716"/>
      <c r="H49" s="1214"/>
      <c r="I49" s="1333">
        <v>300</v>
      </c>
      <c r="J49" s="1364">
        <v>300</v>
      </c>
      <c r="K49" s="1659">
        <v>297</v>
      </c>
    </row>
    <row r="50" spans="1:11" s="672" customFormat="1" ht="18" customHeight="1">
      <c r="A50" s="654">
        <v>42</v>
      </c>
      <c r="B50" s="666"/>
      <c r="C50" s="676" t="s">
        <v>433</v>
      </c>
      <c r="D50" s="677"/>
      <c r="E50" s="668"/>
      <c r="F50" s="715">
        <v>1293</v>
      </c>
      <c r="G50" s="716">
        <v>320</v>
      </c>
      <c r="H50" s="1214">
        <v>1450</v>
      </c>
      <c r="I50" s="1333"/>
      <c r="J50" s="1364"/>
      <c r="K50" s="1659"/>
    </row>
    <row r="51" spans="1:11" s="672" customFormat="1" ht="18" customHeight="1">
      <c r="A51" s="664">
        <v>43</v>
      </c>
      <c r="B51" s="666"/>
      <c r="C51" s="671">
        <v>3</v>
      </c>
      <c r="D51" s="678" t="s">
        <v>929</v>
      </c>
      <c r="E51" s="668"/>
      <c r="F51" s="715"/>
      <c r="G51" s="716"/>
      <c r="H51" s="1214"/>
      <c r="I51" s="1333">
        <v>190</v>
      </c>
      <c r="J51" s="1364">
        <v>260</v>
      </c>
      <c r="K51" s="1659">
        <v>257</v>
      </c>
    </row>
    <row r="52" spans="1:11" s="672" customFormat="1" ht="18" customHeight="1">
      <c r="A52" s="665">
        <v>44</v>
      </c>
      <c r="B52" s="666"/>
      <c r="C52" s="676" t="s">
        <v>434</v>
      </c>
      <c r="D52" s="677"/>
      <c r="E52" s="668"/>
      <c r="F52" s="715">
        <v>2601</v>
      </c>
      <c r="G52" s="716">
        <v>1300</v>
      </c>
      <c r="H52" s="1214">
        <v>2493</v>
      </c>
      <c r="I52" s="1333"/>
      <c r="J52" s="1364"/>
      <c r="K52" s="1659"/>
    </row>
    <row r="53" spans="1:11" s="672" customFormat="1" ht="18" customHeight="1">
      <c r="A53" s="654">
        <v>45</v>
      </c>
      <c r="B53" s="666"/>
      <c r="C53" s="671">
        <v>4</v>
      </c>
      <c r="D53" s="678" t="s">
        <v>930</v>
      </c>
      <c r="E53" s="668"/>
      <c r="F53" s="715"/>
      <c r="G53" s="716"/>
      <c r="H53" s="1214"/>
      <c r="I53" s="1333">
        <v>260</v>
      </c>
      <c r="J53" s="1364">
        <v>360</v>
      </c>
      <c r="K53" s="1659">
        <v>172</v>
      </c>
    </row>
    <row r="54" spans="1:11" s="672" customFormat="1" ht="18" customHeight="1">
      <c r="A54" s="664">
        <v>46</v>
      </c>
      <c r="B54" s="666"/>
      <c r="C54" s="676" t="s">
        <v>436</v>
      </c>
      <c r="D54" s="678"/>
      <c r="E54" s="668"/>
      <c r="F54" s="715">
        <v>2227</v>
      </c>
      <c r="G54" s="716">
        <v>1500</v>
      </c>
      <c r="H54" s="1214">
        <v>3057</v>
      </c>
      <c r="I54" s="1333"/>
      <c r="J54" s="1364"/>
      <c r="K54" s="1659"/>
    </row>
    <row r="55" spans="1:11" s="672" customFormat="1" ht="29.25" customHeight="1">
      <c r="A55" s="665">
        <v>47</v>
      </c>
      <c r="B55" s="666"/>
      <c r="C55" s="679">
        <v>5</v>
      </c>
      <c r="D55" s="678" t="s">
        <v>931</v>
      </c>
      <c r="E55" s="668"/>
      <c r="F55" s="715"/>
      <c r="G55" s="716"/>
      <c r="H55" s="1214"/>
      <c r="I55" s="1333">
        <v>340</v>
      </c>
      <c r="J55" s="1364">
        <v>420</v>
      </c>
      <c r="K55" s="1659">
        <v>384</v>
      </c>
    </row>
    <row r="56" spans="1:11" s="672" customFormat="1" ht="18" customHeight="1">
      <c r="A56" s="654">
        <v>48</v>
      </c>
      <c r="B56" s="666"/>
      <c r="C56" s="676" t="s">
        <v>435</v>
      </c>
      <c r="D56" s="677"/>
      <c r="E56" s="668"/>
      <c r="F56" s="715">
        <v>1803</v>
      </c>
      <c r="G56" s="716">
        <v>800</v>
      </c>
      <c r="H56" s="1214">
        <v>1244</v>
      </c>
      <c r="I56" s="1333"/>
      <c r="J56" s="1364"/>
      <c r="K56" s="1659"/>
    </row>
    <row r="57" spans="1:11" s="672" customFormat="1" ht="18" customHeight="1">
      <c r="A57" s="664">
        <v>49</v>
      </c>
      <c r="B57" s="666"/>
      <c r="C57" s="671">
        <v>6</v>
      </c>
      <c r="D57" s="678" t="s">
        <v>932</v>
      </c>
      <c r="E57" s="668"/>
      <c r="F57" s="715"/>
      <c r="G57" s="716"/>
      <c r="H57" s="1214"/>
      <c r="I57" s="1333">
        <v>220</v>
      </c>
      <c r="J57" s="1364">
        <v>290</v>
      </c>
      <c r="K57" s="1659">
        <v>290</v>
      </c>
    </row>
    <row r="58" spans="1:11" s="672" customFormat="1" ht="18" customHeight="1">
      <c r="A58" s="665">
        <v>50</v>
      </c>
      <c r="B58" s="666"/>
      <c r="C58" s="676" t="s">
        <v>729</v>
      </c>
      <c r="D58" s="677"/>
      <c r="E58" s="668"/>
      <c r="F58" s="715"/>
      <c r="G58" s="716"/>
      <c r="H58" s="1214">
        <v>193</v>
      </c>
      <c r="I58" s="1333"/>
      <c r="J58" s="1364"/>
      <c r="K58" s="1659"/>
    </row>
    <row r="59" spans="1:11" s="672" customFormat="1" ht="18" customHeight="1">
      <c r="A59" s="654">
        <v>51</v>
      </c>
      <c r="B59" s="666"/>
      <c r="C59" s="676" t="s">
        <v>394</v>
      </c>
      <c r="D59" s="678"/>
      <c r="E59" s="668"/>
      <c r="F59" s="715">
        <v>5072</v>
      </c>
      <c r="G59" s="714">
        <v>2260</v>
      </c>
      <c r="H59" s="1213">
        <v>15436</v>
      </c>
      <c r="I59" s="1332"/>
      <c r="J59" s="1363"/>
      <c r="K59" s="1660"/>
    </row>
    <row r="60" spans="1:11" s="672" customFormat="1" ht="45.75" customHeight="1">
      <c r="A60" s="664">
        <v>52</v>
      </c>
      <c r="B60" s="666"/>
      <c r="C60" s="1356">
        <v>7</v>
      </c>
      <c r="D60" s="726" t="s">
        <v>949</v>
      </c>
      <c r="E60" s="668"/>
      <c r="F60" s="715"/>
      <c r="G60" s="714"/>
      <c r="H60" s="1213"/>
      <c r="I60" s="1332"/>
      <c r="J60" s="1364">
        <v>1148</v>
      </c>
      <c r="K60" s="1661">
        <v>889</v>
      </c>
    </row>
    <row r="61" spans="1:11" s="672" customFormat="1" ht="19.5" customHeight="1">
      <c r="A61" s="665">
        <v>53</v>
      </c>
      <c r="B61" s="666"/>
      <c r="C61" s="1465">
        <v>8</v>
      </c>
      <c r="D61" s="726" t="s">
        <v>1010</v>
      </c>
      <c r="E61" s="668"/>
      <c r="F61" s="715"/>
      <c r="G61" s="714"/>
      <c r="H61" s="1213"/>
      <c r="I61" s="1332"/>
      <c r="J61" s="1364">
        <v>52</v>
      </c>
      <c r="K61" s="1661">
        <v>52</v>
      </c>
    </row>
    <row r="62" spans="1:11" s="672" customFormat="1" ht="18" customHeight="1">
      <c r="A62" s="654">
        <v>54</v>
      </c>
      <c r="B62" s="666"/>
      <c r="C62" s="802" t="s">
        <v>730</v>
      </c>
      <c r="D62" s="678"/>
      <c r="E62" s="668"/>
      <c r="F62" s="715"/>
      <c r="G62" s="714"/>
      <c r="H62" s="1213"/>
      <c r="I62" s="1332"/>
      <c r="J62" s="1363"/>
      <c r="K62" s="1660"/>
    </row>
    <row r="63" spans="1:11" s="672" customFormat="1" ht="18" customHeight="1">
      <c r="A63" s="664">
        <v>55</v>
      </c>
      <c r="B63" s="666"/>
      <c r="C63" s="671">
        <v>9</v>
      </c>
      <c r="D63" s="678" t="s">
        <v>731</v>
      </c>
      <c r="E63" s="668"/>
      <c r="F63" s="715"/>
      <c r="G63" s="716"/>
      <c r="H63" s="1214"/>
      <c r="I63" s="1333">
        <v>200</v>
      </c>
      <c r="J63" s="1364">
        <v>0</v>
      </c>
      <c r="K63" s="1659">
        <v>0</v>
      </c>
    </row>
    <row r="64" spans="1:11" s="670" customFormat="1" ht="22.5" customHeight="1">
      <c r="A64" s="665">
        <v>56</v>
      </c>
      <c r="B64" s="666">
        <v>8</v>
      </c>
      <c r="C64" s="675" t="s">
        <v>123</v>
      </c>
      <c r="D64" s="669"/>
      <c r="E64" s="668" t="s">
        <v>23</v>
      </c>
      <c r="F64" s="719">
        <v>905</v>
      </c>
      <c r="G64" s="714"/>
      <c r="H64" s="1213">
        <v>2004</v>
      </c>
      <c r="I64" s="1332"/>
      <c r="J64" s="1363"/>
      <c r="K64" s="1658"/>
    </row>
    <row r="65" spans="1:11" s="672" customFormat="1" ht="18" customHeight="1">
      <c r="A65" s="654">
        <v>57</v>
      </c>
      <c r="B65" s="666"/>
      <c r="C65" s="671">
        <v>1</v>
      </c>
      <c r="D65" s="678" t="s">
        <v>799</v>
      </c>
      <c r="E65" s="668"/>
      <c r="F65" s="715"/>
      <c r="G65" s="716"/>
      <c r="H65" s="1214"/>
      <c r="I65" s="1333"/>
      <c r="J65" s="1364">
        <v>59</v>
      </c>
      <c r="K65" s="1659">
        <v>59</v>
      </c>
    </row>
    <row r="66" spans="1:11" s="672" customFormat="1" ht="30.75" customHeight="1">
      <c r="A66" s="664">
        <v>58</v>
      </c>
      <c r="B66" s="666"/>
      <c r="C66" s="679">
        <v>2</v>
      </c>
      <c r="D66" s="726" t="s">
        <v>928</v>
      </c>
      <c r="E66" s="668"/>
      <c r="F66" s="715"/>
      <c r="G66" s="716"/>
      <c r="H66" s="1214"/>
      <c r="I66" s="1333"/>
      <c r="J66" s="1364">
        <v>600</v>
      </c>
      <c r="K66" s="1659">
        <v>232</v>
      </c>
    </row>
    <row r="67" spans="1:11" s="670" customFormat="1" ht="22.5" customHeight="1">
      <c r="A67" s="665">
        <v>59</v>
      </c>
      <c r="B67" s="666">
        <v>9</v>
      </c>
      <c r="C67" s="675" t="s">
        <v>495</v>
      </c>
      <c r="D67" s="669"/>
      <c r="E67" s="668" t="s">
        <v>23</v>
      </c>
      <c r="F67" s="713"/>
      <c r="G67" s="714">
        <v>4385</v>
      </c>
      <c r="H67" s="1213">
        <v>5998</v>
      </c>
      <c r="I67" s="1332"/>
      <c r="J67" s="1363"/>
      <c r="K67" s="1660"/>
    </row>
    <row r="68" spans="1:11" s="672" customFormat="1" ht="59.25" customHeight="1">
      <c r="A68" s="654">
        <v>60</v>
      </c>
      <c r="B68" s="666"/>
      <c r="C68" s="679">
        <v>1</v>
      </c>
      <c r="D68" s="678" t="s">
        <v>921</v>
      </c>
      <c r="E68" s="668"/>
      <c r="F68" s="715"/>
      <c r="G68" s="716"/>
      <c r="H68" s="1214"/>
      <c r="I68" s="1333">
        <v>500</v>
      </c>
      <c r="J68" s="1364">
        <v>500</v>
      </c>
      <c r="K68" s="1659">
        <v>873</v>
      </c>
    </row>
    <row r="69" spans="1:11" s="672" customFormat="1" ht="60" customHeight="1">
      <c r="A69" s="664">
        <v>61</v>
      </c>
      <c r="B69" s="666"/>
      <c r="C69" s="679">
        <v>2</v>
      </c>
      <c r="D69" s="678" t="s">
        <v>840</v>
      </c>
      <c r="E69" s="668"/>
      <c r="F69" s="715"/>
      <c r="G69" s="716"/>
      <c r="H69" s="1214"/>
      <c r="I69" s="1333">
        <v>300</v>
      </c>
      <c r="J69" s="1364">
        <v>300</v>
      </c>
      <c r="K69" s="1659">
        <v>289</v>
      </c>
    </row>
    <row r="70" spans="1:11" s="672" customFormat="1" ht="60.75" customHeight="1">
      <c r="A70" s="665">
        <v>62</v>
      </c>
      <c r="B70" s="666"/>
      <c r="C70" s="679">
        <v>3</v>
      </c>
      <c r="D70" s="678" t="s">
        <v>860</v>
      </c>
      <c r="E70" s="668"/>
      <c r="F70" s="715"/>
      <c r="G70" s="716"/>
      <c r="H70" s="1214"/>
      <c r="I70" s="1333">
        <v>200</v>
      </c>
      <c r="J70" s="1364">
        <v>200</v>
      </c>
      <c r="K70" s="1659">
        <v>200</v>
      </c>
    </row>
    <row r="71" spans="1:11" s="672" customFormat="1" ht="18" customHeight="1">
      <c r="A71" s="654">
        <v>63</v>
      </c>
      <c r="B71" s="666"/>
      <c r="C71" s="671">
        <v>4</v>
      </c>
      <c r="D71" s="678" t="s">
        <v>841</v>
      </c>
      <c r="E71" s="668"/>
      <c r="F71" s="715"/>
      <c r="G71" s="716"/>
      <c r="H71" s="1214"/>
      <c r="I71" s="1333">
        <v>150</v>
      </c>
      <c r="J71" s="1364">
        <v>150</v>
      </c>
      <c r="K71" s="1659">
        <v>131</v>
      </c>
    </row>
    <row r="72" spans="1:11" s="672" customFormat="1" ht="18" customHeight="1">
      <c r="A72" s="664">
        <v>64</v>
      </c>
      <c r="B72" s="666"/>
      <c r="C72" s="1180">
        <v>5</v>
      </c>
      <c r="D72" s="726" t="s">
        <v>901</v>
      </c>
      <c r="E72" s="668"/>
      <c r="F72" s="715"/>
      <c r="G72" s="716"/>
      <c r="H72" s="1214"/>
      <c r="I72" s="1333"/>
      <c r="J72" s="1364">
        <v>1400</v>
      </c>
      <c r="K72" s="1659">
        <v>1296</v>
      </c>
    </row>
    <row r="73" spans="1:11" s="672" customFormat="1" ht="28.5" customHeight="1">
      <c r="A73" s="665">
        <v>65</v>
      </c>
      <c r="B73" s="666"/>
      <c r="C73" s="1357">
        <v>6</v>
      </c>
      <c r="D73" s="726" t="s">
        <v>927</v>
      </c>
      <c r="E73" s="668"/>
      <c r="F73" s="715"/>
      <c r="G73" s="716"/>
      <c r="H73" s="1214"/>
      <c r="I73" s="1333"/>
      <c r="J73" s="1364">
        <v>700</v>
      </c>
      <c r="K73" s="1659">
        <v>441</v>
      </c>
    </row>
    <row r="74" spans="1:11" s="670" customFormat="1" ht="22.5" customHeight="1">
      <c r="A74" s="654">
        <v>66</v>
      </c>
      <c r="B74" s="666">
        <v>10</v>
      </c>
      <c r="C74" s="667" t="s">
        <v>497</v>
      </c>
      <c r="D74" s="669"/>
      <c r="E74" s="668" t="s">
        <v>23</v>
      </c>
      <c r="F74" s="719">
        <v>13964</v>
      </c>
      <c r="G74" s="714">
        <v>5000</v>
      </c>
      <c r="H74" s="1213">
        <v>4955</v>
      </c>
      <c r="I74" s="1332"/>
      <c r="J74" s="1363"/>
      <c r="K74" s="1658"/>
    </row>
    <row r="75" spans="1:11" s="672" customFormat="1" ht="18" customHeight="1" hidden="1">
      <c r="A75" s="664">
        <v>67</v>
      </c>
      <c r="B75" s="666"/>
      <c r="C75" s="671">
        <v>1</v>
      </c>
      <c r="D75" s="678" t="s">
        <v>432</v>
      </c>
      <c r="E75" s="668"/>
      <c r="F75" s="715"/>
      <c r="G75" s="716"/>
      <c r="H75" s="1214"/>
      <c r="I75" s="1333"/>
      <c r="J75" s="1364"/>
      <c r="K75" s="1662"/>
    </row>
    <row r="76" spans="1:11" s="807" customFormat="1" ht="30" customHeight="1">
      <c r="A76" s="665">
        <v>68</v>
      </c>
      <c r="B76" s="803"/>
      <c r="C76" s="679">
        <v>1</v>
      </c>
      <c r="D76" s="804" t="s">
        <v>732</v>
      </c>
      <c r="E76" s="683"/>
      <c r="F76" s="805"/>
      <c r="G76" s="806"/>
      <c r="H76" s="1216"/>
      <c r="I76" s="1335">
        <v>4050</v>
      </c>
      <c r="J76" s="1364">
        <v>4050</v>
      </c>
      <c r="K76" s="1659">
        <v>0</v>
      </c>
    </row>
    <row r="77" spans="1:11" s="807" customFormat="1" ht="18" customHeight="1">
      <c r="A77" s="654">
        <v>69</v>
      </c>
      <c r="B77" s="803"/>
      <c r="C77" s="671">
        <v>2</v>
      </c>
      <c r="D77" s="726" t="s">
        <v>802</v>
      </c>
      <c r="E77" s="683"/>
      <c r="F77" s="805"/>
      <c r="G77" s="806"/>
      <c r="H77" s="1216"/>
      <c r="I77" s="1335"/>
      <c r="J77" s="1364">
        <v>1268</v>
      </c>
      <c r="K77" s="1659">
        <v>1494</v>
      </c>
    </row>
    <row r="78" spans="1:11" s="807" customFormat="1" ht="18" customHeight="1">
      <c r="A78" s="664">
        <v>70</v>
      </c>
      <c r="B78" s="803"/>
      <c r="C78" s="671">
        <v>3</v>
      </c>
      <c r="D78" s="726" t="s">
        <v>803</v>
      </c>
      <c r="E78" s="683"/>
      <c r="F78" s="805"/>
      <c r="G78" s="806"/>
      <c r="H78" s="1216"/>
      <c r="I78" s="1335"/>
      <c r="J78" s="1364">
        <v>1000</v>
      </c>
      <c r="K78" s="1659">
        <v>2680</v>
      </c>
    </row>
    <row r="79" spans="1:11" s="807" customFormat="1" ht="44.25" customHeight="1">
      <c r="A79" s="665">
        <v>71</v>
      </c>
      <c r="B79" s="803"/>
      <c r="C79" s="679">
        <v>4</v>
      </c>
      <c r="D79" s="726" t="s">
        <v>953</v>
      </c>
      <c r="E79" s="683"/>
      <c r="F79" s="805"/>
      <c r="G79" s="806"/>
      <c r="H79" s="1216"/>
      <c r="I79" s="1335"/>
      <c r="J79" s="1364">
        <v>3485</v>
      </c>
      <c r="K79" s="1659">
        <v>1051</v>
      </c>
    </row>
    <row r="80" spans="1:11" s="670" customFormat="1" ht="22.5" customHeight="1">
      <c r="A80" s="654">
        <v>72</v>
      </c>
      <c r="B80" s="666">
        <v>11</v>
      </c>
      <c r="C80" s="675" t="s">
        <v>480</v>
      </c>
      <c r="D80" s="669"/>
      <c r="E80" s="668" t="s">
        <v>23</v>
      </c>
      <c r="F80" s="719">
        <v>10145</v>
      </c>
      <c r="G80" s="714">
        <v>4400</v>
      </c>
      <c r="H80" s="1213">
        <v>8894</v>
      </c>
      <c r="I80" s="1332"/>
      <c r="J80" s="1363"/>
      <c r="K80" s="1660"/>
    </row>
    <row r="81" spans="1:11" s="672" customFormat="1" ht="18" customHeight="1">
      <c r="A81" s="664">
        <v>73</v>
      </c>
      <c r="B81" s="666"/>
      <c r="C81" s="671">
        <v>1</v>
      </c>
      <c r="D81" s="678" t="s">
        <v>802</v>
      </c>
      <c r="E81" s="668"/>
      <c r="F81" s="715"/>
      <c r="G81" s="716"/>
      <c r="H81" s="1214"/>
      <c r="I81" s="1333"/>
      <c r="J81" s="1364">
        <v>794</v>
      </c>
      <c r="K81" s="1659">
        <v>790</v>
      </c>
    </row>
    <row r="82" spans="1:11" s="672" customFormat="1" ht="18" customHeight="1">
      <c r="A82" s="665">
        <v>74</v>
      </c>
      <c r="B82" s="666"/>
      <c r="C82" s="671">
        <v>2</v>
      </c>
      <c r="D82" s="726" t="s">
        <v>845</v>
      </c>
      <c r="E82" s="668"/>
      <c r="F82" s="715"/>
      <c r="G82" s="716"/>
      <c r="H82" s="1214"/>
      <c r="I82" s="1333"/>
      <c r="J82" s="1364">
        <v>643</v>
      </c>
      <c r="K82" s="1659">
        <v>544</v>
      </c>
    </row>
    <row r="83" spans="1:11" s="672" customFormat="1" ht="18" customHeight="1">
      <c r="A83" s="654">
        <v>75</v>
      </c>
      <c r="B83" s="666"/>
      <c r="C83" s="671">
        <v>3</v>
      </c>
      <c r="D83" s="726" t="s">
        <v>846</v>
      </c>
      <c r="E83" s="668"/>
      <c r="F83" s="715"/>
      <c r="G83" s="716"/>
      <c r="H83" s="1214"/>
      <c r="I83" s="1333"/>
      <c r="J83" s="1364">
        <v>0</v>
      </c>
      <c r="K83" s="1659">
        <v>0</v>
      </c>
    </row>
    <row r="84" spans="1:11" s="672" customFormat="1" ht="18" customHeight="1">
      <c r="A84" s="664">
        <v>76</v>
      </c>
      <c r="B84" s="666"/>
      <c r="C84" s="671">
        <v>4</v>
      </c>
      <c r="D84" s="726" t="s">
        <v>800</v>
      </c>
      <c r="E84" s="668"/>
      <c r="F84" s="715"/>
      <c r="G84" s="716"/>
      <c r="H84" s="1214"/>
      <c r="I84" s="1333"/>
      <c r="J84" s="1364">
        <v>173</v>
      </c>
      <c r="K84" s="1659">
        <v>119</v>
      </c>
    </row>
    <row r="85" spans="1:11" s="672" customFormat="1" ht="18" customHeight="1">
      <c r="A85" s="665">
        <v>77</v>
      </c>
      <c r="B85" s="666"/>
      <c r="C85" s="671">
        <v>5</v>
      </c>
      <c r="D85" s="726" t="s">
        <v>908</v>
      </c>
      <c r="E85" s="668"/>
      <c r="F85" s="715"/>
      <c r="G85" s="716"/>
      <c r="H85" s="1214"/>
      <c r="I85" s="1333"/>
      <c r="J85" s="1364">
        <v>127</v>
      </c>
      <c r="K85" s="1659">
        <v>127</v>
      </c>
    </row>
    <row r="86" spans="1:11" s="672" customFormat="1" ht="18" customHeight="1">
      <c r="A86" s="654">
        <v>78</v>
      </c>
      <c r="B86" s="666"/>
      <c r="C86" s="671">
        <v>6</v>
      </c>
      <c r="D86" s="726" t="s">
        <v>954</v>
      </c>
      <c r="E86" s="668"/>
      <c r="F86" s="715"/>
      <c r="G86" s="716"/>
      <c r="H86" s="1214"/>
      <c r="I86" s="1333"/>
      <c r="J86" s="1364">
        <v>345</v>
      </c>
      <c r="K86" s="1659"/>
    </row>
    <row r="87" spans="1:11" s="670" customFormat="1" ht="22.5" customHeight="1">
      <c r="A87" s="664">
        <v>79</v>
      </c>
      <c r="B87" s="666">
        <v>12</v>
      </c>
      <c r="C87" s="675" t="s">
        <v>25</v>
      </c>
      <c r="D87" s="669"/>
      <c r="E87" s="668" t="s">
        <v>23</v>
      </c>
      <c r="F87" s="719">
        <v>7550</v>
      </c>
      <c r="G87" s="714">
        <v>2000</v>
      </c>
      <c r="H87" s="1213">
        <f>1106+1737+1848+92</f>
        <v>4783</v>
      </c>
      <c r="I87" s="1332"/>
      <c r="J87" s="1363"/>
      <c r="K87" s="1660"/>
    </row>
    <row r="88" spans="1:11" s="672" customFormat="1" ht="18" customHeight="1" hidden="1">
      <c r="A88" s="665">
        <v>80</v>
      </c>
      <c r="B88" s="666"/>
      <c r="C88" s="671">
        <v>1</v>
      </c>
      <c r="D88" s="678" t="s">
        <v>432</v>
      </c>
      <c r="E88" s="668"/>
      <c r="F88" s="715"/>
      <c r="G88" s="716"/>
      <c r="H88" s="1214"/>
      <c r="I88" s="1333"/>
      <c r="J88" s="1364"/>
      <c r="K88" s="1659"/>
    </row>
    <row r="89" spans="1:11" s="672" customFormat="1" ht="30">
      <c r="A89" s="654">
        <v>81</v>
      </c>
      <c r="B89" s="666"/>
      <c r="C89" s="679">
        <v>1</v>
      </c>
      <c r="D89" s="678" t="s">
        <v>395</v>
      </c>
      <c r="E89" s="668"/>
      <c r="F89" s="715">
        <v>21775</v>
      </c>
      <c r="G89" s="716">
        <v>15000</v>
      </c>
      <c r="H89" s="1214">
        <v>20716</v>
      </c>
      <c r="I89" s="1333">
        <v>16000</v>
      </c>
      <c r="J89" s="1364">
        <v>66716</v>
      </c>
      <c r="K89" s="1659">
        <v>66716</v>
      </c>
    </row>
    <row r="90" spans="1:11" s="672" customFormat="1" ht="30">
      <c r="A90" s="664">
        <v>82</v>
      </c>
      <c r="B90" s="666"/>
      <c r="C90" s="679">
        <v>2</v>
      </c>
      <c r="D90" s="678" t="s">
        <v>732</v>
      </c>
      <c r="E90" s="668"/>
      <c r="F90" s="715"/>
      <c r="G90" s="716"/>
      <c r="H90" s="1214"/>
      <c r="I90" s="1333">
        <v>2400</v>
      </c>
      <c r="J90" s="1364">
        <v>2400</v>
      </c>
      <c r="K90" s="1659">
        <v>0</v>
      </c>
    </row>
    <row r="91" spans="1:11" s="672" customFormat="1" ht="18" customHeight="1">
      <c r="A91" s="665">
        <v>83</v>
      </c>
      <c r="B91" s="666"/>
      <c r="C91" s="671">
        <v>3</v>
      </c>
      <c r="D91" s="726" t="s">
        <v>801</v>
      </c>
      <c r="E91" s="668"/>
      <c r="F91" s="715"/>
      <c r="G91" s="716"/>
      <c r="H91" s="1214"/>
      <c r="I91" s="1333"/>
      <c r="J91" s="1364">
        <v>15082</v>
      </c>
      <c r="K91" s="1659">
        <v>16004</v>
      </c>
    </row>
    <row r="92" spans="1:11" s="672" customFormat="1" ht="45">
      <c r="A92" s="654">
        <v>84</v>
      </c>
      <c r="B92" s="666"/>
      <c r="C92" s="679">
        <v>4</v>
      </c>
      <c r="D92" s="726" t="s">
        <v>950</v>
      </c>
      <c r="E92" s="668"/>
      <c r="F92" s="715"/>
      <c r="G92" s="716"/>
      <c r="H92" s="1214"/>
      <c r="I92" s="1333"/>
      <c r="J92" s="1364">
        <v>1290</v>
      </c>
      <c r="K92" s="1659">
        <v>115</v>
      </c>
    </row>
    <row r="93" spans="1:11" s="672" customFormat="1" ht="18" customHeight="1">
      <c r="A93" s="664">
        <v>85</v>
      </c>
      <c r="B93" s="666"/>
      <c r="C93" s="671">
        <v>5</v>
      </c>
      <c r="D93" s="726" t="s">
        <v>933</v>
      </c>
      <c r="E93" s="668"/>
      <c r="F93" s="715"/>
      <c r="G93" s="716"/>
      <c r="H93" s="1214"/>
      <c r="I93" s="1333"/>
      <c r="J93" s="1364">
        <v>777</v>
      </c>
      <c r="K93" s="1659">
        <v>15</v>
      </c>
    </row>
    <row r="94" spans="1:11" s="672" customFormat="1" ht="30">
      <c r="A94" s="665">
        <v>86</v>
      </c>
      <c r="B94" s="666"/>
      <c r="C94" s="679">
        <v>6</v>
      </c>
      <c r="D94" s="726" t="s">
        <v>902</v>
      </c>
      <c r="E94" s="668"/>
      <c r="F94" s="715"/>
      <c r="G94" s="716"/>
      <c r="H94" s="1214"/>
      <c r="I94" s="1333"/>
      <c r="J94" s="1364">
        <v>425</v>
      </c>
      <c r="K94" s="1659">
        <v>453</v>
      </c>
    </row>
    <row r="95" spans="1:11" s="670" customFormat="1" ht="22.5" customHeight="1">
      <c r="A95" s="654">
        <v>87</v>
      </c>
      <c r="B95" s="666">
        <v>13</v>
      </c>
      <c r="C95" s="675" t="s">
        <v>34</v>
      </c>
      <c r="D95" s="669"/>
      <c r="E95" s="668" t="s">
        <v>23</v>
      </c>
      <c r="F95" s="719">
        <f>7372-1016</f>
        <v>6356</v>
      </c>
      <c r="G95" s="714">
        <v>25158</v>
      </c>
      <c r="H95" s="1213">
        <v>50840</v>
      </c>
      <c r="I95" s="1332"/>
      <c r="J95" s="1363"/>
      <c r="K95" s="1660"/>
    </row>
    <row r="96" spans="1:11" s="672" customFormat="1" ht="28.5" customHeight="1">
      <c r="A96" s="664">
        <v>88</v>
      </c>
      <c r="B96" s="666"/>
      <c r="C96" s="679">
        <v>1</v>
      </c>
      <c r="D96" s="678" t="s">
        <v>804</v>
      </c>
      <c r="E96" s="668"/>
      <c r="F96" s="715"/>
      <c r="G96" s="716"/>
      <c r="H96" s="1214"/>
      <c r="I96" s="1333">
        <v>700</v>
      </c>
      <c r="J96" s="1364">
        <v>1090</v>
      </c>
      <c r="K96" s="1659">
        <v>366</v>
      </c>
    </row>
    <row r="97" spans="1:11" s="672" customFormat="1" ht="18" customHeight="1">
      <c r="A97" s="665">
        <v>89</v>
      </c>
      <c r="B97" s="666"/>
      <c r="C97" s="671">
        <v>2</v>
      </c>
      <c r="D97" s="726" t="s">
        <v>733</v>
      </c>
      <c r="E97" s="668"/>
      <c r="F97" s="715"/>
      <c r="G97" s="716"/>
      <c r="H97" s="1214"/>
      <c r="I97" s="1333">
        <v>500</v>
      </c>
      <c r="J97" s="1364">
        <v>900</v>
      </c>
      <c r="K97" s="1659">
        <v>900</v>
      </c>
    </row>
    <row r="98" spans="1:11" s="672" customFormat="1" ht="45" customHeight="1">
      <c r="A98" s="654">
        <v>90</v>
      </c>
      <c r="B98" s="666"/>
      <c r="C98" s="679">
        <v>3</v>
      </c>
      <c r="D98" s="727" t="s">
        <v>734</v>
      </c>
      <c r="E98" s="668"/>
      <c r="F98" s="715">
        <v>1016</v>
      </c>
      <c r="G98" s="716">
        <v>53846</v>
      </c>
      <c r="H98" s="1214">
        <v>54424</v>
      </c>
      <c r="I98" s="1333"/>
      <c r="J98" s="1364"/>
      <c r="K98" s="1659"/>
    </row>
    <row r="99" spans="1:11" s="672" customFormat="1" ht="18" customHeight="1">
      <c r="A99" s="664">
        <v>91</v>
      </c>
      <c r="B99" s="666"/>
      <c r="C99" s="671">
        <v>4</v>
      </c>
      <c r="D99" s="726" t="s">
        <v>831</v>
      </c>
      <c r="E99" s="1181"/>
      <c r="F99" s="1182"/>
      <c r="G99" s="1068"/>
      <c r="H99" s="1215"/>
      <c r="I99" s="1334"/>
      <c r="J99" s="1365">
        <v>1000</v>
      </c>
      <c r="K99" s="1660">
        <v>787</v>
      </c>
    </row>
    <row r="100" spans="1:11" s="672" customFormat="1" ht="31.5" customHeight="1">
      <c r="A100" s="665">
        <v>92</v>
      </c>
      <c r="B100" s="666"/>
      <c r="C100" s="679">
        <v>5</v>
      </c>
      <c r="D100" s="726" t="s">
        <v>805</v>
      </c>
      <c r="E100" s="1181"/>
      <c r="F100" s="1182"/>
      <c r="G100" s="1068"/>
      <c r="H100" s="1215"/>
      <c r="I100" s="1334"/>
      <c r="J100" s="1365">
        <v>1804</v>
      </c>
      <c r="K100" s="1660">
        <v>1420</v>
      </c>
    </row>
    <row r="101" spans="1:11" s="672" customFormat="1" ht="18" customHeight="1">
      <c r="A101" s="654">
        <v>93</v>
      </c>
      <c r="B101" s="666"/>
      <c r="C101" s="671">
        <v>6</v>
      </c>
      <c r="D101" s="726" t="s">
        <v>830</v>
      </c>
      <c r="E101" s="1181"/>
      <c r="F101" s="1182"/>
      <c r="G101" s="1068"/>
      <c r="H101" s="1215"/>
      <c r="I101" s="1334"/>
      <c r="J101" s="1365">
        <v>110</v>
      </c>
      <c r="K101" s="1660">
        <v>50</v>
      </c>
    </row>
    <row r="102" spans="1:11" s="672" customFormat="1" ht="18" customHeight="1">
      <c r="A102" s="664">
        <v>94</v>
      </c>
      <c r="B102" s="666"/>
      <c r="C102" s="671">
        <v>7</v>
      </c>
      <c r="D102" s="726" t="s">
        <v>910</v>
      </c>
      <c r="E102" s="1181"/>
      <c r="F102" s="1182"/>
      <c r="G102" s="1068"/>
      <c r="H102" s="1215"/>
      <c r="I102" s="1334"/>
      <c r="J102" s="1365">
        <v>0</v>
      </c>
      <c r="K102" s="1660">
        <v>0</v>
      </c>
    </row>
    <row r="103" spans="1:11" s="672" customFormat="1" ht="18" customHeight="1">
      <c r="A103" s="665">
        <v>95</v>
      </c>
      <c r="B103" s="666"/>
      <c r="C103" s="671">
        <v>8</v>
      </c>
      <c r="D103" s="726" t="s">
        <v>911</v>
      </c>
      <c r="E103" s="1181"/>
      <c r="F103" s="1182"/>
      <c r="G103" s="1068"/>
      <c r="H103" s="1215"/>
      <c r="I103" s="1334"/>
      <c r="J103" s="1365">
        <v>175</v>
      </c>
      <c r="K103" s="1660">
        <v>161</v>
      </c>
    </row>
    <row r="104" spans="1:11" s="672" customFormat="1" ht="18" customHeight="1">
      <c r="A104" s="654">
        <v>96</v>
      </c>
      <c r="B104" s="666"/>
      <c r="C104" s="671">
        <v>9</v>
      </c>
      <c r="D104" s="726" t="s">
        <v>912</v>
      </c>
      <c r="E104" s="1181"/>
      <c r="F104" s="1182"/>
      <c r="G104" s="1068"/>
      <c r="H104" s="1215"/>
      <c r="I104" s="1334"/>
      <c r="J104" s="1365">
        <v>960</v>
      </c>
      <c r="K104" s="1660">
        <v>910</v>
      </c>
    </row>
    <row r="105" spans="1:11" s="672" customFormat="1" ht="18" customHeight="1">
      <c r="A105" s="664">
        <v>97</v>
      </c>
      <c r="B105" s="666"/>
      <c r="C105" s="671">
        <v>10</v>
      </c>
      <c r="D105" s="726" t="s">
        <v>913</v>
      </c>
      <c r="E105" s="1181"/>
      <c r="F105" s="1182"/>
      <c r="G105" s="1068"/>
      <c r="H105" s="1215"/>
      <c r="I105" s="1334"/>
      <c r="J105" s="1365">
        <v>300</v>
      </c>
      <c r="K105" s="1660">
        <v>0</v>
      </c>
    </row>
    <row r="106" spans="1:11" s="672" customFormat="1" ht="18" customHeight="1">
      <c r="A106" s="665">
        <v>98</v>
      </c>
      <c r="B106" s="666"/>
      <c r="C106" s="671">
        <v>11</v>
      </c>
      <c r="D106" s="726" t="s">
        <v>952</v>
      </c>
      <c r="E106" s="1181"/>
      <c r="F106" s="1182"/>
      <c r="G106" s="1068"/>
      <c r="H106" s="1215"/>
      <c r="I106" s="1334"/>
      <c r="J106" s="1365">
        <v>300</v>
      </c>
      <c r="K106" s="1660">
        <v>50</v>
      </c>
    </row>
    <row r="107" spans="1:11" s="672" customFormat="1" ht="18" customHeight="1">
      <c r="A107" s="654">
        <v>99</v>
      </c>
      <c r="B107" s="666"/>
      <c r="C107" s="671"/>
      <c r="D107" s="1438" t="s">
        <v>962</v>
      </c>
      <c r="E107" s="1181"/>
      <c r="F107" s="1182"/>
      <c r="G107" s="1068"/>
      <c r="H107" s="1215"/>
      <c r="I107" s="1334"/>
      <c r="J107" s="1365"/>
      <c r="K107" s="1660"/>
    </row>
    <row r="108" spans="1:11" s="672" customFormat="1" ht="18" customHeight="1">
      <c r="A108" s="664">
        <v>100</v>
      </c>
      <c r="B108" s="666"/>
      <c r="C108" s="671">
        <v>12</v>
      </c>
      <c r="D108" s="726" t="s">
        <v>963</v>
      </c>
      <c r="E108" s="1181"/>
      <c r="F108" s="1182"/>
      <c r="G108" s="1068"/>
      <c r="H108" s="1215"/>
      <c r="I108" s="1334"/>
      <c r="J108" s="1365">
        <v>450</v>
      </c>
      <c r="K108" s="1660">
        <v>341</v>
      </c>
    </row>
    <row r="109" spans="1:11" s="672" customFormat="1" ht="18" customHeight="1">
      <c r="A109" s="665">
        <v>101</v>
      </c>
      <c r="B109" s="666"/>
      <c r="C109" s="671">
        <v>13</v>
      </c>
      <c r="D109" s="726" t="s">
        <v>964</v>
      </c>
      <c r="E109" s="1181"/>
      <c r="F109" s="1182"/>
      <c r="G109" s="1068"/>
      <c r="H109" s="1215"/>
      <c r="I109" s="1334"/>
      <c r="J109" s="1365">
        <v>400</v>
      </c>
      <c r="K109" s="1660">
        <v>94</v>
      </c>
    </row>
    <row r="110" spans="1:11" s="672" customFormat="1" ht="18" customHeight="1">
      <c r="A110" s="654">
        <v>102</v>
      </c>
      <c r="B110" s="666"/>
      <c r="C110" s="671">
        <v>14</v>
      </c>
      <c r="D110" s="726" t="s">
        <v>965</v>
      </c>
      <c r="E110" s="1181"/>
      <c r="F110" s="1182"/>
      <c r="G110" s="1068"/>
      <c r="H110" s="1215"/>
      <c r="I110" s="1334"/>
      <c r="J110" s="1365">
        <v>300</v>
      </c>
      <c r="K110" s="1660">
        <v>0</v>
      </c>
    </row>
    <row r="111" spans="1:11" s="672" customFormat="1" ht="18" customHeight="1">
      <c r="A111" s="664">
        <v>103</v>
      </c>
      <c r="B111" s="666"/>
      <c r="C111" s="671">
        <v>15</v>
      </c>
      <c r="D111" s="726" t="s">
        <v>966</v>
      </c>
      <c r="E111" s="1181"/>
      <c r="F111" s="1182"/>
      <c r="G111" s="1068"/>
      <c r="H111" s="1215"/>
      <c r="I111" s="1334"/>
      <c r="J111" s="1365">
        <v>310</v>
      </c>
      <c r="K111" s="1660">
        <v>267</v>
      </c>
    </row>
    <row r="112" spans="1:11" s="672" customFormat="1" ht="18" customHeight="1">
      <c r="A112" s="665">
        <v>104</v>
      </c>
      <c r="B112" s="666"/>
      <c r="C112" s="671">
        <v>16</v>
      </c>
      <c r="D112" s="726" t="s">
        <v>967</v>
      </c>
      <c r="E112" s="1181"/>
      <c r="F112" s="1182"/>
      <c r="G112" s="1068"/>
      <c r="H112" s="1215"/>
      <c r="I112" s="1334"/>
      <c r="J112" s="1365">
        <v>250</v>
      </c>
      <c r="K112" s="1660">
        <v>285</v>
      </c>
    </row>
    <row r="113" spans="1:11" s="672" customFormat="1" ht="18" customHeight="1">
      <c r="A113" s="654">
        <v>105</v>
      </c>
      <c r="B113" s="666"/>
      <c r="C113" s="671">
        <v>17</v>
      </c>
      <c r="D113" s="726" t="s">
        <v>968</v>
      </c>
      <c r="E113" s="1181"/>
      <c r="F113" s="1182"/>
      <c r="G113" s="1068"/>
      <c r="H113" s="1215"/>
      <c r="I113" s="1334"/>
      <c r="J113" s="1365">
        <v>430</v>
      </c>
      <c r="K113" s="1660">
        <v>277</v>
      </c>
    </row>
    <row r="114" spans="1:11" s="670" customFormat="1" ht="22.5" customHeight="1">
      <c r="A114" s="664">
        <v>106</v>
      </c>
      <c r="B114" s="666">
        <v>14</v>
      </c>
      <c r="C114" s="675" t="s">
        <v>481</v>
      </c>
      <c r="D114" s="669"/>
      <c r="E114" s="668" t="s">
        <v>24</v>
      </c>
      <c r="F114" s="719">
        <v>6210</v>
      </c>
      <c r="G114" s="714">
        <v>4000</v>
      </c>
      <c r="H114" s="1213">
        <v>2197</v>
      </c>
      <c r="I114" s="1332"/>
      <c r="J114" s="1363"/>
      <c r="K114" s="1658"/>
    </row>
    <row r="115" spans="1:11" s="672" customFormat="1" ht="30">
      <c r="A115" s="665">
        <v>107</v>
      </c>
      <c r="B115" s="666"/>
      <c r="C115" s="679">
        <v>1</v>
      </c>
      <c r="D115" s="726" t="s">
        <v>735</v>
      </c>
      <c r="E115" s="668"/>
      <c r="F115" s="715">
        <v>597</v>
      </c>
      <c r="G115" s="716">
        <v>1879</v>
      </c>
      <c r="H115" s="1214">
        <v>835</v>
      </c>
      <c r="I115" s="1333">
        <v>2831</v>
      </c>
      <c r="J115" s="1364">
        <v>869</v>
      </c>
      <c r="K115" s="1659">
        <v>868</v>
      </c>
    </row>
    <row r="116" spans="1:11" s="672" customFormat="1" ht="45">
      <c r="A116" s="654">
        <v>108</v>
      </c>
      <c r="B116" s="666"/>
      <c r="C116" s="679">
        <v>2</v>
      </c>
      <c r="D116" s="726" t="s">
        <v>922</v>
      </c>
      <c r="E116" s="668"/>
      <c r="F116" s="715"/>
      <c r="G116" s="716"/>
      <c r="H116" s="1214"/>
      <c r="I116" s="1333"/>
      <c r="J116" s="1364">
        <v>2847</v>
      </c>
      <c r="K116" s="1659">
        <v>2847</v>
      </c>
    </row>
    <row r="117" spans="1:11" s="672" customFormat="1" ht="18" customHeight="1">
      <c r="A117" s="664">
        <v>109</v>
      </c>
      <c r="B117" s="666"/>
      <c r="C117" s="671">
        <v>3</v>
      </c>
      <c r="D117" s="726" t="s">
        <v>905</v>
      </c>
      <c r="E117" s="668"/>
      <c r="F117" s="715"/>
      <c r="G117" s="716"/>
      <c r="H117" s="1214"/>
      <c r="I117" s="1333"/>
      <c r="J117" s="1364">
        <v>187</v>
      </c>
      <c r="K117" s="1659">
        <v>187</v>
      </c>
    </row>
    <row r="118" spans="1:11" s="672" customFormat="1" ht="30">
      <c r="A118" s="665">
        <v>110</v>
      </c>
      <c r="B118" s="666"/>
      <c r="C118" s="679">
        <v>4</v>
      </c>
      <c r="D118" s="726" t="s">
        <v>906</v>
      </c>
      <c r="E118" s="668"/>
      <c r="F118" s="715"/>
      <c r="G118" s="716"/>
      <c r="H118" s="1214"/>
      <c r="I118" s="1333"/>
      <c r="J118" s="1364">
        <v>27</v>
      </c>
      <c r="K118" s="1659">
        <v>27</v>
      </c>
    </row>
    <row r="119" spans="1:11" s="672" customFormat="1" ht="18" customHeight="1">
      <c r="A119" s="654">
        <v>111</v>
      </c>
      <c r="B119" s="666"/>
      <c r="C119" s="671">
        <v>5</v>
      </c>
      <c r="D119" s="726" t="s">
        <v>907</v>
      </c>
      <c r="E119" s="668"/>
      <c r="F119" s="715"/>
      <c r="G119" s="716"/>
      <c r="H119" s="1214"/>
      <c r="I119" s="1333"/>
      <c r="J119" s="1364">
        <v>112</v>
      </c>
      <c r="K119" s="1659">
        <v>112</v>
      </c>
    </row>
    <row r="120" spans="1:11" s="672" customFormat="1" ht="18" customHeight="1">
      <c r="A120" s="664">
        <v>112</v>
      </c>
      <c r="B120" s="666"/>
      <c r="C120" s="671">
        <v>6</v>
      </c>
      <c r="D120" s="726" t="s">
        <v>951</v>
      </c>
      <c r="E120" s="668"/>
      <c r="F120" s="715"/>
      <c r="G120" s="716"/>
      <c r="H120" s="1214"/>
      <c r="I120" s="1333"/>
      <c r="J120" s="1364">
        <v>24</v>
      </c>
      <c r="K120" s="1659">
        <v>0</v>
      </c>
    </row>
    <row r="121" spans="1:11" s="670" customFormat="1" ht="22.5" customHeight="1">
      <c r="A121" s="665">
        <v>113</v>
      </c>
      <c r="B121" s="666">
        <v>15</v>
      </c>
      <c r="C121" s="675" t="s">
        <v>155</v>
      </c>
      <c r="D121" s="669"/>
      <c r="E121" s="668" t="s">
        <v>24</v>
      </c>
      <c r="F121" s="719">
        <v>12216</v>
      </c>
      <c r="G121" s="714">
        <v>1500</v>
      </c>
      <c r="H121" s="1213">
        <v>22457</v>
      </c>
      <c r="I121" s="1332"/>
      <c r="J121" s="1363"/>
      <c r="K121" s="1658"/>
    </row>
    <row r="122" spans="1:11" s="672" customFormat="1" ht="182.25" customHeight="1">
      <c r="A122" s="654">
        <v>114</v>
      </c>
      <c r="B122" s="666"/>
      <c r="C122" s="679">
        <v>1</v>
      </c>
      <c r="D122" s="678" t="s">
        <v>1016</v>
      </c>
      <c r="E122" s="668"/>
      <c r="F122" s="715"/>
      <c r="G122" s="716"/>
      <c r="H122" s="1214"/>
      <c r="I122" s="1333">
        <v>2000</v>
      </c>
      <c r="J122" s="1364">
        <v>7555</v>
      </c>
      <c r="K122" s="1662">
        <v>5071</v>
      </c>
    </row>
    <row r="123" spans="1:11" s="672" customFormat="1" ht="30">
      <c r="A123" s="664">
        <v>115</v>
      </c>
      <c r="B123" s="666"/>
      <c r="C123" s="1357">
        <v>2</v>
      </c>
      <c r="D123" s="726" t="s">
        <v>858</v>
      </c>
      <c r="E123" s="668"/>
      <c r="F123" s="715"/>
      <c r="G123" s="716"/>
      <c r="H123" s="1214"/>
      <c r="I123" s="1333"/>
      <c r="J123" s="1364">
        <v>9961</v>
      </c>
      <c r="K123" s="1662">
        <v>9961</v>
      </c>
    </row>
    <row r="124" spans="1:11" s="672" customFormat="1" ht="18" customHeight="1">
      <c r="A124" s="665">
        <v>116</v>
      </c>
      <c r="B124" s="666"/>
      <c r="C124" s="1180">
        <v>3</v>
      </c>
      <c r="D124" s="726" t="s">
        <v>920</v>
      </c>
      <c r="E124" s="668"/>
      <c r="F124" s="715"/>
      <c r="G124" s="716"/>
      <c r="H124" s="1214"/>
      <c r="I124" s="1333"/>
      <c r="J124" s="1364">
        <v>6120</v>
      </c>
      <c r="K124" s="1662">
        <v>6120</v>
      </c>
    </row>
    <row r="125" spans="1:11" s="672" customFormat="1" ht="30">
      <c r="A125" s="654">
        <v>117</v>
      </c>
      <c r="B125" s="666"/>
      <c r="C125" s="1357">
        <v>4</v>
      </c>
      <c r="D125" s="726" t="s">
        <v>987</v>
      </c>
      <c r="E125" s="668"/>
      <c r="F125" s="715"/>
      <c r="G125" s="716"/>
      <c r="H125" s="1214"/>
      <c r="I125" s="1333"/>
      <c r="J125" s="1364">
        <v>808</v>
      </c>
      <c r="K125" s="1662">
        <v>745</v>
      </c>
    </row>
    <row r="126" spans="1:11" s="672" customFormat="1" ht="30">
      <c r="A126" s="664">
        <v>118</v>
      </c>
      <c r="B126" s="666"/>
      <c r="C126" s="1357">
        <v>5</v>
      </c>
      <c r="D126" s="726" t="s">
        <v>988</v>
      </c>
      <c r="E126" s="668"/>
      <c r="F126" s="715"/>
      <c r="G126" s="716"/>
      <c r="H126" s="1214"/>
      <c r="I126" s="1333"/>
      <c r="J126" s="1364">
        <v>895</v>
      </c>
      <c r="K126" s="1662">
        <v>609</v>
      </c>
    </row>
    <row r="127" spans="1:11" s="672" customFormat="1" ht="18" customHeight="1">
      <c r="A127" s="665">
        <v>119</v>
      </c>
      <c r="B127" s="666"/>
      <c r="C127" s="1180">
        <v>6</v>
      </c>
      <c r="D127" s="726" t="s">
        <v>935</v>
      </c>
      <c r="E127" s="668"/>
      <c r="F127" s="715"/>
      <c r="G127" s="716"/>
      <c r="H127" s="1214"/>
      <c r="I127" s="1333"/>
      <c r="J127" s="1364">
        <v>378</v>
      </c>
      <c r="K127" s="1662">
        <v>207</v>
      </c>
    </row>
    <row r="128" spans="1:11" s="672" customFormat="1" ht="18" customHeight="1">
      <c r="A128" s="654">
        <v>120</v>
      </c>
      <c r="B128" s="666"/>
      <c r="C128" s="1180">
        <v>7</v>
      </c>
      <c r="D128" s="726" t="s">
        <v>969</v>
      </c>
      <c r="E128" s="668"/>
      <c r="F128" s="715"/>
      <c r="G128" s="716"/>
      <c r="H128" s="1214"/>
      <c r="I128" s="1333"/>
      <c r="J128" s="1364">
        <v>1080</v>
      </c>
      <c r="K128" s="1662">
        <v>1080</v>
      </c>
    </row>
    <row r="129" spans="1:11" s="672" customFormat="1" ht="32.25" customHeight="1">
      <c r="A129" s="664">
        <v>121</v>
      </c>
      <c r="B129" s="666"/>
      <c r="C129" s="1357">
        <v>8</v>
      </c>
      <c r="D129" s="726" t="s">
        <v>970</v>
      </c>
      <c r="E129" s="668"/>
      <c r="F129" s="715"/>
      <c r="G129" s="716"/>
      <c r="H129" s="1214"/>
      <c r="I129" s="1333"/>
      <c r="J129" s="1364">
        <v>1397</v>
      </c>
      <c r="K129" s="1662">
        <v>1262</v>
      </c>
    </row>
    <row r="130" spans="1:11" s="670" customFormat="1" ht="22.5" customHeight="1">
      <c r="A130" s="665">
        <v>122</v>
      </c>
      <c r="B130" s="666">
        <v>16</v>
      </c>
      <c r="C130" s="680" t="s">
        <v>265</v>
      </c>
      <c r="D130" s="669"/>
      <c r="E130" s="668" t="s">
        <v>23</v>
      </c>
      <c r="F130" s="719">
        <v>8876</v>
      </c>
      <c r="G130" s="714">
        <v>1000</v>
      </c>
      <c r="H130" s="1213">
        <v>9248</v>
      </c>
      <c r="I130" s="1332"/>
      <c r="J130" s="1363"/>
      <c r="K130" s="1658"/>
    </row>
    <row r="131" spans="1:11" s="670" customFormat="1" ht="34.5" customHeight="1" thickBot="1">
      <c r="A131" s="654">
        <v>123</v>
      </c>
      <c r="B131" s="1392"/>
      <c r="C131" s="1180">
        <v>1</v>
      </c>
      <c r="D131" s="726" t="s">
        <v>989</v>
      </c>
      <c r="E131" s="1393"/>
      <c r="F131" s="1394"/>
      <c r="G131" s="1395"/>
      <c r="H131" s="1396"/>
      <c r="I131" s="1397"/>
      <c r="J131" s="1416">
        <v>4500</v>
      </c>
      <c r="K131" s="1663">
        <v>4398</v>
      </c>
    </row>
    <row r="132" spans="1:11" s="681" customFormat="1" ht="36" customHeight="1" thickBot="1" thickTop="1">
      <c r="A132" s="664">
        <v>124</v>
      </c>
      <c r="B132" s="2122" t="s">
        <v>597</v>
      </c>
      <c r="C132" s="2123"/>
      <c r="D132" s="2124"/>
      <c r="E132" s="720"/>
      <c r="F132" s="721">
        <f aca="true" t="shared" si="0" ref="F132:K132">SUM(F10:F131)</f>
        <v>139842</v>
      </c>
      <c r="G132" s="722">
        <f t="shared" si="0"/>
        <v>141948</v>
      </c>
      <c r="H132" s="1217">
        <f t="shared" si="0"/>
        <v>253498</v>
      </c>
      <c r="I132" s="1336">
        <f t="shared" si="0"/>
        <v>32671</v>
      </c>
      <c r="J132" s="1324">
        <f t="shared" si="0"/>
        <v>176032</v>
      </c>
      <c r="K132" s="1664">
        <f t="shared" si="0"/>
        <v>154154</v>
      </c>
    </row>
    <row r="133" spans="1:11" s="670" customFormat="1" ht="22.5" customHeight="1">
      <c r="A133" s="665">
        <v>125</v>
      </c>
      <c r="B133" s="666">
        <v>17</v>
      </c>
      <c r="C133" s="682" t="s">
        <v>26</v>
      </c>
      <c r="D133" s="669"/>
      <c r="E133" s="668" t="s">
        <v>23</v>
      </c>
      <c r="F133" s="713"/>
      <c r="G133" s="714"/>
      <c r="H133" s="1213"/>
      <c r="I133" s="1332"/>
      <c r="J133" s="1363"/>
      <c r="K133" s="1658"/>
    </row>
    <row r="134" spans="1:11" s="672" customFormat="1" ht="18" customHeight="1">
      <c r="A134" s="654">
        <v>126</v>
      </c>
      <c r="B134" s="666"/>
      <c r="C134" s="671">
        <v>1</v>
      </c>
      <c r="D134" s="678" t="s">
        <v>396</v>
      </c>
      <c r="E134" s="668"/>
      <c r="F134" s="715"/>
      <c r="G134" s="716">
        <v>889</v>
      </c>
      <c r="H134" s="1214"/>
      <c r="I134" s="1333">
        <v>889</v>
      </c>
      <c r="J134" s="1364">
        <v>889</v>
      </c>
      <c r="K134" s="1662"/>
    </row>
    <row r="135" spans="1:11" s="672" customFormat="1" ht="30">
      <c r="A135" s="664">
        <v>127</v>
      </c>
      <c r="B135" s="666"/>
      <c r="C135" s="683">
        <v>2</v>
      </c>
      <c r="D135" s="678" t="s">
        <v>914</v>
      </c>
      <c r="E135" s="668"/>
      <c r="F135" s="715">
        <v>2728</v>
      </c>
      <c r="G135" s="716">
        <v>3556</v>
      </c>
      <c r="H135" s="1214">
        <v>1718</v>
      </c>
      <c r="I135" s="1333">
        <v>6096</v>
      </c>
      <c r="J135" s="1364">
        <v>7594</v>
      </c>
      <c r="K135" s="1662">
        <v>2022</v>
      </c>
    </row>
    <row r="136" spans="1:11" s="672" customFormat="1" ht="18" customHeight="1">
      <c r="A136" s="665">
        <v>128</v>
      </c>
      <c r="B136" s="666"/>
      <c r="C136" s="668">
        <v>3</v>
      </c>
      <c r="D136" s="678" t="s">
        <v>35</v>
      </c>
      <c r="E136" s="668"/>
      <c r="F136" s="715">
        <v>12879</v>
      </c>
      <c r="G136" s="716">
        <v>18380</v>
      </c>
      <c r="H136" s="1214">
        <v>22105</v>
      </c>
      <c r="I136" s="1333">
        <v>18380</v>
      </c>
      <c r="J136" s="1364">
        <v>24074</v>
      </c>
      <c r="K136" s="1662">
        <v>14849</v>
      </c>
    </row>
    <row r="137" spans="1:11" s="672" customFormat="1" ht="18" customHeight="1">
      <c r="A137" s="654">
        <v>129</v>
      </c>
      <c r="B137" s="666"/>
      <c r="C137" s="668">
        <v>4</v>
      </c>
      <c r="D137" s="678" t="s">
        <v>736</v>
      </c>
      <c r="E137" s="668"/>
      <c r="F137" s="715"/>
      <c r="G137" s="716"/>
      <c r="H137" s="1214"/>
      <c r="I137" s="1333">
        <v>9000</v>
      </c>
      <c r="J137" s="1364">
        <v>0</v>
      </c>
      <c r="K137" s="1662"/>
    </row>
    <row r="138" spans="1:11" s="672" customFormat="1" ht="18" customHeight="1" thickBot="1">
      <c r="A138" s="664">
        <v>130</v>
      </c>
      <c r="B138" s="666"/>
      <c r="C138" s="668">
        <v>5</v>
      </c>
      <c r="D138" s="678" t="s">
        <v>982</v>
      </c>
      <c r="E138" s="668"/>
      <c r="F138" s="715"/>
      <c r="G138" s="714"/>
      <c r="H138" s="1215"/>
      <c r="I138" s="1341"/>
      <c r="J138" s="1364">
        <v>330</v>
      </c>
      <c r="K138" s="1662">
        <v>235</v>
      </c>
    </row>
    <row r="139" spans="1:11" s="681" customFormat="1" ht="36" customHeight="1" thickBot="1" thickTop="1">
      <c r="A139" s="665">
        <v>131</v>
      </c>
      <c r="B139" s="2122" t="s">
        <v>598</v>
      </c>
      <c r="C139" s="2123"/>
      <c r="D139" s="2124"/>
      <c r="E139" s="720"/>
      <c r="F139" s="721">
        <f>SUM(F133:F138)</f>
        <v>15607</v>
      </c>
      <c r="G139" s="722">
        <f>SUM(G133:G138)</f>
        <v>22825</v>
      </c>
      <c r="H139" s="1217">
        <f>SUM(H133:H138)</f>
        <v>23823</v>
      </c>
      <c r="I139" s="1336">
        <f>SUM(I133:I138)</f>
        <v>34365</v>
      </c>
      <c r="J139" s="1324">
        <f>SUM(J133:J138)</f>
        <v>32887</v>
      </c>
      <c r="K139" s="1664">
        <f>SUM(K133:K138)</f>
        <v>17106</v>
      </c>
    </row>
    <row r="140" spans="1:11" s="681" customFormat="1" ht="36" customHeight="1" thickBot="1">
      <c r="A140" s="654">
        <v>132</v>
      </c>
      <c r="B140" s="2117" t="s">
        <v>814</v>
      </c>
      <c r="C140" s="2118"/>
      <c r="D140" s="2119"/>
      <c r="E140" s="723"/>
      <c r="F140" s="724">
        <f aca="true" t="shared" si="1" ref="F140:K140">SUM(F139,F132)</f>
        <v>155449</v>
      </c>
      <c r="G140" s="725">
        <f t="shared" si="1"/>
        <v>164773</v>
      </c>
      <c r="H140" s="1218">
        <f t="shared" si="1"/>
        <v>277321</v>
      </c>
      <c r="I140" s="1337">
        <f t="shared" si="1"/>
        <v>67036</v>
      </c>
      <c r="J140" s="1325">
        <f t="shared" si="1"/>
        <v>208919</v>
      </c>
      <c r="K140" s="1665">
        <f t="shared" si="1"/>
        <v>171260</v>
      </c>
    </row>
    <row r="141" spans="1:11" s="681" customFormat="1" ht="19.5" customHeight="1">
      <c r="A141" s="664">
        <v>133</v>
      </c>
      <c r="B141" s="1212"/>
      <c r="C141" s="2116" t="s">
        <v>228</v>
      </c>
      <c r="D141" s="2116"/>
      <c r="E141" s="2116"/>
      <c r="F141" s="1201"/>
      <c r="G141" s="1202"/>
      <c r="H141" s="1327"/>
      <c r="I141" s="1338"/>
      <c r="J141" s="1205"/>
      <c r="K141" s="1666"/>
    </row>
    <row r="142" spans="1:11" s="681" customFormat="1" ht="30.75" customHeight="1">
      <c r="A142" s="665">
        <v>134</v>
      </c>
      <c r="B142" s="1276">
        <v>1</v>
      </c>
      <c r="C142" s="1323">
        <v>1</v>
      </c>
      <c r="D142" s="726" t="s">
        <v>900</v>
      </c>
      <c r="E142" s="668" t="s">
        <v>23</v>
      </c>
      <c r="F142" s="1203"/>
      <c r="G142" s="1204"/>
      <c r="H142" s="1328"/>
      <c r="I142" s="1339"/>
      <c r="J142" s="1206">
        <v>170</v>
      </c>
      <c r="K142" s="1667">
        <v>169</v>
      </c>
    </row>
    <row r="143" spans="1:11" s="681" customFormat="1" ht="35.25" customHeight="1" thickBot="1">
      <c r="A143" s="654">
        <v>135</v>
      </c>
      <c r="B143" s="1276">
        <v>2</v>
      </c>
      <c r="C143" s="1323">
        <v>1</v>
      </c>
      <c r="D143" s="726" t="s">
        <v>859</v>
      </c>
      <c r="E143" s="668" t="s">
        <v>23</v>
      </c>
      <c r="F143" s="1207"/>
      <c r="G143" s="1208"/>
      <c r="H143" s="1329"/>
      <c r="I143" s="1340"/>
      <c r="J143" s="1209">
        <v>2947</v>
      </c>
      <c r="K143" s="1668">
        <v>2946</v>
      </c>
    </row>
    <row r="144" spans="1:11" s="681" customFormat="1" ht="18" customHeight="1" thickBot="1">
      <c r="A144" s="664">
        <v>136</v>
      </c>
      <c r="B144" s="2117" t="s">
        <v>813</v>
      </c>
      <c r="C144" s="2118"/>
      <c r="D144" s="2119"/>
      <c r="E144" s="723"/>
      <c r="F144" s="724"/>
      <c r="G144" s="1210"/>
      <c r="H144" s="1218"/>
      <c r="I144" s="1337">
        <f>SUM(I142:I143)</f>
        <v>0</v>
      </c>
      <c r="J144" s="1211">
        <f>SUM(J142:J143)</f>
        <v>3117</v>
      </c>
      <c r="K144" s="1669">
        <f>SUM(K142:K143)</f>
        <v>3115</v>
      </c>
    </row>
    <row r="145" spans="1:11" s="681" customFormat="1" ht="36" customHeight="1" thickBot="1">
      <c r="A145" s="665">
        <v>137</v>
      </c>
      <c r="B145" s="2117" t="s">
        <v>812</v>
      </c>
      <c r="C145" s="2118"/>
      <c r="D145" s="2119"/>
      <c r="E145" s="723"/>
      <c r="F145" s="724">
        <f>F144+F140</f>
        <v>155449</v>
      </c>
      <c r="G145" s="724">
        <f>G144+G140</f>
        <v>164773</v>
      </c>
      <c r="H145" s="1330">
        <f>H144+H140</f>
        <v>277321</v>
      </c>
      <c r="I145" s="1337">
        <f>I144+I140</f>
        <v>67036</v>
      </c>
      <c r="J145" s="1211">
        <f>J144+J140</f>
        <v>212036</v>
      </c>
      <c r="K145" s="1665">
        <f>K144+K140</f>
        <v>174375</v>
      </c>
    </row>
    <row r="146" spans="2:11" ht="18" customHeight="1">
      <c r="B146" s="1069"/>
      <c r="C146" s="1070" t="s">
        <v>27</v>
      </c>
      <c r="D146" s="1069"/>
      <c r="E146" s="1071"/>
      <c r="F146" s="717"/>
      <c r="G146" s="718"/>
      <c r="H146" s="684"/>
      <c r="I146" s="684"/>
      <c r="J146" s="1366"/>
      <c r="K146" s="1368"/>
    </row>
    <row r="147" spans="1:249" s="685" customFormat="1" ht="18" customHeight="1">
      <c r="A147" s="664"/>
      <c r="B147" s="1069" t="s">
        <v>28</v>
      </c>
      <c r="C147" s="1069"/>
      <c r="D147" s="1069"/>
      <c r="E147" s="1071"/>
      <c r="F147" s="1072"/>
      <c r="G147" s="718"/>
      <c r="H147" s="684"/>
      <c r="I147" s="684"/>
      <c r="J147" s="1366"/>
      <c r="K147" s="1368"/>
      <c r="L147" s="659"/>
      <c r="M147" s="659"/>
      <c r="N147" s="659"/>
      <c r="O147" s="659"/>
      <c r="P147" s="659"/>
      <c r="Q147" s="659"/>
      <c r="R147" s="659"/>
      <c r="S147" s="659"/>
      <c r="T147" s="659"/>
      <c r="U147" s="659"/>
      <c r="V147" s="659"/>
      <c r="W147" s="659"/>
      <c r="X147" s="659"/>
      <c r="Y147" s="659"/>
      <c r="Z147" s="659"/>
      <c r="AA147" s="659"/>
      <c r="AB147" s="659"/>
      <c r="AC147" s="659"/>
      <c r="AD147" s="659"/>
      <c r="AE147" s="659"/>
      <c r="AF147" s="659"/>
      <c r="AG147" s="659"/>
      <c r="AH147" s="659"/>
      <c r="AI147" s="659"/>
      <c r="AJ147" s="659"/>
      <c r="AK147" s="659"/>
      <c r="AL147" s="659"/>
      <c r="AM147" s="659"/>
      <c r="AN147" s="659"/>
      <c r="AO147" s="659"/>
      <c r="AP147" s="659"/>
      <c r="AQ147" s="659"/>
      <c r="AR147" s="659"/>
      <c r="AS147" s="659"/>
      <c r="AT147" s="659"/>
      <c r="AU147" s="659"/>
      <c r="AV147" s="659"/>
      <c r="AW147" s="659"/>
      <c r="AX147" s="659"/>
      <c r="AY147" s="659"/>
      <c r="AZ147" s="659"/>
      <c r="BA147" s="659"/>
      <c r="BB147" s="659"/>
      <c r="BC147" s="659"/>
      <c r="BD147" s="659"/>
      <c r="BE147" s="659"/>
      <c r="BF147" s="659"/>
      <c r="BG147" s="659"/>
      <c r="BH147" s="659"/>
      <c r="BI147" s="659"/>
      <c r="BJ147" s="659"/>
      <c r="BK147" s="659"/>
      <c r="BL147" s="659"/>
      <c r="BM147" s="659"/>
      <c r="BN147" s="659"/>
      <c r="BO147" s="659"/>
      <c r="BP147" s="659"/>
      <c r="BQ147" s="659"/>
      <c r="BR147" s="659"/>
      <c r="BS147" s="659"/>
      <c r="BT147" s="659"/>
      <c r="BU147" s="659"/>
      <c r="BV147" s="659"/>
      <c r="BW147" s="659"/>
      <c r="BX147" s="659"/>
      <c r="BY147" s="659"/>
      <c r="BZ147" s="659"/>
      <c r="CA147" s="659"/>
      <c r="CB147" s="659"/>
      <c r="CC147" s="659"/>
      <c r="CD147" s="659"/>
      <c r="CE147" s="659"/>
      <c r="CF147" s="659"/>
      <c r="CG147" s="659"/>
      <c r="CH147" s="659"/>
      <c r="CI147" s="659"/>
      <c r="CJ147" s="659"/>
      <c r="CK147" s="659"/>
      <c r="CL147" s="659"/>
      <c r="CM147" s="659"/>
      <c r="CN147" s="659"/>
      <c r="CO147" s="659"/>
      <c r="CP147" s="659"/>
      <c r="CQ147" s="659"/>
      <c r="CR147" s="659"/>
      <c r="CS147" s="659"/>
      <c r="CT147" s="659"/>
      <c r="CU147" s="659"/>
      <c r="CV147" s="659"/>
      <c r="CW147" s="659"/>
      <c r="CX147" s="659"/>
      <c r="CY147" s="659"/>
      <c r="CZ147" s="659"/>
      <c r="DA147" s="659"/>
      <c r="DB147" s="659"/>
      <c r="DC147" s="659"/>
      <c r="DD147" s="659"/>
      <c r="DE147" s="659"/>
      <c r="DF147" s="659"/>
      <c r="DG147" s="659"/>
      <c r="DH147" s="659"/>
      <c r="DI147" s="659"/>
      <c r="DJ147" s="659"/>
      <c r="DK147" s="659"/>
      <c r="DL147" s="659"/>
      <c r="DM147" s="659"/>
      <c r="DN147" s="659"/>
      <c r="DO147" s="659"/>
      <c r="DP147" s="659"/>
      <c r="DQ147" s="659"/>
      <c r="DR147" s="659"/>
      <c r="DS147" s="659"/>
      <c r="DT147" s="659"/>
      <c r="DU147" s="659"/>
      <c r="DV147" s="659"/>
      <c r="DW147" s="659"/>
      <c r="DX147" s="659"/>
      <c r="DY147" s="659"/>
      <c r="DZ147" s="659"/>
      <c r="EA147" s="659"/>
      <c r="EB147" s="659"/>
      <c r="EC147" s="659"/>
      <c r="ED147" s="659"/>
      <c r="EE147" s="659"/>
      <c r="EF147" s="659"/>
      <c r="EG147" s="659"/>
      <c r="EH147" s="659"/>
      <c r="EI147" s="659"/>
      <c r="EJ147" s="659"/>
      <c r="EK147" s="659"/>
      <c r="EL147" s="659"/>
      <c r="EM147" s="659"/>
      <c r="EN147" s="659"/>
      <c r="EO147" s="659"/>
      <c r="EP147" s="659"/>
      <c r="EQ147" s="659"/>
      <c r="ER147" s="659"/>
      <c r="ES147" s="659"/>
      <c r="ET147" s="659"/>
      <c r="EU147" s="659"/>
      <c r="EV147" s="659"/>
      <c r="EW147" s="659"/>
      <c r="EX147" s="659"/>
      <c r="EY147" s="659"/>
      <c r="EZ147" s="659"/>
      <c r="FA147" s="659"/>
      <c r="FB147" s="659"/>
      <c r="FC147" s="659"/>
      <c r="FD147" s="659"/>
      <c r="FE147" s="659"/>
      <c r="FF147" s="659"/>
      <c r="FG147" s="659"/>
      <c r="FH147" s="659"/>
      <c r="FI147" s="659"/>
      <c r="FJ147" s="659"/>
      <c r="FK147" s="659"/>
      <c r="FL147" s="659"/>
      <c r="FM147" s="659"/>
      <c r="FN147" s="659"/>
      <c r="FO147" s="659"/>
      <c r="FP147" s="659"/>
      <c r="FQ147" s="659"/>
      <c r="FR147" s="659"/>
      <c r="FS147" s="659"/>
      <c r="FT147" s="659"/>
      <c r="FU147" s="659"/>
      <c r="FV147" s="659"/>
      <c r="FW147" s="659"/>
      <c r="FX147" s="659"/>
      <c r="FY147" s="659"/>
      <c r="FZ147" s="659"/>
      <c r="GA147" s="659"/>
      <c r="GB147" s="659"/>
      <c r="GC147" s="659"/>
      <c r="GD147" s="659"/>
      <c r="GE147" s="659"/>
      <c r="GF147" s="659"/>
      <c r="GG147" s="659"/>
      <c r="GH147" s="659"/>
      <c r="GI147" s="659"/>
      <c r="GJ147" s="659"/>
      <c r="GK147" s="659"/>
      <c r="GL147" s="659"/>
      <c r="GM147" s="659"/>
      <c r="GN147" s="659"/>
      <c r="GO147" s="659"/>
      <c r="GP147" s="659"/>
      <c r="GQ147" s="659"/>
      <c r="GR147" s="659"/>
      <c r="GS147" s="659"/>
      <c r="GT147" s="659"/>
      <c r="GU147" s="659"/>
      <c r="GV147" s="659"/>
      <c r="GW147" s="659"/>
      <c r="GX147" s="659"/>
      <c r="GY147" s="659"/>
      <c r="GZ147" s="659"/>
      <c r="HA147" s="659"/>
      <c r="HB147" s="659"/>
      <c r="HC147" s="659"/>
      <c r="HD147" s="659"/>
      <c r="HE147" s="659"/>
      <c r="HF147" s="659"/>
      <c r="HG147" s="659"/>
      <c r="HH147" s="659"/>
      <c r="HI147" s="659"/>
      <c r="HJ147" s="659"/>
      <c r="HK147" s="659"/>
      <c r="HL147" s="659"/>
      <c r="HM147" s="659"/>
      <c r="HN147" s="659"/>
      <c r="HO147" s="659"/>
      <c r="HP147" s="659"/>
      <c r="HQ147" s="659"/>
      <c r="HR147" s="659"/>
      <c r="HS147" s="659"/>
      <c r="HT147" s="659"/>
      <c r="HU147" s="659"/>
      <c r="HV147" s="659"/>
      <c r="HW147" s="659"/>
      <c r="HX147" s="659"/>
      <c r="HY147" s="659"/>
      <c r="HZ147" s="659"/>
      <c r="IA147" s="659"/>
      <c r="IB147" s="659"/>
      <c r="IC147" s="659"/>
      <c r="ID147" s="659"/>
      <c r="IE147" s="659"/>
      <c r="IF147" s="659"/>
      <c r="IG147" s="659"/>
      <c r="IH147" s="659"/>
      <c r="II147" s="659"/>
      <c r="IJ147" s="659"/>
      <c r="IK147" s="659"/>
      <c r="IL147" s="659"/>
      <c r="IM147" s="659"/>
      <c r="IN147" s="659"/>
      <c r="IO147" s="659"/>
    </row>
    <row r="148" spans="1:249" s="685" customFormat="1" ht="18" customHeight="1">
      <c r="A148" s="664"/>
      <c r="B148" s="1069" t="s">
        <v>29</v>
      </c>
      <c r="C148" s="1069"/>
      <c r="D148" s="1069"/>
      <c r="E148" s="1071"/>
      <c r="F148" s="1072"/>
      <c r="G148" s="718"/>
      <c r="H148" s="684"/>
      <c r="I148" s="684"/>
      <c r="J148" s="1366"/>
      <c r="K148" s="1368"/>
      <c r="L148" s="659"/>
      <c r="M148" s="659"/>
      <c r="N148" s="659"/>
      <c r="O148" s="659"/>
      <c r="P148" s="659"/>
      <c r="Q148" s="659"/>
      <c r="R148" s="659"/>
      <c r="S148" s="659"/>
      <c r="T148" s="659"/>
      <c r="U148" s="659"/>
      <c r="V148" s="659"/>
      <c r="W148" s="659"/>
      <c r="X148" s="659"/>
      <c r="Y148" s="659"/>
      <c r="Z148" s="659"/>
      <c r="AA148" s="659"/>
      <c r="AB148" s="659"/>
      <c r="AC148" s="659"/>
      <c r="AD148" s="659"/>
      <c r="AE148" s="659"/>
      <c r="AF148" s="659"/>
      <c r="AG148" s="659"/>
      <c r="AH148" s="659"/>
      <c r="AI148" s="659"/>
      <c r="AJ148" s="659"/>
      <c r="AK148" s="659"/>
      <c r="AL148" s="659"/>
      <c r="AM148" s="659"/>
      <c r="AN148" s="659"/>
      <c r="AO148" s="659"/>
      <c r="AP148" s="659"/>
      <c r="AQ148" s="659"/>
      <c r="AR148" s="659"/>
      <c r="AS148" s="659"/>
      <c r="AT148" s="659"/>
      <c r="AU148" s="659"/>
      <c r="AV148" s="659"/>
      <c r="AW148" s="659"/>
      <c r="AX148" s="659"/>
      <c r="AY148" s="659"/>
      <c r="AZ148" s="659"/>
      <c r="BA148" s="659"/>
      <c r="BB148" s="659"/>
      <c r="BC148" s="659"/>
      <c r="BD148" s="659"/>
      <c r="BE148" s="659"/>
      <c r="BF148" s="659"/>
      <c r="BG148" s="659"/>
      <c r="BH148" s="659"/>
      <c r="BI148" s="659"/>
      <c r="BJ148" s="659"/>
      <c r="BK148" s="659"/>
      <c r="BL148" s="659"/>
      <c r="BM148" s="659"/>
      <c r="BN148" s="659"/>
      <c r="BO148" s="659"/>
      <c r="BP148" s="659"/>
      <c r="BQ148" s="659"/>
      <c r="BR148" s="659"/>
      <c r="BS148" s="659"/>
      <c r="BT148" s="659"/>
      <c r="BU148" s="659"/>
      <c r="BV148" s="659"/>
      <c r="BW148" s="659"/>
      <c r="BX148" s="659"/>
      <c r="BY148" s="659"/>
      <c r="BZ148" s="659"/>
      <c r="CA148" s="659"/>
      <c r="CB148" s="659"/>
      <c r="CC148" s="659"/>
      <c r="CD148" s="659"/>
      <c r="CE148" s="659"/>
      <c r="CF148" s="659"/>
      <c r="CG148" s="659"/>
      <c r="CH148" s="659"/>
      <c r="CI148" s="659"/>
      <c r="CJ148" s="659"/>
      <c r="CK148" s="659"/>
      <c r="CL148" s="659"/>
      <c r="CM148" s="659"/>
      <c r="CN148" s="659"/>
      <c r="CO148" s="659"/>
      <c r="CP148" s="659"/>
      <c r="CQ148" s="659"/>
      <c r="CR148" s="659"/>
      <c r="CS148" s="659"/>
      <c r="CT148" s="659"/>
      <c r="CU148" s="659"/>
      <c r="CV148" s="659"/>
      <c r="CW148" s="659"/>
      <c r="CX148" s="659"/>
      <c r="CY148" s="659"/>
      <c r="CZ148" s="659"/>
      <c r="DA148" s="659"/>
      <c r="DB148" s="659"/>
      <c r="DC148" s="659"/>
      <c r="DD148" s="659"/>
      <c r="DE148" s="659"/>
      <c r="DF148" s="659"/>
      <c r="DG148" s="659"/>
      <c r="DH148" s="659"/>
      <c r="DI148" s="659"/>
      <c r="DJ148" s="659"/>
      <c r="DK148" s="659"/>
      <c r="DL148" s="659"/>
      <c r="DM148" s="659"/>
      <c r="DN148" s="659"/>
      <c r="DO148" s="659"/>
      <c r="DP148" s="659"/>
      <c r="DQ148" s="659"/>
      <c r="DR148" s="659"/>
      <c r="DS148" s="659"/>
      <c r="DT148" s="659"/>
      <c r="DU148" s="659"/>
      <c r="DV148" s="659"/>
      <c r="DW148" s="659"/>
      <c r="DX148" s="659"/>
      <c r="DY148" s="659"/>
      <c r="DZ148" s="659"/>
      <c r="EA148" s="659"/>
      <c r="EB148" s="659"/>
      <c r="EC148" s="659"/>
      <c r="ED148" s="659"/>
      <c r="EE148" s="659"/>
      <c r="EF148" s="659"/>
      <c r="EG148" s="659"/>
      <c r="EH148" s="659"/>
      <c r="EI148" s="659"/>
      <c r="EJ148" s="659"/>
      <c r="EK148" s="659"/>
      <c r="EL148" s="659"/>
      <c r="EM148" s="659"/>
      <c r="EN148" s="659"/>
      <c r="EO148" s="659"/>
      <c r="EP148" s="659"/>
      <c r="EQ148" s="659"/>
      <c r="ER148" s="659"/>
      <c r="ES148" s="659"/>
      <c r="ET148" s="659"/>
      <c r="EU148" s="659"/>
      <c r="EV148" s="659"/>
      <c r="EW148" s="659"/>
      <c r="EX148" s="659"/>
      <c r="EY148" s="659"/>
      <c r="EZ148" s="659"/>
      <c r="FA148" s="659"/>
      <c r="FB148" s="659"/>
      <c r="FC148" s="659"/>
      <c r="FD148" s="659"/>
      <c r="FE148" s="659"/>
      <c r="FF148" s="659"/>
      <c r="FG148" s="659"/>
      <c r="FH148" s="659"/>
      <c r="FI148" s="659"/>
      <c r="FJ148" s="659"/>
      <c r="FK148" s="659"/>
      <c r="FL148" s="659"/>
      <c r="FM148" s="659"/>
      <c r="FN148" s="659"/>
      <c r="FO148" s="659"/>
      <c r="FP148" s="659"/>
      <c r="FQ148" s="659"/>
      <c r="FR148" s="659"/>
      <c r="FS148" s="659"/>
      <c r="FT148" s="659"/>
      <c r="FU148" s="659"/>
      <c r="FV148" s="659"/>
      <c r="FW148" s="659"/>
      <c r="FX148" s="659"/>
      <c r="FY148" s="659"/>
      <c r="FZ148" s="659"/>
      <c r="GA148" s="659"/>
      <c r="GB148" s="659"/>
      <c r="GC148" s="659"/>
      <c r="GD148" s="659"/>
      <c r="GE148" s="659"/>
      <c r="GF148" s="659"/>
      <c r="GG148" s="659"/>
      <c r="GH148" s="659"/>
      <c r="GI148" s="659"/>
      <c r="GJ148" s="659"/>
      <c r="GK148" s="659"/>
      <c r="GL148" s="659"/>
      <c r="GM148" s="659"/>
      <c r="GN148" s="659"/>
      <c r="GO148" s="659"/>
      <c r="GP148" s="659"/>
      <c r="GQ148" s="659"/>
      <c r="GR148" s="659"/>
      <c r="GS148" s="659"/>
      <c r="GT148" s="659"/>
      <c r="GU148" s="659"/>
      <c r="GV148" s="659"/>
      <c r="GW148" s="659"/>
      <c r="GX148" s="659"/>
      <c r="GY148" s="659"/>
      <c r="GZ148" s="659"/>
      <c r="HA148" s="659"/>
      <c r="HB148" s="659"/>
      <c r="HC148" s="659"/>
      <c r="HD148" s="659"/>
      <c r="HE148" s="659"/>
      <c r="HF148" s="659"/>
      <c r="HG148" s="659"/>
      <c r="HH148" s="659"/>
      <c r="HI148" s="659"/>
      <c r="HJ148" s="659"/>
      <c r="HK148" s="659"/>
      <c r="HL148" s="659"/>
      <c r="HM148" s="659"/>
      <c r="HN148" s="659"/>
      <c r="HO148" s="659"/>
      <c r="HP148" s="659"/>
      <c r="HQ148" s="659"/>
      <c r="HR148" s="659"/>
      <c r="HS148" s="659"/>
      <c r="HT148" s="659"/>
      <c r="HU148" s="659"/>
      <c r="HV148" s="659"/>
      <c r="HW148" s="659"/>
      <c r="HX148" s="659"/>
      <c r="HY148" s="659"/>
      <c r="HZ148" s="659"/>
      <c r="IA148" s="659"/>
      <c r="IB148" s="659"/>
      <c r="IC148" s="659"/>
      <c r="ID148" s="659"/>
      <c r="IE148" s="659"/>
      <c r="IF148" s="659"/>
      <c r="IG148" s="659"/>
      <c r="IH148" s="659"/>
      <c r="II148" s="659"/>
      <c r="IJ148" s="659"/>
      <c r="IK148" s="659"/>
      <c r="IL148" s="659"/>
      <c r="IM148" s="659"/>
      <c r="IN148" s="659"/>
      <c r="IO148" s="659"/>
    </row>
    <row r="149" spans="1:249" s="685" customFormat="1" ht="15">
      <c r="A149" s="664"/>
      <c r="B149" s="654"/>
      <c r="C149" s="655"/>
      <c r="D149" s="656"/>
      <c r="E149" s="657"/>
      <c r="F149" s="712"/>
      <c r="G149" s="712"/>
      <c r="H149" s="1067"/>
      <c r="I149" s="1067"/>
      <c r="J149" s="1367"/>
      <c r="K149" s="1355"/>
      <c r="L149" s="659"/>
      <c r="M149" s="659"/>
      <c r="N149" s="659"/>
      <c r="O149" s="659"/>
      <c r="P149" s="659"/>
      <c r="Q149" s="659"/>
      <c r="R149" s="659"/>
      <c r="S149" s="659"/>
      <c r="T149" s="659"/>
      <c r="U149" s="659"/>
      <c r="V149" s="659"/>
      <c r="W149" s="659"/>
      <c r="X149" s="659"/>
      <c r="Y149" s="659"/>
      <c r="Z149" s="659"/>
      <c r="AA149" s="659"/>
      <c r="AB149" s="659"/>
      <c r="AC149" s="659"/>
      <c r="AD149" s="659"/>
      <c r="AE149" s="659"/>
      <c r="AF149" s="659"/>
      <c r="AG149" s="659"/>
      <c r="AH149" s="659"/>
      <c r="AI149" s="659"/>
      <c r="AJ149" s="659"/>
      <c r="AK149" s="659"/>
      <c r="AL149" s="659"/>
      <c r="AM149" s="659"/>
      <c r="AN149" s="659"/>
      <c r="AO149" s="659"/>
      <c r="AP149" s="659"/>
      <c r="AQ149" s="659"/>
      <c r="AR149" s="659"/>
      <c r="AS149" s="659"/>
      <c r="AT149" s="659"/>
      <c r="AU149" s="659"/>
      <c r="AV149" s="659"/>
      <c r="AW149" s="659"/>
      <c r="AX149" s="659"/>
      <c r="AY149" s="659"/>
      <c r="AZ149" s="659"/>
      <c r="BA149" s="659"/>
      <c r="BB149" s="659"/>
      <c r="BC149" s="659"/>
      <c r="BD149" s="659"/>
      <c r="BE149" s="659"/>
      <c r="BF149" s="659"/>
      <c r="BG149" s="659"/>
      <c r="BH149" s="659"/>
      <c r="BI149" s="659"/>
      <c r="BJ149" s="659"/>
      <c r="BK149" s="659"/>
      <c r="BL149" s="659"/>
      <c r="BM149" s="659"/>
      <c r="BN149" s="659"/>
      <c r="BO149" s="659"/>
      <c r="BP149" s="659"/>
      <c r="BQ149" s="659"/>
      <c r="BR149" s="659"/>
      <c r="BS149" s="659"/>
      <c r="BT149" s="659"/>
      <c r="BU149" s="659"/>
      <c r="BV149" s="659"/>
      <c r="BW149" s="659"/>
      <c r="BX149" s="659"/>
      <c r="BY149" s="659"/>
      <c r="BZ149" s="659"/>
      <c r="CA149" s="659"/>
      <c r="CB149" s="659"/>
      <c r="CC149" s="659"/>
      <c r="CD149" s="659"/>
      <c r="CE149" s="659"/>
      <c r="CF149" s="659"/>
      <c r="CG149" s="659"/>
      <c r="CH149" s="659"/>
      <c r="CI149" s="659"/>
      <c r="CJ149" s="659"/>
      <c r="CK149" s="659"/>
      <c r="CL149" s="659"/>
      <c r="CM149" s="659"/>
      <c r="CN149" s="659"/>
      <c r="CO149" s="659"/>
      <c r="CP149" s="659"/>
      <c r="CQ149" s="659"/>
      <c r="CR149" s="659"/>
      <c r="CS149" s="659"/>
      <c r="CT149" s="659"/>
      <c r="CU149" s="659"/>
      <c r="CV149" s="659"/>
      <c r="CW149" s="659"/>
      <c r="CX149" s="659"/>
      <c r="CY149" s="659"/>
      <c r="CZ149" s="659"/>
      <c r="DA149" s="659"/>
      <c r="DB149" s="659"/>
      <c r="DC149" s="659"/>
      <c r="DD149" s="659"/>
      <c r="DE149" s="659"/>
      <c r="DF149" s="659"/>
      <c r="DG149" s="659"/>
      <c r="DH149" s="659"/>
      <c r="DI149" s="659"/>
      <c r="DJ149" s="659"/>
      <c r="DK149" s="659"/>
      <c r="DL149" s="659"/>
      <c r="DM149" s="659"/>
      <c r="DN149" s="659"/>
      <c r="DO149" s="659"/>
      <c r="DP149" s="659"/>
      <c r="DQ149" s="659"/>
      <c r="DR149" s="659"/>
      <c r="DS149" s="659"/>
      <c r="DT149" s="659"/>
      <c r="DU149" s="659"/>
      <c r="DV149" s="659"/>
      <c r="DW149" s="659"/>
      <c r="DX149" s="659"/>
      <c r="DY149" s="659"/>
      <c r="DZ149" s="659"/>
      <c r="EA149" s="659"/>
      <c r="EB149" s="659"/>
      <c r="EC149" s="659"/>
      <c r="ED149" s="659"/>
      <c r="EE149" s="659"/>
      <c r="EF149" s="659"/>
      <c r="EG149" s="659"/>
      <c r="EH149" s="659"/>
      <c r="EI149" s="659"/>
      <c r="EJ149" s="659"/>
      <c r="EK149" s="659"/>
      <c r="EL149" s="659"/>
      <c r="EM149" s="659"/>
      <c r="EN149" s="659"/>
      <c r="EO149" s="659"/>
      <c r="EP149" s="659"/>
      <c r="EQ149" s="659"/>
      <c r="ER149" s="659"/>
      <c r="ES149" s="659"/>
      <c r="ET149" s="659"/>
      <c r="EU149" s="659"/>
      <c r="EV149" s="659"/>
      <c r="EW149" s="659"/>
      <c r="EX149" s="659"/>
      <c r="EY149" s="659"/>
      <c r="EZ149" s="659"/>
      <c r="FA149" s="659"/>
      <c r="FB149" s="659"/>
      <c r="FC149" s="659"/>
      <c r="FD149" s="659"/>
      <c r="FE149" s="659"/>
      <c r="FF149" s="659"/>
      <c r="FG149" s="659"/>
      <c r="FH149" s="659"/>
      <c r="FI149" s="659"/>
      <c r="FJ149" s="659"/>
      <c r="FK149" s="659"/>
      <c r="FL149" s="659"/>
      <c r="FM149" s="659"/>
      <c r="FN149" s="659"/>
      <c r="FO149" s="659"/>
      <c r="FP149" s="659"/>
      <c r="FQ149" s="659"/>
      <c r="FR149" s="659"/>
      <c r="FS149" s="659"/>
      <c r="FT149" s="659"/>
      <c r="FU149" s="659"/>
      <c r="FV149" s="659"/>
      <c r="FW149" s="659"/>
      <c r="FX149" s="659"/>
      <c r="FY149" s="659"/>
      <c r="FZ149" s="659"/>
      <c r="GA149" s="659"/>
      <c r="GB149" s="659"/>
      <c r="GC149" s="659"/>
      <c r="GD149" s="659"/>
      <c r="GE149" s="659"/>
      <c r="GF149" s="659"/>
      <c r="GG149" s="659"/>
      <c r="GH149" s="659"/>
      <c r="GI149" s="659"/>
      <c r="GJ149" s="659"/>
      <c r="GK149" s="659"/>
      <c r="GL149" s="659"/>
      <c r="GM149" s="659"/>
      <c r="GN149" s="659"/>
      <c r="GO149" s="659"/>
      <c r="GP149" s="659"/>
      <c r="GQ149" s="659"/>
      <c r="GR149" s="659"/>
      <c r="GS149" s="659"/>
      <c r="GT149" s="659"/>
      <c r="GU149" s="659"/>
      <c r="GV149" s="659"/>
      <c r="GW149" s="659"/>
      <c r="GX149" s="659"/>
      <c r="GY149" s="659"/>
      <c r="GZ149" s="659"/>
      <c r="HA149" s="659"/>
      <c r="HB149" s="659"/>
      <c r="HC149" s="659"/>
      <c r="HD149" s="659"/>
      <c r="HE149" s="659"/>
      <c r="HF149" s="659"/>
      <c r="HG149" s="659"/>
      <c r="HH149" s="659"/>
      <c r="HI149" s="659"/>
      <c r="HJ149" s="659"/>
      <c r="HK149" s="659"/>
      <c r="HL149" s="659"/>
      <c r="HM149" s="659"/>
      <c r="HN149" s="659"/>
      <c r="HO149" s="659"/>
      <c r="HP149" s="659"/>
      <c r="HQ149" s="659"/>
      <c r="HR149" s="659"/>
      <c r="HS149" s="659"/>
      <c r="HT149" s="659"/>
      <c r="HU149" s="659"/>
      <c r="HV149" s="659"/>
      <c r="HW149" s="659"/>
      <c r="HX149" s="659"/>
      <c r="HY149" s="659"/>
      <c r="HZ149" s="659"/>
      <c r="IA149" s="659"/>
      <c r="IB149" s="659"/>
      <c r="IC149" s="659"/>
      <c r="ID149" s="659"/>
      <c r="IE149" s="659"/>
      <c r="IF149" s="659"/>
      <c r="IG149" s="659"/>
      <c r="IH149" s="659"/>
      <c r="II149" s="659"/>
      <c r="IJ149" s="659"/>
      <c r="IK149" s="659"/>
      <c r="IL149" s="659"/>
      <c r="IM149" s="659"/>
      <c r="IN149" s="659"/>
      <c r="IO149" s="659"/>
    </row>
  </sheetData>
  <sheetProtection/>
  <mergeCells count="20">
    <mergeCell ref="C9:D9"/>
    <mergeCell ref="C141:E141"/>
    <mergeCell ref="B144:D144"/>
    <mergeCell ref="B145:D145"/>
    <mergeCell ref="C20:D20"/>
    <mergeCell ref="B140:D140"/>
    <mergeCell ref="B132:D132"/>
    <mergeCell ref="B139:D139"/>
    <mergeCell ref="B3:K3"/>
    <mergeCell ref="B4:K4"/>
    <mergeCell ref="B7:B8"/>
    <mergeCell ref="C7:C8"/>
    <mergeCell ref="D7:D8"/>
    <mergeCell ref="E7:E8"/>
    <mergeCell ref="F7:F8"/>
    <mergeCell ref="G7:G8"/>
    <mergeCell ref="H7:H8"/>
    <mergeCell ref="J7:J8"/>
    <mergeCell ref="K7:K8"/>
    <mergeCell ref="I7:I8"/>
  </mergeCells>
  <printOptions horizontalCentered="1"/>
  <pageMargins left="0.1968503937007874" right="0.1968503937007874" top="0.7874015748031497" bottom="0.5905511811023623" header="0.31496062992125984" footer="0.31496062992125984"/>
  <pageSetup fitToHeight="0" fitToWidth="1" horizontalDpi="600" verticalDpi="600" orientation="portrait" paperSize="9" scale="61" r:id="rId1"/>
  <headerFooter alignWithMargins="0">
    <oddFooter>&amp;C- &amp;P -</oddFooter>
  </headerFooter>
</worksheet>
</file>

<file path=xl/worksheets/sheet7.xml><?xml version="1.0" encoding="utf-8"?>
<worksheet xmlns="http://schemas.openxmlformats.org/spreadsheetml/2006/main" xmlns:r="http://schemas.openxmlformats.org/officeDocument/2006/relationships">
  <dimension ref="A1:Q950"/>
  <sheetViews>
    <sheetView view="pageBreakPreview" zoomScaleNormal="75" zoomScaleSheetLayoutView="100" zoomScalePageLayoutView="0" workbookViewId="0" topLeftCell="A1">
      <selection activeCell="B1" sqref="B1:Q1"/>
    </sheetView>
  </sheetViews>
  <sheetFormatPr defaultColWidth="9.125" defaultRowHeight="12.75"/>
  <cols>
    <col min="1" max="1" width="3.75390625" style="443" customWidth="1"/>
    <col min="2" max="2" width="5.75390625" style="3" customWidth="1"/>
    <col min="3" max="3" width="5.75390625" style="7" customWidth="1"/>
    <col min="4" max="4" width="87.75390625" style="16" customWidth="1"/>
    <col min="5" max="7" width="11.75390625" style="4" customWidth="1"/>
    <col min="8" max="8" width="6.75390625" style="3" customWidth="1"/>
    <col min="9" max="9" width="12.75390625" style="13" customWidth="1"/>
    <col min="10" max="14" width="12.75390625" style="287" customWidth="1"/>
    <col min="15" max="15" width="9.25390625" style="4" bestFit="1" customWidth="1"/>
    <col min="16" max="16384" width="9.125" style="4" customWidth="1"/>
  </cols>
  <sheetData>
    <row r="1" spans="1:17" ht="16.5" customHeight="1">
      <c r="A1" s="689"/>
      <c r="B1" s="2140" t="s">
        <v>1463</v>
      </c>
      <c r="C1" s="2140"/>
      <c r="D1" s="2140"/>
      <c r="E1" s="2140"/>
      <c r="F1" s="2140"/>
      <c r="G1" s="2140"/>
      <c r="H1" s="2140"/>
      <c r="I1" s="2140"/>
      <c r="J1" s="2140"/>
      <c r="K1" s="2140"/>
      <c r="L1" s="2140"/>
      <c r="M1" s="2140"/>
      <c r="N1" s="2140"/>
      <c r="O1" s="2140"/>
      <c r="P1" s="2140"/>
      <c r="Q1" s="2140"/>
    </row>
    <row r="2" spans="1:14" ht="16.5">
      <c r="A2" s="689"/>
      <c r="B2" s="1446"/>
      <c r="C2" s="1446"/>
      <c r="D2" s="1446"/>
      <c r="E2" s="1446"/>
      <c r="F2" s="1446"/>
      <c r="G2" s="1446"/>
      <c r="H2" s="1446"/>
      <c r="I2" s="1446"/>
      <c r="J2" s="1446"/>
      <c r="K2" s="1446"/>
      <c r="L2" s="1446"/>
      <c r="M2" s="1446"/>
      <c r="N2" s="1446"/>
    </row>
    <row r="3" spans="1:14" ht="24.75" customHeight="1">
      <c r="A3" s="689"/>
      <c r="B3" s="2135" t="s">
        <v>14</v>
      </c>
      <c r="C3" s="2135"/>
      <c r="D3" s="2135"/>
      <c r="E3" s="2135"/>
      <c r="F3" s="2135"/>
      <c r="G3" s="2135"/>
      <c r="H3" s="2135"/>
      <c r="I3" s="2135"/>
      <c r="J3" s="2135"/>
      <c r="K3" s="2135"/>
      <c r="L3" s="2135"/>
      <c r="M3" s="2135"/>
      <c r="N3" s="2135"/>
    </row>
    <row r="4" spans="1:14" s="6" customFormat="1" ht="24.75" customHeight="1">
      <c r="A4" s="689"/>
      <c r="B4" s="2136" t="s">
        <v>1046</v>
      </c>
      <c r="C4" s="2136"/>
      <c r="D4" s="2136"/>
      <c r="E4" s="2136"/>
      <c r="F4" s="2136"/>
      <c r="G4" s="2136"/>
      <c r="H4" s="2136"/>
      <c r="I4" s="2136"/>
      <c r="J4" s="2136"/>
      <c r="K4" s="2136"/>
      <c r="L4" s="2136"/>
      <c r="M4" s="2136"/>
      <c r="N4" s="2136"/>
    </row>
    <row r="5" spans="1:14" s="285" customFormat="1" ht="15">
      <c r="A5" s="688"/>
      <c r="B5" s="690"/>
      <c r="C5" s="691"/>
      <c r="D5" s="692"/>
      <c r="G5" s="1242"/>
      <c r="H5" s="693"/>
      <c r="I5" s="694"/>
      <c r="J5" s="649"/>
      <c r="K5" s="649"/>
      <c r="L5" s="649"/>
      <c r="M5" s="2137" t="s">
        <v>0</v>
      </c>
      <c r="N5" s="2137"/>
    </row>
    <row r="6" spans="1:14" s="90" customFormat="1" ht="18" customHeight="1" thickBot="1">
      <c r="A6" s="695"/>
      <c r="B6" s="90" t="s">
        <v>1</v>
      </c>
      <c r="C6" s="696" t="s">
        <v>3</v>
      </c>
      <c r="D6" s="697" t="s">
        <v>2</v>
      </c>
      <c r="E6" s="90" t="s">
        <v>4</v>
      </c>
      <c r="F6" s="90" t="s">
        <v>5</v>
      </c>
      <c r="G6" s="90" t="s">
        <v>15</v>
      </c>
      <c r="H6" s="698" t="s">
        <v>16</v>
      </c>
      <c r="I6" s="696" t="s">
        <v>17</v>
      </c>
      <c r="J6" s="696" t="s">
        <v>36</v>
      </c>
      <c r="K6" s="696" t="s">
        <v>30</v>
      </c>
      <c r="L6" s="696" t="s">
        <v>23</v>
      </c>
      <c r="M6" s="696" t="s">
        <v>37</v>
      </c>
      <c r="N6" s="696" t="s">
        <v>38</v>
      </c>
    </row>
    <row r="7" spans="1:14" s="1448" customFormat="1" ht="34.5" customHeight="1">
      <c r="A7" s="443"/>
      <c r="B7" s="2147" t="s">
        <v>18</v>
      </c>
      <c r="C7" s="2149" t="s">
        <v>19</v>
      </c>
      <c r="D7" s="2153" t="s">
        <v>6</v>
      </c>
      <c r="E7" s="2145" t="s">
        <v>568</v>
      </c>
      <c r="F7" s="2145" t="s">
        <v>567</v>
      </c>
      <c r="G7" s="2151" t="s">
        <v>764</v>
      </c>
      <c r="H7" s="2155" t="s">
        <v>20</v>
      </c>
      <c r="I7" s="2141" t="s">
        <v>569</v>
      </c>
      <c r="J7" s="2143" t="s">
        <v>39</v>
      </c>
      <c r="K7" s="2143"/>
      <c r="L7" s="2143"/>
      <c r="M7" s="2143"/>
      <c r="N7" s="2144"/>
    </row>
    <row r="8" spans="1:14" s="1448" customFormat="1" ht="45.75" thickBot="1">
      <c r="A8" s="443"/>
      <c r="B8" s="2148"/>
      <c r="C8" s="2150"/>
      <c r="D8" s="2154"/>
      <c r="E8" s="2146"/>
      <c r="F8" s="2146"/>
      <c r="G8" s="2152"/>
      <c r="H8" s="2156"/>
      <c r="I8" s="2142"/>
      <c r="J8" s="1477" t="s">
        <v>40</v>
      </c>
      <c r="K8" s="1477" t="s">
        <v>41</v>
      </c>
      <c r="L8" s="1477" t="s">
        <v>42</v>
      </c>
      <c r="M8" s="1477" t="s">
        <v>219</v>
      </c>
      <c r="N8" s="687" t="s">
        <v>43</v>
      </c>
    </row>
    <row r="9" spans="1:14" s="1448" customFormat="1" ht="23.25" customHeight="1">
      <c r="A9" s="443">
        <v>1</v>
      </c>
      <c r="B9" s="699">
        <v>18</v>
      </c>
      <c r="C9" s="700" t="s">
        <v>596</v>
      </c>
      <c r="D9" s="701"/>
      <c r="E9" s="702"/>
      <c r="F9" s="702"/>
      <c r="G9" s="1243"/>
      <c r="H9" s="706"/>
      <c r="I9" s="703"/>
      <c r="J9" s="704"/>
      <c r="K9" s="704"/>
      <c r="L9" s="704"/>
      <c r="M9" s="704"/>
      <c r="N9" s="705"/>
    </row>
    <row r="10" spans="1:14" s="3" customFormat="1" ht="22.5" customHeight="1">
      <c r="A10" s="443">
        <v>2</v>
      </c>
      <c r="B10" s="148"/>
      <c r="C10" s="686">
        <v>1</v>
      </c>
      <c r="D10" s="436" t="s">
        <v>44</v>
      </c>
      <c r="E10" s="154">
        <v>6918</v>
      </c>
      <c r="F10" s="154">
        <v>7000</v>
      </c>
      <c r="G10" s="1244">
        <v>1779</v>
      </c>
      <c r="H10" s="447" t="s">
        <v>23</v>
      </c>
      <c r="I10" s="425"/>
      <c r="J10" s="153"/>
      <c r="K10" s="153"/>
      <c r="L10" s="153"/>
      <c r="M10" s="153"/>
      <c r="N10" s="159"/>
    </row>
    <row r="11" spans="1:14" s="3" customFormat="1" ht="18" customHeight="1">
      <c r="A11" s="443">
        <v>3</v>
      </c>
      <c r="B11" s="148"/>
      <c r="C11" s="686"/>
      <c r="D11" s="436" t="s">
        <v>994</v>
      </c>
      <c r="E11" s="154"/>
      <c r="F11" s="154"/>
      <c r="G11" s="1244"/>
      <c r="H11" s="447"/>
      <c r="I11" s="426">
        <f>SUM(J11:N11)</f>
        <v>255</v>
      </c>
      <c r="J11" s="153"/>
      <c r="K11" s="153"/>
      <c r="L11" s="988">
        <v>255</v>
      </c>
      <c r="M11" s="153"/>
      <c r="N11" s="159"/>
    </row>
    <row r="12" spans="1:14" s="8" customFormat="1" ht="18" customHeight="1">
      <c r="A12" s="443">
        <v>4</v>
      </c>
      <c r="B12" s="123"/>
      <c r="C12" s="124"/>
      <c r="D12" s="987" t="s">
        <v>1035</v>
      </c>
      <c r="E12" s="122"/>
      <c r="F12" s="122"/>
      <c r="G12" s="1245"/>
      <c r="H12" s="445"/>
      <c r="I12" s="990">
        <f>SUM(J12:N12)</f>
        <v>239</v>
      </c>
      <c r="J12" s="153"/>
      <c r="K12" s="153"/>
      <c r="L12" s="458">
        <v>239</v>
      </c>
      <c r="M12" s="153"/>
      <c r="N12" s="159"/>
    </row>
    <row r="13" spans="1:16" s="3" customFormat="1" ht="22.5" customHeight="1">
      <c r="A13" s="443">
        <v>5</v>
      </c>
      <c r="B13" s="119"/>
      <c r="C13" s="120">
        <v>2</v>
      </c>
      <c r="D13" s="437" t="s">
        <v>45</v>
      </c>
      <c r="E13" s="122">
        <v>4298</v>
      </c>
      <c r="F13" s="122">
        <v>5000</v>
      </c>
      <c r="G13" s="1245">
        <v>3685</v>
      </c>
      <c r="H13" s="445" t="s">
        <v>24</v>
      </c>
      <c r="I13" s="425"/>
      <c r="J13" s="153"/>
      <c r="K13" s="153"/>
      <c r="L13" s="153"/>
      <c r="M13" s="153"/>
      <c r="N13" s="159"/>
      <c r="P13" s="8"/>
    </row>
    <row r="14" spans="1:16" s="3" customFormat="1" ht="18" customHeight="1">
      <c r="A14" s="443">
        <v>6</v>
      </c>
      <c r="B14" s="119"/>
      <c r="C14" s="120"/>
      <c r="D14" s="436" t="s">
        <v>994</v>
      </c>
      <c r="E14" s="122"/>
      <c r="F14" s="122"/>
      <c r="G14" s="1245"/>
      <c r="H14" s="445"/>
      <c r="I14" s="426">
        <f>SUM(J14:N14)</f>
        <v>4500</v>
      </c>
      <c r="J14" s="988">
        <v>22</v>
      </c>
      <c r="K14" s="988">
        <v>12</v>
      </c>
      <c r="L14" s="988">
        <v>4466</v>
      </c>
      <c r="M14" s="153"/>
      <c r="N14" s="159"/>
      <c r="P14" s="8"/>
    </row>
    <row r="15" spans="1:14" s="8" customFormat="1" ht="18" customHeight="1">
      <c r="A15" s="443">
        <v>7</v>
      </c>
      <c r="B15" s="123"/>
      <c r="C15" s="124"/>
      <c r="D15" s="987" t="s">
        <v>1035</v>
      </c>
      <c r="E15" s="122"/>
      <c r="F15" s="122"/>
      <c r="G15" s="1245"/>
      <c r="H15" s="445"/>
      <c r="I15" s="990">
        <f>SUM(J15:N15)</f>
        <v>1719</v>
      </c>
      <c r="J15" s="126">
        <v>22</v>
      </c>
      <c r="K15" s="126">
        <v>11</v>
      </c>
      <c r="L15" s="143">
        <v>1686</v>
      </c>
      <c r="M15" s="126"/>
      <c r="N15" s="127"/>
    </row>
    <row r="16" spans="1:16" s="3" customFormat="1" ht="22.5" customHeight="1">
      <c r="A16" s="443">
        <v>8</v>
      </c>
      <c r="B16" s="119"/>
      <c r="C16" s="120">
        <v>3</v>
      </c>
      <c r="D16" s="437" t="s">
        <v>46</v>
      </c>
      <c r="E16" s="122">
        <v>15651</v>
      </c>
      <c r="F16" s="122">
        <v>10000</v>
      </c>
      <c r="G16" s="1245">
        <v>7056</v>
      </c>
      <c r="H16" s="445" t="s">
        <v>24</v>
      </c>
      <c r="I16" s="427"/>
      <c r="J16" s="129"/>
      <c r="K16" s="129"/>
      <c r="L16" s="129"/>
      <c r="M16" s="129"/>
      <c r="N16" s="130"/>
      <c r="P16" s="8"/>
    </row>
    <row r="17" spans="1:14" s="8" customFormat="1" ht="18" customHeight="1">
      <c r="A17" s="443">
        <v>9</v>
      </c>
      <c r="B17" s="123"/>
      <c r="C17" s="124"/>
      <c r="D17" s="907" t="s">
        <v>303</v>
      </c>
      <c r="E17" s="122"/>
      <c r="F17" s="122"/>
      <c r="G17" s="1245"/>
      <c r="H17" s="445"/>
      <c r="I17" s="900">
        <f>SUM(J17:N17)</f>
        <v>3000</v>
      </c>
      <c r="J17" s="126"/>
      <c r="K17" s="126"/>
      <c r="L17" s="901">
        <v>3000</v>
      </c>
      <c r="M17" s="126"/>
      <c r="N17" s="127"/>
    </row>
    <row r="18" spans="1:14" s="8" customFormat="1" ht="18" customHeight="1">
      <c r="A18" s="443">
        <v>10</v>
      </c>
      <c r="B18" s="123"/>
      <c r="C18" s="124"/>
      <c r="D18" s="436" t="s">
        <v>994</v>
      </c>
      <c r="E18" s="122"/>
      <c r="F18" s="122"/>
      <c r="G18" s="1245"/>
      <c r="H18" s="445"/>
      <c r="I18" s="426">
        <f>SUM(J18:N18)</f>
        <v>3485</v>
      </c>
      <c r="J18" s="341">
        <v>30</v>
      </c>
      <c r="K18" s="341">
        <v>42</v>
      </c>
      <c r="L18" s="341">
        <v>3413</v>
      </c>
      <c r="M18" s="126"/>
      <c r="N18" s="127"/>
    </row>
    <row r="19" spans="1:14" s="8" customFormat="1" ht="18" customHeight="1">
      <c r="A19" s="443">
        <v>11</v>
      </c>
      <c r="B19" s="123"/>
      <c r="C19" s="124"/>
      <c r="D19" s="987" t="s">
        <v>1035</v>
      </c>
      <c r="E19" s="122"/>
      <c r="F19" s="122"/>
      <c r="G19" s="1245"/>
      <c r="H19" s="445"/>
      <c r="I19" s="990">
        <f>SUM(J19:N19)</f>
        <v>1449</v>
      </c>
      <c r="J19" s="143">
        <v>27</v>
      </c>
      <c r="K19" s="143">
        <v>42</v>
      </c>
      <c r="L19" s="143">
        <v>1380</v>
      </c>
      <c r="M19" s="126"/>
      <c r="N19" s="127"/>
    </row>
    <row r="20" spans="1:16" s="3" customFormat="1" ht="22.5" customHeight="1">
      <c r="A20" s="443">
        <v>12</v>
      </c>
      <c r="B20" s="119"/>
      <c r="C20" s="120">
        <v>4</v>
      </c>
      <c r="D20" s="437" t="s">
        <v>47</v>
      </c>
      <c r="E20" s="122">
        <v>12950</v>
      </c>
      <c r="F20" s="122">
        <v>11000</v>
      </c>
      <c r="G20" s="1245">
        <v>13218</v>
      </c>
      <c r="H20" s="445" t="s">
        <v>24</v>
      </c>
      <c r="I20" s="900"/>
      <c r="J20" s="126"/>
      <c r="K20" s="126"/>
      <c r="L20" s="126"/>
      <c r="M20" s="126"/>
      <c r="N20" s="127"/>
      <c r="P20" s="8"/>
    </row>
    <row r="21" spans="1:16" s="3" customFormat="1" ht="18" customHeight="1">
      <c r="A21" s="443">
        <v>13</v>
      </c>
      <c r="B21" s="119"/>
      <c r="C21" s="120"/>
      <c r="D21" s="436" t="s">
        <v>994</v>
      </c>
      <c r="E21" s="122"/>
      <c r="F21" s="122"/>
      <c r="G21" s="1245"/>
      <c r="H21" s="445"/>
      <c r="I21" s="426">
        <f>SUM(J21:N21)</f>
        <v>4078</v>
      </c>
      <c r="J21" s="126"/>
      <c r="K21" s="126"/>
      <c r="L21" s="341">
        <v>4078</v>
      </c>
      <c r="M21" s="126"/>
      <c r="N21" s="127"/>
      <c r="P21" s="8"/>
    </row>
    <row r="22" spans="1:14" s="8" customFormat="1" ht="18" customHeight="1">
      <c r="A22" s="443">
        <v>14</v>
      </c>
      <c r="B22" s="123"/>
      <c r="C22" s="124"/>
      <c r="D22" s="987" t="s">
        <v>1035</v>
      </c>
      <c r="E22" s="834"/>
      <c r="F22" s="834"/>
      <c r="G22" s="1246"/>
      <c r="H22" s="445"/>
      <c r="I22" s="990">
        <f>SUM(J22:N22)</f>
        <v>3555</v>
      </c>
      <c r="J22" s="143"/>
      <c r="K22" s="143"/>
      <c r="L22" s="143">
        <v>3555</v>
      </c>
      <c r="M22" s="143"/>
      <c r="N22" s="144"/>
    </row>
    <row r="23" spans="1:16" s="3" customFormat="1" ht="22.5" customHeight="1">
      <c r="A23" s="443">
        <v>15</v>
      </c>
      <c r="B23" s="119"/>
      <c r="C23" s="120">
        <v>5</v>
      </c>
      <c r="D23" s="437" t="s">
        <v>12</v>
      </c>
      <c r="E23" s="122">
        <v>8243</v>
      </c>
      <c r="F23" s="122">
        <v>10167</v>
      </c>
      <c r="G23" s="1245">
        <v>9366</v>
      </c>
      <c r="H23" s="445" t="s">
        <v>24</v>
      </c>
      <c r="I23" s="427"/>
      <c r="J23" s="129"/>
      <c r="K23" s="129"/>
      <c r="L23" s="129"/>
      <c r="M23" s="129"/>
      <c r="N23" s="130"/>
      <c r="O23" s="8"/>
      <c r="P23" s="8"/>
    </row>
    <row r="24" spans="1:14" s="910" customFormat="1" ht="18" customHeight="1">
      <c r="A24" s="443">
        <v>16</v>
      </c>
      <c r="B24" s="905"/>
      <c r="C24" s="906"/>
      <c r="D24" s="907" t="s">
        <v>303</v>
      </c>
      <c r="E24" s="908"/>
      <c r="F24" s="908"/>
      <c r="G24" s="1247"/>
      <c r="H24" s="909"/>
      <c r="I24" s="900">
        <f>SUM(J24:N24)</f>
        <v>9601</v>
      </c>
      <c r="J24" s="901">
        <v>3800</v>
      </c>
      <c r="K24" s="901">
        <v>1100</v>
      </c>
      <c r="L24" s="901">
        <v>4701</v>
      </c>
      <c r="M24" s="901"/>
      <c r="N24" s="902"/>
    </row>
    <row r="25" spans="1:14" s="910" customFormat="1" ht="18" customHeight="1">
      <c r="A25" s="443">
        <v>17</v>
      </c>
      <c r="B25" s="905"/>
      <c r="C25" s="906"/>
      <c r="D25" s="436" t="s">
        <v>994</v>
      </c>
      <c r="E25" s="908"/>
      <c r="F25" s="908"/>
      <c r="G25" s="1247"/>
      <c r="H25" s="909"/>
      <c r="I25" s="426">
        <f>SUM(J25:N25)</f>
        <v>9601</v>
      </c>
      <c r="J25" s="341">
        <v>3500</v>
      </c>
      <c r="K25" s="341">
        <v>1061</v>
      </c>
      <c r="L25" s="341">
        <v>4701</v>
      </c>
      <c r="M25" s="901"/>
      <c r="N25" s="337">
        <v>339</v>
      </c>
    </row>
    <row r="26" spans="1:14" s="910" customFormat="1" ht="18" customHeight="1">
      <c r="A26" s="443">
        <v>18</v>
      </c>
      <c r="B26" s="905"/>
      <c r="C26" s="906"/>
      <c r="D26" s="987" t="s">
        <v>1035</v>
      </c>
      <c r="E26" s="908"/>
      <c r="F26" s="908"/>
      <c r="G26" s="1247"/>
      <c r="H26" s="909"/>
      <c r="I26" s="990">
        <f>SUM(J26:N26)</f>
        <v>7724</v>
      </c>
      <c r="J26" s="143">
        <v>2848</v>
      </c>
      <c r="K26" s="143">
        <v>659</v>
      </c>
      <c r="L26" s="143">
        <v>3886</v>
      </c>
      <c r="M26" s="143"/>
      <c r="N26" s="144">
        <v>331</v>
      </c>
    </row>
    <row r="27" spans="1:16" s="3" customFormat="1" ht="22.5" customHeight="1">
      <c r="A27" s="443">
        <v>19</v>
      </c>
      <c r="B27" s="119"/>
      <c r="C27" s="120">
        <v>6</v>
      </c>
      <c r="D27" s="437" t="s">
        <v>397</v>
      </c>
      <c r="E27" s="122">
        <v>1000</v>
      </c>
      <c r="F27" s="122">
        <v>1000</v>
      </c>
      <c r="G27" s="1245"/>
      <c r="H27" s="445" t="s">
        <v>24</v>
      </c>
      <c r="I27" s="900"/>
      <c r="J27" s="129"/>
      <c r="K27" s="129"/>
      <c r="L27" s="129"/>
      <c r="M27" s="129"/>
      <c r="N27" s="130"/>
      <c r="O27" s="8"/>
      <c r="P27" s="8"/>
    </row>
    <row r="28" spans="1:16" s="3" customFormat="1" ht="22.5" customHeight="1">
      <c r="A28" s="443">
        <v>20</v>
      </c>
      <c r="B28" s="119"/>
      <c r="C28" s="120">
        <v>7</v>
      </c>
      <c r="D28" s="437" t="s">
        <v>10</v>
      </c>
      <c r="E28" s="122">
        <f>SUM(E29,E30,E31,E32,E34,E33)</f>
        <v>72000</v>
      </c>
      <c r="F28" s="122">
        <f>SUM(F29,F30,F31,F32,F34,F33)</f>
        <v>74000</v>
      </c>
      <c r="G28" s="1245">
        <f>SUM(G29,G30,G31,G32,G34,G33)</f>
        <v>74000</v>
      </c>
      <c r="H28" s="445" t="s">
        <v>24</v>
      </c>
      <c r="I28" s="900"/>
      <c r="J28" s="129"/>
      <c r="K28" s="129"/>
      <c r="L28" s="129"/>
      <c r="M28" s="129"/>
      <c r="N28" s="130"/>
      <c r="O28" s="8"/>
      <c r="P28" s="8"/>
    </row>
    <row r="29" spans="1:16" s="9" customFormat="1" ht="18" customHeight="1">
      <c r="A29" s="443">
        <v>21</v>
      </c>
      <c r="B29" s="131"/>
      <c r="C29" s="423"/>
      <c r="D29" s="338" t="s">
        <v>48</v>
      </c>
      <c r="E29" s="132">
        <v>30000</v>
      </c>
      <c r="F29" s="132">
        <v>30000</v>
      </c>
      <c r="G29" s="1248">
        <v>30000</v>
      </c>
      <c r="H29" s="446"/>
      <c r="I29" s="900"/>
      <c r="J29" s="143"/>
      <c r="K29" s="143"/>
      <c r="L29" s="143"/>
      <c r="M29" s="143"/>
      <c r="N29" s="144"/>
      <c r="P29" s="8"/>
    </row>
    <row r="30" spans="1:16" s="9" customFormat="1" ht="18" customHeight="1">
      <c r="A30" s="443">
        <v>22</v>
      </c>
      <c r="B30" s="131"/>
      <c r="C30" s="423"/>
      <c r="D30" s="338" t="s">
        <v>49</v>
      </c>
      <c r="E30" s="132">
        <v>15000</v>
      </c>
      <c r="F30" s="132">
        <v>15000</v>
      </c>
      <c r="G30" s="1248">
        <v>15000</v>
      </c>
      <c r="H30" s="446"/>
      <c r="I30" s="900"/>
      <c r="J30" s="133"/>
      <c r="K30" s="133"/>
      <c r="L30" s="133"/>
      <c r="M30" s="133"/>
      <c r="N30" s="134"/>
      <c r="P30" s="8"/>
    </row>
    <row r="31" spans="1:16" s="9" customFormat="1" ht="18" customHeight="1">
      <c r="A31" s="443">
        <v>23</v>
      </c>
      <c r="B31" s="131"/>
      <c r="C31" s="423"/>
      <c r="D31" s="338" t="s">
        <v>50</v>
      </c>
      <c r="E31" s="132">
        <v>5000</v>
      </c>
      <c r="F31" s="132">
        <v>2000</v>
      </c>
      <c r="G31" s="1248">
        <v>2000</v>
      </c>
      <c r="H31" s="446"/>
      <c r="I31" s="900"/>
      <c r="J31" s="133"/>
      <c r="K31" s="133"/>
      <c r="L31" s="133"/>
      <c r="M31" s="133"/>
      <c r="N31" s="134"/>
      <c r="P31" s="8"/>
    </row>
    <row r="32" spans="1:16" s="9" customFormat="1" ht="18" customHeight="1">
      <c r="A32" s="443">
        <v>24</v>
      </c>
      <c r="B32" s="131"/>
      <c r="C32" s="423"/>
      <c r="D32" s="338" t="s">
        <v>51</v>
      </c>
      <c r="E32" s="132">
        <v>15000</v>
      </c>
      <c r="F32" s="132">
        <v>15000</v>
      </c>
      <c r="G32" s="1248">
        <v>15000</v>
      </c>
      <c r="H32" s="446"/>
      <c r="I32" s="900"/>
      <c r="J32" s="133"/>
      <c r="K32" s="133"/>
      <c r="L32" s="133"/>
      <c r="M32" s="133"/>
      <c r="N32" s="134"/>
      <c r="P32" s="8"/>
    </row>
    <row r="33" spans="1:14" s="9" customFormat="1" ht="18" customHeight="1">
      <c r="A33" s="443">
        <v>25</v>
      </c>
      <c r="B33" s="131"/>
      <c r="C33" s="124"/>
      <c r="D33" s="338" t="s">
        <v>52</v>
      </c>
      <c r="E33" s="132">
        <v>5000</v>
      </c>
      <c r="F33" s="132">
        <v>10000</v>
      </c>
      <c r="G33" s="1248">
        <v>10000</v>
      </c>
      <c r="H33" s="446"/>
      <c r="I33" s="900"/>
      <c r="J33" s="133"/>
      <c r="K33" s="133"/>
      <c r="L33" s="133"/>
      <c r="M33" s="133"/>
      <c r="N33" s="134"/>
    </row>
    <row r="34" spans="1:16" s="9" customFormat="1" ht="22.5" customHeight="1">
      <c r="A34" s="443">
        <v>26</v>
      </c>
      <c r="B34" s="131"/>
      <c r="C34" s="120">
        <v>8</v>
      </c>
      <c r="D34" s="437" t="s">
        <v>705</v>
      </c>
      <c r="E34" s="122">
        <v>2000</v>
      </c>
      <c r="F34" s="132">
        <v>2000</v>
      </c>
      <c r="G34" s="1248">
        <v>2000</v>
      </c>
      <c r="H34" s="445" t="s">
        <v>24</v>
      </c>
      <c r="I34" s="900"/>
      <c r="J34" s="143"/>
      <c r="K34" s="143"/>
      <c r="L34" s="143"/>
      <c r="M34" s="143"/>
      <c r="N34" s="144"/>
      <c r="P34" s="8"/>
    </row>
    <row r="35" spans="1:16" s="3" customFormat="1" ht="22.5" customHeight="1">
      <c r="A35" s="443">
        <v>27</v>
      </c>
      <c r="B35" s="119"/>
      <c r="C35" s="120">
        <v>9</v>
      </c>
      <c r="D35" s="437" t="s">
        <v>274</v>
      </c>
      <c r="E35" s="122">
        <v>7817</v>
      </c>
      <c r="F35" s="122">
        <v>10000</v>
      </c>
      <c r="G35" s="1245">
        <v>16207</v>
      </c>
      <c r="H35" s="445" t="s">
        <v>24</v>
      </c>
      <c r="I35" s="900"/>
      <c r="J35" s="126"/>
      <c r="K35" s="126"/>
      <c r="L35" s="126"/>
      <c r="M35" s="126"/>
      <c r="N35" s="127"/>
      <c r="P35" s="8"/>
    </row>
    <row r="36" spans="1:16" s="3" customFormat="1" ht="18" customHeight="1">
      <c r="A36" s="443">
        <v>28</v>
      </c>
      <c r="B36" s="119"/>
      <c r="C36" s="120"/>
      <c r="D36" s="436" t="s">
        <v>994</v>
      </c>
      <c r="E36" s="1245"/>
      <c r="F36" s="122"/>
      <c r="G36" s="1309"/>
      <c r="H36" s="445"/>
      <c r="I36" s="426">
        <f>SUM(J36:N36)</f>
        <v>6657</v>
      </c>
      <c r="J36" s="126"/>
      <c r="K36" s="126"/>
      <c r="L36" s="341">
        <v>6657</v>
      </c>
      <c r="M36" s="126"/>
      <c r="N36" s="127"/>
      <c r="P36" s="8"/>
    </row>
    <row r="37" spans="1:14" s="8" customFormat="1" ht="18" customHeight="1">
      <c r="A37" s="443">
        <v>29</v>
      </c>
      <c r="B37" s="123"/>
      <c r="C37" s="124"/>
      <c r="D37" s="987" t="s">
        <v>1035</v>
      </c>
      <c r="E37" s="1017"/>
      <c r="F37" s="834"/>
      <c r="G37" s="1249"/>
      <c r="H37" s="445"/>
      <c r="I37" s="990">
        <f>SUM(J37:N37)</f>
        <v>5175</v>
      </c>
      <c r="J37" s="126"/>
      <c r="K37" s="126"/>
      <c r="L37" s="143">
        <v>5175</v>
      </c>
      <c r="M37" s="126"/>
      <c r="N37" s="127"/>
    </row>
    <row r="38" spans="1:16" s="3" customFormat="1" ht="22.5" customHeight="1">
      <c r="A38" s="443">
        <v>30</v>
      </c>
      <c r="B38" s="119"/>
      <c r="C38" s="120">
        <v>10</v>
      </c>
      <c r="D38" s="437" t="s">
        <v>53</v>
      </c>
      <c r="E38" s="122">
        <v>6008</v>
      </c>
      <c r="F38" s="122">
        <v>4500</v>
      </c>
      <c r="G38" s="1245">
        <v>22414</v>
      </c>
      <c r="H38" s="445" t="s">
        <v>24</v>
      </c>
      <c r="I38" s="900"/>
      <c r="J38" s="126"/>
      <c r="K38" s="126"/>
      <c r="L38" s="126"/>
      <c r="M38" s="126"/>
      <c r="N38" s="127"/>
      <c r="P38" s="8"/>
    </row>
    <row r="39" spans="1:16" s="3" customFormat="1" ht="18" customHeight="1">
      <c r="A39" s="443">
        <v>31</v>
      </c>
      <c r="B39" s="119"/>
      <c r="C39" s="120"/>
      <c r="D39" s="436" t="s">
        <v>994</v>
      </c>
      <c r="E39" s="122"/>
      <c r="F39" s="122"/>
      <c r="G39" s="1245"/>
      <c r="H39" s="447"/>
      <c r="I39" s="426">
        <f>SUM(J39:N39)</f>
        <v>5892</v>
      </c>
      <c r="J39" s="341">
        <v>27</v>
      </c>
      <c r="K39" s="341">
        <v>13</v>
      </c>
      <c r="L39" s="341">
        <v>5852</v>
      </c>
      <c r="M39" s="126"/>
      <c r="N39" s="127"/>
      <c r="P39" s="8"/>
    </row>
    <row r="40" spans="1:14" s="8" customFormat="1" ht="18" customHeight="1">
      <c r="A40" s="443">
        <v>32</v>
      </c>
      <c r="B40" s="123"/>
      <c r="C40" s="124"/>
      <c r="D40" s="987" t="s">
        <v>1035</v>
      </c>
      <c r="E40" s="122"/>
      <c r="F40" s="122"/>
      <c r="G40" s="1245"/>
      <c r="H40" s="447"/>
      <c r="I40" s="990">
        <f>SUM(J40:N40)</f>
        <v>1313</v>
      </c>
      <c r="J40" s="143">
        <v>27</v>
      </c>
      <c r="K40" s="143">
        <v>13</v>
      </c>
      <c r="L40" s="143">
        <v>1273</v>
      </c>
      <c r="M40" s="143"/>
      <c r="N40" s="144"/>
    </row>
    <row r="41" spans="1:16" s="3" customFormat="1" ht="22.5" customHeight="1">
      <c r="A41" s="443">
        <v>33</v>
      </c>
      <c r="B41" s="119"/>
      <c r="C41" s="120">
        <v>11</v>
      </c>
      <c r="D41" s="437" t="s">
        <v>54</v>
      </c>
      <c r="E41" s="122">
        <v>21</v>
      </c>
      <c r="F41" s="122">
        <v>2000</v>
      </c>
      <c r="G41" s="1245">
        <v>450</v>
      </c>
      <c r="H41" s="447" t="s">
        <v>24</v>
      </c>
      <c r="I41" s="426"/>
      <c r="J41" s="126"/>
      <c r="K41" s="126"/>
      <c r="L41" s="126"/>
      <c r="M41" s="126"/>
      <c r="N41" s="127"/>
      <c r="P41" s="8"/>
    </row>
    <row r="42" spans="1:16" s="916" customFormat="1" ht="18" customHeight="1">
      <c r="A42" s="443">
        <v>34</v>
      </c>
      <c r="B42" s="911"/>
      <c r="C42" s="906"/>
      <c r="D42" s="907" t="s">
        <v>303</v>
      </c>
      <c r="E42" s="912"/>
      <c r="F42" s="912"/>
      <c r="G42" s="1250"/>
      <c r="H42" s="913"/>
      <c r="I42" s="900">
        <f>SUM(J42:N42)</f>
        <v>1000</v>
      </c>
      <c r="J42" s="914"/>
      <c r="K42" s="914"/>
      <c r="L42" s="914">
        <v>1000</v>
      </c>
      <c r="M42" s="914"/>
      <c r="N42" s="915"/>
      <c r="P42" s="910"/>
    </row>
    <row r="43" spans="1:16" s="916" customFormat="1" ht="18" customHeight="1">
      <c r="A43" s="443">
        <v>35</v>
      </c>
      <c r="B43" s="911"/>
      <c r="C43" s="906"/>
      <c r="D43" s="436" t="s">
        <v>994</v>
      </c>
      <c r="E43" s="912"/>
      <c r="F43" s="912"/>
      <c r="G43" s="1250"/>
      <c r="H43" s="913"/>
      <c r="I43" s="426">
        <f>SUM(J43:N43)</f>
        <v>694</v>
      </c>
      <c r="J43" s="914"/>
      <c r="K43" s="914"/>
      <c r="L43" s="988">
        <v>694</v>
      </c>
      <c r="M43" s="914"/>
      <c r="N43" s="915"/>
      <c r="P43" s="910"/>
    </row>
    <row r="44" spans="1:16" s="916" customFormat="1" ht="18" customHeight="1">
      <c r="A44" s="443">
        <v>36</v>
      </c>
      <c r="B44" s="911"/>
      <c r="C44" s="906"/>
      <c r="D44" s="987" t="s">
        <v>1035</v>
      </c>
      <c r="E44" s="912"/>
      <c r="F44" s="912"/>
      <c r="G44" s="1250"/>
      <c r="H44" s="913"/>
      <c r="I44" s="990">
        <f>SUM(J44:N44)</f>
        <v>186</v>
      </c>
      <c r="J44" s="458"/>
      <c r="K44" s="458"/>
      <c r="L44" s="458">
        <v>186</v>
      </c>
      <c r="M44" s="458"/>
      <c r="N44" s="459"/>
      <c r="P44" s="910"/>
    </row>
    <row r="45" spans="1:16" s="3" customFormat="1" ht="22.5" customHeight="1">
      <c r="A45" s="443">
        <v>37</v>
      </c>
      <c r="B45" s="119"/>
      <c r="C45" s="120">
        <v>12</v>
      </c>
      <c r="D45" s="437" t="s">
        <v>55</v>
      </c>
      <c r="E45" s="122">
        <v>2657</v>
      </c>
      <c r="F45" s="122">
        <v>4000</v>
      </c>
      <c r="G45" s="1245">
        <v>1887</v>
      </c>
      <c r="H45" s="445" t="s">
        <v>24</v>
      </c>
      <c r="I45" s="426"/>
      <c r="J45" s="126"/>
      <c r="K45" s="126"/>
      <c r="L45" s="126"/>
      <c r="M45" s="126"/>
      <c r="N45" s="127"/>
      <c r="P45" s="8"/>
    </row>
    <row r="46" spans="1:14" s="910" customFormat="1" ht="18" customHeight="1">
      <c r="A46" s="443">
        <v>38</v>
      </c>
      <c r="B46" s="905"/>
      <c r="C46" s="906"/>
      <c r="D46" s="907" t="s">
        <v>303</v>
      </c>
      <c r="E46" s="908"/>
      <c r="F46" s="908"/>
      <c r="G46" s="1247"/>
      <c r="H46" s="909"/>
      <c r="I46" s="900">
        <f>SUM(J46:N46)</f>
        <v>2000</v>
      </c>
      <c r="J46" s="901"/>
      <c r="K46" s="901"/>
      <c r="L46" s="901">
        <v>2000</v>
      </c>
      <c r="M46" s="901"/>
      <c r="N46" s="902"/>
    </row>
    <row r="47" spans="1:14" s="910" customFormat="1" ht="18" customHeight="1">
      <c r="A47" s="443">
        <v>39</v>
      </c>
      <c r="B47" s="905"/>
      <c r="C47" s="906"/>
      <c r="D47" s="436" t="s">
        <v>994</v>
      </c>
      <c r="E47" s="908"/>
      <c r="F47" s="908"/>
      <c r="G47" s="1247"/>
      <c r="H47" s="909"/>
      <c r="I47" s="426">
        <f>SUM(J47:N47)</f>
        <v>0</v>
      </c>
      <c r="J47" s="901"/>
      <c r="K47" s="901"/>
      <c r="L47" s="341">
        <v>0</v>
      </c>
      <c r="M47" s="901"/>
      <c r="N47" s="902"/>
    </row>
    <row r="48" spans="1:14" s="910" customFormat="1" ht="18" customHeight="1">
      <c r="A48" s="443">
        <v>40</v>
      </c>
      <c r="B48" s="905"/>
      <c r="C48" s="906"/>
      <c r="D48" s="987" t="s">
        <v>1035</v>
      </c>
      <c r="E48" s="908"/>
      <c r="F48" s="908"/>
      <c r="G48" s="1247"/>
      <c r="H48" s="909"/>
      <c r="I48" s="990">
        <f>SUM(J48:N48)</f>
        <v>0</v>
      </c>
      <c r="J48" s="143"/>
      <c r="K48" s="143"/>
      <c r="L48" s="143">
        <v>0</v>
      </c>
      <c r="M48" s="143"/>
      <c r="N48" s="144"/>
    </row>
    <row r="49" spans="1:16" s="3" customFormat="1" ht="22.5" customHeight="1">
      <c r="A49" s="443">
        <v>41</v>
      </c>
      <c r="B49" s="119"/>
      <c r="C49" s="120">
        <v>13</v>
      </c>
      <c r="D49" s="437" t="s">
        <v>56</v>
      </c>
      <c r="E49" s="122">
        <f>SUM(E53,E57,E61,E65)</f>
        <v>5498</v>
      </c>
      <c r="F49" s="122">
        <f>SUM(F53,F57,F61,F65)+F68+F69</f>
        <v>13000</v>
      </c>
      <c r="G49" s="122">
        <f>SUM(G53,G57,G61,G65)+G70</f>
        <v>7346</v>
      </c>
      <c r="H49" s="445" t="s">
        <v>24</v>
      </c>
      <c r="I49" s="426"/>
      <c r="J49" s="126"/>
      <c r="K49" s="126"/>
      <c r="L49" s="126"/>
      <c r="M49" s="126"/>
      <c r="N49" s="127"/>
      <c r="P49" s="8"/>
    </row>
    <row r="50" spans="1:14" s="910" customFormat="1" ht="18" customHeight="1">
      <c r="A50" s="443">
        <v>42</v>
      </c>
      <c r="B50" s="905"/>
      <c r="C50" s="906"/>
      <c r="D50" s="907" t="s">
        <v>303</v>
      </c>
      <c r="E50" s="908"/>
      <c r="F50" s="908"/>
      <c r="G50" s="1247"/>
      <c r="H50" s="909"/>
      <c r="I50" s="900">
        <f>SUM(J50:N50)</f>
        <v>2925</v>
      </c>
      <c r="J50" s="901">
        <f>SUM(J54,J58,J62,)</f>
        <v>0</v>
      </c>
      <c r="K50" s="901">
        <f>SUM(K54,K58,K62,)</f>
        <v>0</v>
      </c>
      <c r="L50" s="901">
        <f>SUM(L54,L58,L62,)</f>
        <v>0</v>
      </c>
      <c r="M50" s="901">
        <f>SUM(M54,M58,M62,)</f>
        <v>0</v>
      </c>
      <c r="N50" s="902">
        <f>SUM(N54,N58,N62,)</f>
        <v>2925</v>
      </c>
    </row>
    <row r="51" spans="1:14" s="910" customFormat="1" ht="18" customHeight="1">
      <c r="A51" s="443">
        <v>43</v>
      </c>
      <c r="B51" s="905"/>
      <c r="C51" s="906"/>
      <c r="D51" s="436" t="s">
        <v>994</v>
      </c>
      <c r="E51" s="908"/>
      <c r="F51" s="908"/>
      <c r="G51" s="1247"/>
      <c r="H51" s="909"/>
      <c r="I51" s="426">
        <f>SUM(J51:N51)</f>
        <v>6475</v>
      </c>
      <c r="J51" s="341">
        <f>SUM(J55,J59,J63,)+J66</f>
        <v>0</v>
      </c>
      <c r="K51" s="341">
        <f>SUM(K55,K59,K63,)+K66</f>
        <v>0</v>
      </c>
      <c r="L51" s="341">
        <f>SUM(L55,L59,L63,)+L66</f>
        <v>0</v>
      </c>
      <c r="M51" s="341">
        <f>SUM(M55,M59,M63,)+M66</f>
        <v>0</v>
      </c>
      <c r="N51" s="337">
        <f>SUM(N55,N59,N63,)+N66</f>
        <v>6475</v>
      </c>
    </row>
    <row r="52" spans="1:14" s="910" customFormat="1" ht="18" customHeight="1">
      <c r="A52" s="443">
        <v>44</v>
      </c>
      <c r="B52" s="905"/>
      <c r="C52" s="906"/>
      <c r="D52" s="987" t="s">
        <v>1036</v>
      </c>
      <c r="E52" s="908"/>
      <c r="F52" s="908"/>
      <c r="G52" s="1247"/>
      <c r="H52" s="909"/>
      <c r="I52" s="990">
        <f>SUM(J52:N52)</f>
        <v>6475</v>
      </c>
      <c r="J52" s="143">
        <f>J56+J60+J64+J67</f>
        <v>0</v>
      </c>
      <c r="K52" s="143">
        <f>K56+K60+K64+K67</f>
        <v>0</v>
      </c>
      <c r="L52" s="143">
        <f>L56+L60+L64+L67</f>
        <v>0</v>
      </c>
      <c r="M52" s="143">
        <f>M56+M60+M64+M67</f>
        <v>0</v>
      </c>
      <c r="N52" s="144">
        <f>N56+N60+N64+N67</f>
        <v>6475</v>
      </c>
    </row>
    <row r="53" spans="1:14" s="9" customFormat="1" ht="18" customHeight="1">
      <c r="A53" s="443">
        <v>45</v>
      </c>
      <c r="B53" s="131"/>
      <c r="C53" s="124"/>
      <c r="D53" s="135" t="s">
        <v>283</v>
      </c>
      <c r="E53" s="132"/>
      <c r="F53" s="132">
        <v>1500</v>
      </c>
      <c r="G53" s="1248"/>
      <c r="H53" s="446"/>
      <c r="I53" s="428"/>
      <c r="J53" s="143"/>
      <c r="K53" s="143"/>
      <c r="L53" s="143"/>
      <c r="M53" s="143"/>
      <c r="N53" s="144"/>
    </row>
    <row r="54" spans="1:14" s="923" customFormat="1" ht="18" customHeight="1">
      <c r="A54" s="443">
        <v>46</v>
      </c>
      <c r="B54" s="917"/>
      <c r="C54" s="906"/>
      <c r="D54" s="918" t="s">
        <v>303</v>
      </c>
      <c r="E54" s="919"/>
      <c r="F54" s="919"/>
      <c r="G54" s="1251"/>
      <c r="H54" s="920"/>
      <c r="I54" s="903">
        <f>SUM(J54:N54)</f>
        <v>1000</v>
      </c>
      <c r="J54" s="921"/>
      <c r="K54" s="921"/>
      <c r="L54" s="921"/>
      <c r="M54" s="921"/>
      <c r="N54" s="922">
        <v>1000</v>
      </c>
    </row>
    <row r="55" spans="1:14" s="923" customFormat="1" ht="18" customHeight="1">
      <c r="A55" s="443">
        <v>47</v>
      </c>
      <c r="B55" s="917"/>
      <c r="C55" s="906"/>
      <c r="D55" s="993" t="s">
        <v>994</v>
      </c>
      <c r="E55" s="919"/>
      <c r="F55" s="919"/>
      <c r="G55" s="1251"/>
      <c r="H55" s="920"/>
      <c r="I55" s="428">
        <f>SUM(J55:N55)</f>
        <v>0</v>
      </c>
      <c r="J55" s="921"/>
      <c r="K55" s="921"/>
      <c r="L55" s="921"/>
      <c r="M55" s="921"/>
      <c r="N55" s="992">
        <v>0</v>
      </c>
    </row>
    <row r="56" spans="1:14" s="923" customFormat="1" ht="18" customHeight="1">
      <c r="A56" s="443">
        <v>48</v>
      </c>
      <c r="B56" s="917"/>
      <c r="C56" s="906"/>
      <c r="D56" s="994" t="s">
        <v>1035</v>
      </c>
      <c r="E56" s="919"/>
      <c r="F56" s="919"/>
      <c r="G56" s="1251"/>
      <c r="H56" s="920"/>
      <c r="I56" s="990">
        <f>SUM(J56:N56)</f>
        <v>0</v>
      </c>
      <c r="J56" s="143"/>
      <c r="K56" s="143"/>
      <c r="L56" s="143"/>
      <c r="M56" s="143"/>
      <c r="N56" s="144"/>
    </row>
    <row r="57" spans="1:14" s="9" customFormat="1" ht="18" customHeight="1">
      <c r="A57" s="443">
        <v>49</v>
      </c>
      <c r="B57" s="131"/>
      <c r="C57" s="124"/>
      <c r="D57" s="135" t="s">
        <v>284</v>
      </c>
      <c r="E57" s="132">
        <v>2998</v>
      </c>
      <c r="F57" s="132">
        <v>2000</v>
      </c>
      <c r="G57" s="1248">
        <v>2846</v>
      </c>
      <c r="H57" s="446"/>
      <c r="I57" s="429"/>
      <c r="J57" s="133"/>
      <c r="K57" s="133"/>
      <c r="L57" s="133"/>
      <c r="M57" s="133"/>
      <c r="N57" s="134"/>
    </row>
    <row r="58" spans="1:14" s="923" customFormat="1" ht="18" customHeight="1">
      <c r="A58" s="443">
        <v>50</v>
      </c>
      <c r="B58" s="917"/>
      <c r="C58" s="906"/>
      <c r="D58" s="918" t="s">
        <v>303</v>
      </c>
      <c r="E58" s="919"/>
      <c r="F58" s="919"/>
      <c r="G58" s="1251"/>
      <c r="H58" s="920"/>
      <c r="I58" s="903">
        <f>SUM(J58:N58)</f>
        <v>1500</v>
      </c>
      <c r="J58" s="921"/>
      <c r="K58" s="921"/>
      <c r="L58" s="921"/>
      <c r="M58" s="921"/>
      <c r="N58" s="922">
        <v>1500</v>
      </c>
    </row>
    <row r="59" spans="1:14" s="923" customFormat="1" ht="18" customHeight="1">
      <c r="A59" s="443">
        <v>51</v>
      </c>
      <c r="B59" s="917"/>
      <c r="C59" s="906"/>
      <c r="D59" s="993" t="s">
        <v>994</v>
      </c>
      <c r="E59" s="919"/>
      <c r="F59" s="919"/>
      <c r="G59" s="1251"/>
      <c r="H59" s="920"/>
      <c r="I59" s="428">
        <f>SUM(J59:N59)</f>
        <v>1500</v>
      </c>
      <c r="J59" s="921"/>
      <c r="K59" s="921"/>
      <c r="L59" s="921"/>
      <c r="M59" s="921"/>
      <c r="N59" s="992">
        <v>1500</v>
      </c>
    </row>
    <row r="60" spans="1:14" s="923" customFormat="1" ht="18" customHeight="1">
      <c r="A60" s="443">
        <v>52</v>
      </c>
      <c r="B60" s="917"/>
      <c r="C60" s="906"/>
      <c r="D60" s="994" t="s">
        <v>1035</v>
      </c>
      <c r="E60" s="919"/>
      <c r="F60" s="919"/>
      <c r="G60" s="1251"/>
      <c r="H60" s="920"/>
      <c r="I60" s="990">
        <f>SUM(J60:N60)</f>
        <v>1500</v>
      </c>
      <c r="J60" s="143"/>
      <c r="K60" s="143"/>
      <c r="L60" s="143"/>
      <c r="M60" s="143"/>
      <c r="N60" s="144">
        <v>1500</v>
      </c>
    </row>
    <row r="61" spans="1:14" s="9" customFormat="1" ht="18" customHeight="1">
      <c r="A61" s="443">
        <v>53</v>
      </c>
      <c r="B61" s="131"/>
      <c r="C61" s="124"/>
      <c r="D61" s="135" t="s">
        <v>791</v>
      </c>
      <c r="E61" s="132">
        <v>500</v>
      </c>
      <c r="F61" s="132">
        <v>500</v>
      </c>
      <c r="G61" s="1248">
        <v>500</v>
      </c>
      <c r="H61" s="446"/>
      <c r="I61" s="428"/>
      <c r="J61" s="143"/>
      <c r="K61" s="143"/>
      <c r="L61" s="143"/>
      <c r="M61" s="143"/>
      <c r="N61" s="144"/>
    </row>
    <row r="62" spans="1:14" s="923" customFormat="1" ht="18" customHeight="1">
      <c r="A62" s="443">
        <v>54</v>
      </c>
      <c r="B62" s="917"/>
      <c r="C62" s="906"/>
      <c r="D62" s="918" t="s">
        <v>303</v>
      </c>
      <c r="E62" s="919"/>
      <c r="F62" s="919"/>
      <c r="G62" s="1251"/>
      <c r="H62" s="920"/>
      <c r="I62" s="903">
        <f>SUM(J62:N62)</f>
        <v>425</v>
      </c>
      <c r="J62" s="921"/>
      <c r="K62" s="921"/>
      <c r="L62" s="921"/>
      <c r="M62" s="921"/>
      <c r="N62" s="922">
        <v>425</v>
      </c>
    </row>
    <row r="63" spans="1:14" s="923" customFormat="1" ht="18" customHeight="1">
      <c r="A63" s="443">
        <v>55</v>
      </c>
      <c r="B63" s="917"/>
      <c r="C63" s="906"/>
      <c r="D63" s="993" t="s">
        <v>994</v>
      </c>
      <c r="E63" s="919"/>
      <c r="F63" s="919"/>
      <c r="G63" s="1251"/>
      <c r="H63" s="920"/>
      <c r="I63" s="428">
        <f>SUM(J63:N63)</f>
        <v>600</v>
      </c>
      <c r="J63" s="921"/>
      <c r="K63" s="921"/>
      <c r="L63" s="921"/>
      <c r="M63" s="921"/>
      <c r="N63" s="992">
        <v>600</v>
      </c>
    </row>
    <row r="64" spans="1:14" s="923" customFormat="1" ht="18" customHeight="1">
      <c r="A64" s="443">
        <v>56</v>
      </c>
      <c r="B64" s="917"/>
      <c r="C64" s="906"/>
      <c r="D64" s="994" t="s">
        <v>1035</v>
      </c>
      <c r="E64" s="919"/>
      <c r="F64" s="919"/>
      <c r="G64" s="1251"/>
      <c r="H64" s="920"/>
      <c r="I64" s="990">
        <f>SUM(J64:N64)</f>
        <v>600</v>
      </c>
      <c r="J64" s="991"/>
      <c r="K64" s="991"/>
      <c r="L64" s="991"/>
      <c r="M64" s="991"/>
      <c r="N64" s="144">
        <v>600</v>
      </c>
    </row>
    <row r="65" spans="1:14" s="9" customFormat="1" ht="18" customHeight="1">
      <c r="A65" s="443">
        <v>57</v>
      </c>
      <c r="B65" s="131"/>
      <c r="C65" s="124"/>
      <c r="D65" s="135" t="s">
        <v>818</v>
      </c>
      <c r="E65" s="132">
        <v>2000</v>
      </c>
      <c r="F65" s="132">
        <v>2000</v>
      </c>
      <c r="G65" s="1248">
        <v>2000</v>
      </c>
      <c r="H65" s="446"/>
      <c r="I65" s="903"/>
      <c r="J65" s="143"/>
      <c r="K65" s="143"/>
      <c r="L65" s="143"/>
      <c r="M65" s="143"/>
      <c r="N65" s="144"/>
    </row>
    <row r="66" spans="1:14" s="9" customFormat="1" ht="18" customHeight="1">
      <c r="A66" s="443">
        <v>58</v>
      </c>
      <c r="B66" s="131"/>
      <c r="C66" s="124"/>
      <c r="D66" s="993" t="s">
        <v>994</v>
      </c>
      <c r="E66" s="132"/>
      <c r="F66" s="132"/>
      <c r="G66" s="1248"/>
      <c r="H66" s="446"/>
      <c r="I66" s="428">
        <f>SUM(J66:N66)</f>
        <v>4375</v>
      </c>
      <c r="J66" s="143"/>
      <c r="K66" s="143"/>
      <c r="L66" s="143"/>
      <c r="M66" s="143"/>
      <c r="N66" s="992">
        <v>4375</v>
      </c>
    </row>
    <row r="67" spans="1:14" s="9" customFormat="1" ht="18" customHeight="1">
      <c r="A67" s="443">
        <v>59</v>
      </c>
      <c r="B67" s="131"/>
      <c r="C67" s="124"/>
      <c r="D67" s="994" t="s">
        <v>1035</v>
      </c>
      <c r="E67" s="132"/>
      <c r="F67" s="132"/>
      <c r="G67" s="1248"/>
      <c r="H67" s="446"/>
      <c r="I67" s="990">
        <f>SUM(J67:N67)</f>
        <v>4375</v>
      </c>
      <c r="J67" s="143"/>
      <c r="K67" s="143"/>
      <c r="L67" s="143"/>
      <c r="M67" s="143"/>
      <c r="N67" s="144">
        <v>4375</v>
      </c>
    </row>
    <row r="68" spans="1:14" s="9" customFormat="1" ht="18" customHeight="1">
      <c r="A68" s="443">
        <v>60</v>
      </c>
      <c r="B68" s="131"/>
      <c r="C68" s="124"/>
      <c r="D68" s="135" t="s">
        <v>832</v>
      </c>
      <c r="E68" s="132"/>
      <c r="F68" s="132">
        <v>2000</v>
      </c>
      <c r="G68" s="1248"/>
      <c r="H68" s="446"/>
      <c r="I68" s="903"/>
      <c r="J68" s="143"/>
      <c r="K68" s="143"/>
      <c r="L68" s="143"/>
      <c r="M68" s="143"/>
      <c r="N68" s="144"/>
    </row>
    <row r="69" spans="1:14" s="9" customFormat="1" ht="18" customHeight="1">
      <c r="A69" s="443">
        <v>61</v>
      </c>
      <c r="B69" s="131"/>
      <c r="C69" s="124"/>
      <c r="D69" s="135" t="s">
        <v>503</v>
      </c>
      <c r="E69" s="132"/>
      <c r="F69" s="132">
        <v>5000</v>
      </c>
      <c r="G69" s="1248"/>
      <c r="H69" s="446"/>
      <c r="I69" s="903"/>
      <c r="J69" s="143"/>
      <c r="K69" s="143"/>
      <c r="L69" s="143"/>
      <c r="M69" s="143"/>
      <c r="N69" s="144"/>
    </row>
    <row r="70" spans="1:14" s="9" customFormat="1" ht="18" customHeight="1">
      <c r="A70" s="443">
        <v>62</v>
      </c>
      <c r="B70" s="131"/>
      <c r="C70" s="124"/>
      <c r="D70" s="135" t="s">
        <v>817</v>
      </c>
      <c r="E70" s="132"/>
      <c r="F70" s="132"/>
      <c r="G70" s="1248">
        <v>2000</v>
      </c>
      <c r="H70" s="446"/>
      <c r="I70" s="903"/>
      <c r="J70" s="143"/>
      <c r="K70" s="143"/>
      <c r="L70" s="143"/>
      <c r="M70" s="143"/>
      <c r="N70" s="144"/>
    </row>
    <row r="71" spans="1:14" s="9" customFormat="1" ht="22.5" customHeight="1">
      <c r="A71" s="443">
        <v>63</v>
      </c>
      <c r="B71" s="131"/>
      <c r="C71" s="120">
        <v>14</v>
      </c>
      <c r="D71" s="437" t="s">
        <v>737</v>
      </c>
      <c r="E71" s="132"/>
      <c r="F71" s="132"/>
      <c r="G71" s="1248"/>
      <c r="H71" s="445" t="s">
        <v>24</v>
      </c>
      <c r="I71" s="428"/>
      <c r="J71" s="143"/>
      <c r="K71" s="143"/>
      <c r="L71" s="143"/>
      <c r="M71" s="143"/>
      <c r="N71" s="144"/>
    </row>
    <row r="72" spans="1:14" s="923" customFormat="1" ht="18" customHeight="1">
      <c r="A72" s="443">
        <v>64</v>
      </c>
      <c r="B72" s="917"/>
      <c r="C72" s="906"/>
      <c r="D72" s="907" t="s">
        <v>303</v>
      </c>
      <c r="E72" s="919"/>
      <c r="F72" s="919"/>
      <c r="G72" s="1251"/>
      <c r="H72" s="909"/>
      <c r="I72" s="900">
        <f>SUM(J72:N72)</f>
        <v>2550</v>
      </c>
      <c r="J72" s="921"/>
      <c r="K72" s="921"/>
      <c r="L72" s="921"/>
      <c r="M72" s="921"/>
      <c r="N72" s="902">
        <v>2550</v>
      </c>
    </row>
    <row r="73" spans="1:14" s="923" customFormat="1" ht="18" customHeight="1">
      <c r="A73" s="443">
        <v>65</v>
      </c>
      <c r="B73" s="917"/>
      <c r="C73" s="906"/>
      <c r="D73" s="436" t="s">
        <v>994</v>
      </c>
      <c r="E73" s="919"/>
      <c r="F73" s="919"/>
      <c r="G73" s="1251"/>
      <c r="H73" s="909"/>
      <c r="I73" s="426">
        <f>SUM(J73:N73)</f>
        <v>1000</v>
      </c>
      <c r="J73" s="921"/>
      <c r="K73" s="921"/>
      <c r="L73" s="921"/>
      <c r="M73" s="921"/>
      <c r="N73" s="337">
        <v>1000</v>
      </c>
    </row>
    <row r="74" spans="1:14" s="923" customFormat="1" ht="18" customHeight="1">
      <c r="A74" s="443">
        <v>66</v>
      </c>
      <c r="B74" s="917"/>
      <c r="C74" s="906"/>
      <c r="D74" s="987" t="s">
        <v>1035</v>
      </c>
      <c r="E74" s="919"/>
      <c r="F74" s="919"/>
      <c r="G74" s="1251"/>
      <c r="H74" s="909"/>
      <c r="I74" s="990">
        <f>SUM(J74:N74)</f>
        <v>1000</v>
      </c>
      <c r="J74" s="143"/>
      <c r="K74" s="143"/>
      <c r="L74" s="143"/>
      <c r="M74" s="143"/>
      <c r="N74" s="144">
        <v>1000</v>
      </c>
    </row>
    <row r="75" spans="1:14" s="9" customFormat="1" ht="22.5" customHeight="1">
      <c r="A75" s="443">
        <v>67</v>
      </c>
      <c r="B75" s="131"/>
      <c r="C75" s="120">
        <v>15</v>
      </c>
      <c r="D75" s="437" t="s">
        <v>738</v>
      </c>
      <c r="E75" s="132"/>
      <c r="F75" s="132"/>
      <c r="G75" s="1248"/>
      <c r="H75" s="445" t="s">
        <v>24</v>
      </c>
      <c r="I75" s="428"/>
      <c r="J75" s="143"/>
      <c r="K75" s="143"/>
      <c r="L75" s="143"/>
      <c r="M75" s="143"/>
      <c r="N75" s="144"/>
    </row>
    <row r="76" spans="1:14" s="923" customFormat="1" ht="18" customHeight="1">
      <c r="A76" s="443">
        <v>68</v>
      </c>
      <c r="B76" s="917"/>
      <c r="C76" s="906"/>
      <c r="D76" s="907" t="s">
        <v>303</v>
      </c>
      <c r="E76" s="919"/>
      <c r="F76" s="919"/>
      <c r="G76" s="1251"/>
      <c r="H76" s="909"/>
      <c r="I76" s="900">
        <f>SUM(J76:N76)</f>
        <v>2550</v>
      </c>
      <c r="J76" s="921"/>
      <c r="K76" s="921"/>
      <c r="L76" s="921"/>
      <c r="M76" s="921"/>
      <c r="N76" s="902">
        <v>2550</v>
      </c>
    </row>
    <row r="77" spans="1:14" s="923" customFormat="1" ht="18" customHeight="1">
      <c r="A77" s="443">
        <v>69</v>
      </c>
      <c r="B77" s="917"/>
      <c r="C77" s="906"/>
      <c r="D77" s="436" t="s">
        <v>994</v>
      </c>
      <c r="E77" s="919"/>
      <c r="F77" s="919"/>
      <c r="G77" s="1251"/>
      <c r="H77" s="909"/>
      <c r="I77" s="426">
        <f>SUM(J77:N77)</f>
        <v>1000</v>
      </c>
      <c r="J77" s="921"/>
      <c r="K77" s="921"/>
      <c r="L77" s="921"/>
      <c r="M77" s="921"/>
      <c r="N77" s="337">
        <v>1000</v>
      </c>
    </row>
    <row r="78" spans="1:14" s="923" customFormat="1" ht="18" customHeight="1">
      <c r="A78" s="443">
        <v>70</v>
      </c>
      <c r="B78" s="917"/>
      <c r="C78" s="906"/>
      <c r="D78" s="987" t="s">
        <v>1035</v>
      </c>
      <c r="E78" s="919"/>
      <c r="F78" s="919"/>
      <c r="G78" s="1251"/>
      <c r="H78" s="909"/>
      <c r="I78" s="990">
        <f>SUM(J78:N78)</f>
        <v>1000</v>
      </c>
      <c r="J78" s="143"/>
      <c r="K78" s="143"/>
      <c r="L78" s="143"/>
      <c r="M78" s="143"/>
      <c r="N78" s="144">
        <v>1000</v>
      </c>
    </row>
    <row r="79" spans="1:14" s="9" customFormat="1" ht="22.5" customHeight="1">
      <c r="A79" s="443">
        <v>71</v>
      </c>
      <c r="B79" s="131"/>
      <c r="C79" s="120">
        <v>16</v>
      </c>
      <c r="D79" s="437" t="s">
        <v>739</v>
      </c>
      <c r="E79" s="132"/>
      <c r="F79" s="132"/>
      <c r="G79" s="1248"/>
      <c r="H79" s="445" t="s">
        <v>24</v>
      </c>
      <c r="I79" s="428"/>
      <c r="J79" s="143"/>
      <c r="K79" s="143"/>
      <c r="L79" s="143"/>
      <c r="M79" s="143"/>
      <c r="N79" s="144"/>
    </row>
    <row r="80" spans="1:14" s="923" customFormat="1" ht="18" customHeight="1">
      <c r="A80" s="443">
        <v>72</v>
      </c>
      <c r="B80" s="917"/>
      <c r="C80" s="906"/>
      <c r="D80" s="907" t="s">
        <v>303</v>
      </c>
      <c r="E80" s="919"/>
      <c r="F80" s="919"/>
      <c r="G80" s="1251"/>
      <c r="H80" s="920"/>
      <c r="I80" s="900">
        <f>SUM(J80:N80)</f>
        <v>850</v>
      </c>
      <c r="J80" s="921"/>
      <c r="K80" s="921"/>
      <c r="L80" s="921"/>
      <c r="M80" s="921"/>
      <c r="N80" s="922">
        <v>850</v>
      </c>
    </row>
    <row r="81" spans="1:14" s="923" customFormat="1" ht="18" customHeight="1">
      <c r="A81" s="443">
        <v>73</v>
      </c>
      <c r="B81" s="917"/>
      <c r="C81" s="906"/>
      <c r="D81" s="436" t="s">
        <v>994</v>
      </c>
      <c r="E81" s="919"/>
      <c r="F81" s="919"/>
      <c r="G81" s="1251"/>
      <c r="H81" s="920"/>
      <c r="I81" s="426">
        <f>SUM(J81:N81)</f>
        <v>450</v>
      </c>
      <c r="J81" s="921"/>
      <c r="K81" s="921"/>
      <c r="L81" s="921"/>
      <c r="M81" s="921"/>
      <c r="N81" s="992">
        <v>450</v>
      </c>
    </row>
    <row r="82" spans="1:14" s="923" customFormat="1" ht="18" customHeight="1">
      <c r="A82" s="443">
        <v>74</v>
      </c>
      <c r="B82" s="917"/>
      <c r="C82" s="906"/>
      <c r="D82" s="987" t="s">
        <v>1035</v>
      </c>
      <c r="E82" s="919"/>
      <c r="F82" s="919"/>
      <c r="G82" s="1251"/>
      <c r="H82" s="920"/>
      <c r="I82" s="990">
        <f>SUM(J82:N82)</f>
        <v>450</v>
      </c>
      <c r="J82" s="143"/>
      <c r="K82" s="143"/>
      <c r="L82" s="143"/>
      <c r="M82" s="143"/>
      <c r="N82" s="144">
        <v>450</v>
      </c>
    </row>
    <row r="83" spans="1:14" s="9" customFormat="1" ht="22.5" customHeight="1">
      <c r="A83" s="443">
        <v>75</v>
      </c>
      <c r="B83" s="131"/>
      <c r="C83" s="120">
        <v>17</v>
      </c>
      <c r="D83" s="437" t="s">
        <v>546</v>
      </c>
      <c r="E83" s="132">
        <v>500</v>
      </c>
      <c r="F83" s="132">
        <v>650</v>
      </c>
      <c r="G83" s="1248">
        <v>650</v>
      </c>
      <c r="H83" s="445" t="s">
        <v>24</v>
      </c>
      <c r="I83" s="428"/>
      <c r="J83" s="143"/>
      <c r="K83" s="143"/>
      <c r="L83" s="143"/>
      <c r="M83" s="143"/>
      <c r="N83" s="144"/>
    </row>
    <row r="84" spans="1:14" s="923" customFormat="1" ht="18" customHeight="1">
      <c r="A84" s="443">
        <v>76</v>
      </c>
      <c r="B84" s="917"/>
      <c r="C84" s="906"/>
      <c r="D84" s="907" t="s">
        <v>303</v>
      </c>
      <c r="E84" s="925"/>
      <c r="F84" s="925"/>
      <c r="G84" s="924"/>
      <c r="H84" s="920"/>
      <c r="I84" s="900">
        <f>SUM(J84:N84)</f>
        <v>553</v>
      </c>
      <c r="J84" s="921"/>
      <c r="K84" s="921"/>
      <c r="L84" s="921"/>
      <c r="M84" s="921"/>
      <c r="N84" s="922">
        <v>553</v>
      </c>
    </row>
    <row r="85" spans="1:14" s="923" customFormat="1" ht="18" customHeight="1">
      <c r="A85" s="443">
        <v>77</v>
      </c>
      <c r="B85" s="917"/>
      <c r="C85" s="906"/>
      <c r="D85" s="436" t="s">
        <v>994</v>
      </c>
      <c r="E85" s="924"/>
      <c r="F85" s="925"/>
      <c r="G85" s="1252"/>
      <c r="H85" s="995"/>
      <c r="I85" s="426">
        <f>SUM(J85:N85)</f>
        <v>500</v>
      </c>
      <c r="J85" s="921"/>
      <c r="K85" s="921"/>
      <c r="L85" s="921"/>
      <c r="M85" s="921"/>
      <c r="N85" s="992">
        <f>0+500</f>
        <v>500</v>
      </c>
    </row>
    <row r="86" spans="1:14" s="923" customFormat="1" ht="18" customHeight="1">
      <c r="A86" s="443">
        <v>78</v>
      </c>
      <c r="B86" s="917"/>
      <c r="C86" s="906"/>
      <c r="D86" s="987" t="s">
        <v>1035</v>
      </c>
      <c r="E86" s="925"/>
      <c r="F86" s="925"/>
      <c r="G86" s="1252"/>
      <c r="H86" s="995"/>
      <c r="I86" s="990">
        <f>SUM(J86:N86)</f>
        <v>500</v>
      </c>
      <c r="J86" s="143"/>
      <c r="K86" s="143"/>
      <c r="L86" s="143"/>
      <c r="M86" s="143"/>
      <c r="N86" s="144">
        <v>500</v>
      </c>
    </row>
    <row r="87" spans="1:16" s="3" customFormat="1" ht="22.5" customHeight="1">
      <c r="A87" s="443">
        <v>79</v>
      </c>
      <c r="B87" s="119"/>
      <c r="C87" s="120">
        <v>18</v>
      </c>
      <c r="D87" s="437" t="s">
        <v>57</v>
      </c>
      <c r="E87" s="122">
        <v>5000</v>
      </c>
      <c r="F87" s="122">
        <v>5000</v>
      </c>
      <c r="G87" s="1245">
        <v>5000</v>
      </c>
      <c r="H87" s="445" t="s">
        <v>24</v>
      </c>
      <c r="I87" s="427"/>
      <c r="J87" s="129"/>
      <c r="K87" s="129"/>
      <c r="L87" s="129"/>
      <c r="M87" s="129"/>
      <c r="N87" s="130"/>
      <c r="O87" s="8"/>
      <c r="P87" s="8"/>
    </row>
    <row r="88" spans="1:14" s="910" customFormat="1" ht="18" customHeight="1">
      <c r="A88" s="443">
        <v>80</v>
      </c>
      <c r="B88" s="905"/>
      <c r="C88" s="906"/>
      <c r="D88" s="907" t="s">
        <v>303</v>
      </c>
      <c r="E88" s="908"/>
      <c r="F88" s="908"/>
      <c r="G88" s="1247"/>
      <c r="H88" s="909"/>
      <c r="I88" s="900">
        <f>SUM(J88:N88)</f>
        <v>840</v>
      </c>
      <c r="J88" s="901"/>
      <c r="K88" s="901"/>
      <c r="L88" s="901">
        <v>840</v>
      </c>
      <c r="M88" s="901"/>
      <c r="N88" s="902"/>
    </row>
    <row r="89" spans="1:14" s="910" customFormat="1" ht="18" customHeight="1">
      <c r="A89" s="443">
        <v>81</v>
      </c>
      <c r="B89" s="905"/>
      <c r="C89" s="906"/>
      <c r="D89" s="436" t="s">
        <v>994</v>
      </c>
      <c r="E89" s="908"/>
      <c r="F89" s="908"/>
      <c r="G89" s="1247"/>
      <c r="H89" s="909"/>
      <c r="I89" s="426">
        <f>SUM(J89:N89)</f>
        <v>1260</v>
      </c>
      <c r="J89" s="901"/>
      <c r="K89" s="901"/>
      <c r="L89" s="341">
        <v>1260</v>
      </c>
      <c r="M89" s="901"/>
      <c r="N89" s="902"/>
    </row>
    <row r="90" spans="1:14" s="910" customFormat="1" ht="18" customHeight="1">
      <c r="A90" s="443">
        <v>82</v>
      </c>
      <c r="B90" s="905"/>
      <c r="C90" s="906"/>
      <c r="D90" s="987" t="s">
        <v>1035</v>
      </c>
      <c r="E90" s="908"/>
      <c r="F90" s="908"/>
      <c r="G90" s="1247"/>
      <c r="H90" s="909"/>
      <c r="I90" s="990">
        <f>SUM(J90:N90)</f>
        <v>1250</v>
      </c>
      <c r="J90" s="341"/>
      <c r="K90" s="341"/>
      <c r="L90" s="143">
        <v>1250</v>
      </c>
      <c r="M90" s="901"/>
      <c r="N90" s="902"/>
    </row>
    <row r="91" spans="1:16" s="3" customFormat="1" ht="22.5" customHeight="1">
      <c r="A91" s="443">
        <v>83</v>
      </c>
      <c r="B91" s="119"/>
      <c r="C91" s="120">
        <v>19</v>
      </c>
      <c r="D91" s="437" t="s">
        <v>504</v>
      </c>
      <c r="E91" s="122">
        <v>1000</v>
      </c>
      <c r="F91" s="122">
        <v>1000</v>
      </c>
      <c r="G91" s="1245">
        <v>1000</v>
      </c>
      <c r="H91" s="445" t="s">
        <v>24</v>
      </c>
      <c r="I91" s="900"/>
      <c r="J91" s="129"/>
      <c r="K91" s="129"/>
      <c r="L91" s="129"/>
      <c r="M91" s="129"/>
      <c r="N91" s="130"/>
      <c r="O91" s="8"/>
      <c r="P91" s="8"/>
    </row>
    <row r="92" spans="1:16" s="3" customFormat="1" ht="22.5" customHeight="1">
      <c r="A92" s="443">
        <v>84</v>
      </c>
      <c r="B92" s="119"/>
      <c r="C92" s="120">
        <v>20</v>
      </c>
      <c r="D92" s="437" t="s">
        <v>251</v>
      </c>
      <c r="E92" s="122">
        <f>SUM(E96,E100,E104,E108,E112)</f>
        <v>92300</v>
      </c>
      <c r="F92" s="122">
        <f>SUM(F96,F100,F104,F108,F112)</f>
        <v>97600</v>
      </c>
      <c r="G92" s="1245">
        <f>SUM(G96,G100,G104,G108,G112)</f>
        <v>97600</v>
      </c>
      <c r="H92" s="445" t="s">
        <v>24</v>
      </c>
      <c r="I92" s="427"/>
      <c r="J92" s="129"/>
      <c r="K92" s="129"/>
      <c r="L92" s="129"/>
      <c r="M92" s="129"/>
      <c r="N92" s="130"/>
      <c r="O92" s="8"/>
      <c r="P92" s="8"/>
    </row>
    <row r="93" spans="1:14" s="910" customFormat="1" ht="18" customHeight="1">
      <c r="A93" s="443">
        <v>85</v>
      </c>
      <c r="B93" s="905"/>
      <c r="C93" s="906"/>
      <c r="D93" s="907" t="s">
        <v>303</v>
      </c>
      <c r="E93" s="908"/>
      <c r="F93" s="908"/>
      <c r="G93" s="1247"/>
      <c r="H93" s="909"/>
      <c r="I93" s="900">
        <f>SUM(J93:N93)</f>
        <v>32435</v>
      </c>
      <c r="J93" s="904">
        <f aca="true" t="shared" si="0" ref="J93:N94">SUM(J97,J101,J105,J109,J113)</f>
        <v>0</v>
      </c>
      <c r="K93" s="904">
        <f t="shared" si="0"/>
        <v>0</v>
      </c>
      <c r="L93" s="904">
        <f t="shared" si="0"/>
        <v>0</v>
      </c>
      <c r="M93" s="904">
        <f t="shared" si="0"/>
        <v>0</v>
      </c>
      <c r="N93" s="902">
        <f t="shared" si="0"/>
        <v>32435</v>
      </c>
    </row>
    <row r="94" spans="1:14" s="910" customFormat="1" ht="18" customHeight="1">
      <c r="A94" s="443">
        <v>86</v>
      </c>
      <c r="B94" s="905"/>
      <c r="C94" s="906"/>
      <c r="D94" s="436" t="s">
        <v>994</v>
      </c>
      <c r="E94" s="908"/>
      <c r="F94" s="908"/>
      <c r="G94" s="1247"/>
      <c r="H94" s="909"/>
      <c r="I94" s="428">
        <f>SUM(J94:N94)</f>
        <v>75274</v>
      </c>
      <c r="J94" s="996">
        <f t="shared" si="0"/>
        <v>0</v>
      </c>
      <c r="K94" s="996">
        <f t="shared" si="0"/>
        <v>0</v>
      </c>
      <c r="L94" s="996">
        <f t="shared" si="0"/>
        <v>0</v>
      </c>
      <c r="M94" s="996">
        <f t="shared" si="0"/>
        <v>0</v>
      </c>
      <c r="N94" s="337">
        <f t="shared" si="0"/>
        <v>75274</v>
      </c>
    </row>
    <row r="95" spans="1:14" s="910" customFormat="1" ht="18" customHeight="1">
      <c r="A95" s="443">
        <v>87</v>
      </c>
      <c r="B95" s="905"/>
      <c r="C95" s="906"/>
      <c r="D95" s="987" t="s">
        <v>1036</v>
      </c>
      <c r="E95" s="908"/>
      <c r="F95" s="908"/>
      <c r="G95" s="1247"/>
      <c r="H95" s="909"/>
      <c r="I95" s="990">
        <f>SUM(J95:N95)</f>
        <v>75274</v>
      </c>
      <c r="J95" s="133">
        <f>J99+J115+J103+J107+J111</f>
        <v>0</v>
      </c>
      <c r="K95" s="133">
        <f>K99+K115+K103+K107+K111</f>
        <v>0</v>
      </c>
      <c r="L95" s="133">
        <f>L99+L115+L103+L107+L111</f>
        <v>0</v>
      </c>
      <c r="M95" s="133">
        <f>M99+M115+M103+M107+M111</f>
        <v>0</v>
      </c>
      <c r="N95" s="134">
        <f>N99+N115+N103+N107+N111</f>
        <v>75274</v>
      </c>
    </row>
    <row r="96" spans="1:16" s="9" customFormat="1" ht="18" customHeight="1">
      <c r="A96" s="443">
        <v>88</v>
      </c>
      <c r="B96" s="131"/>
      <c r="C96" s="423"/>
      <c r="D96" s="339" t="s">
        <v>58</v>
      </c>
      <c r="E96" s="132">
        <v>78200</v>
      </c>
      <c r="F96" s="132">
        <v>83500</v>
      </c>
      <c r="G96" s="1248">
        <v>83500</v>
      </c>
      <c r="H96" s="446"/>
      <c r="I96" s="428"/>
      <c r="J96" s="143"/>
      <c r="K96" s="143"/>
      <c r="L96" s="143"/>
      <c r="M96" s="143"/>
      <c r="N96" s="144"/>
      <c r="P96" s="8"/>
    </row>
    <row r="97" spans="1:16" s="923" customFormat="1" ht="18" customHeight="1">
      <c r="A97" s="443">
        <v>89</v>
      </c>
      <c r="B97" s="917"/>
      <c r="C97" s="906"/>
      <c r="D97" s="926" t="s">
        <v>303</v>
      </c>
      <c r="E97" s="919"/>
      <c r="F97" s="919"/>
      <c r="G97" s="1251"/>
      <c r="H97" s="920"/>
      <c r="I97" s="903">
        <f>SUM(J97:N97)</f>
        <v>25975</v>
      </c>
      <c r="J97" s="921"/>
      <c r="K97" s="921"/>
      <c r="L97" s="921"/>
      <c r="M97" s="921"/>
      <c r="N97" s="922">
        <v>25975</v>
      </c>
      <c r="P97" s="910"/>
    </row>
    <row r="98" spans="1:16" s="923" customFormat="1" ht="18" customHeight="1">
      <c r="A98" s="443">
        <v>90</v>
      </c>
      <c r="B98" s="917"/>
      <c r="C98" s="906"/>
      <c r="D98" s="993" t="s">
        <v>994</v>
      </c>
      <c r="E98" s="919"/>
      <c r="F98" s="919"/>
      <c r="G98" s="1251"/>
      <c r="H98" s="920"/>
      <c r="I98" s="428">
        <f>SUM(J98:N98)</f>
        <v>74100</v>
      </c>
      <c r="J98" s="921"/>
      <c r="K98" s="921"/>
      <c r="L98" s="921"/>
      <c r="M98" s="921"/>
      <c r="N98" s="992">
        <v>74100</v>
      </c>
      <c r="P98" s="910"/>
    </row>
    <row r="99" spans="1:16" s="923" customFormat="1" ht="18" customHeight="1">
      <c r="A99" s="443">
        <v>91</v>
      </c>
      <c r="B99" s="917"/>
      <c r="C99" s="906"/>
      <c r="D99" s="994" t="s">
        <v>1035</v>
      </c>
      <c r="E99" s="919"/>
      <c r="F99" s="919"/>
      <c r="G99" s="1251"/>
      <c r="H99" s="920"/>
      <c r="I99" s="990">
        <f>SUM(J99:N99)</f>
        <v>74100</v>
      </c>
      <c r="J99" s="143"/>
      <c r="K99" s="143"/>
      <c r="L99" s="143"/>
      <c r="M99" s="143"/>
      <c r="N99" s="144">
        <v>74100</v>
      </c>
      <c r="P99" s="910"/>
    </row>
    <row r="100" spans="1:16" s="9" customFormat="1" ht="18" customHeight="1">
      <c r="A100" s="443">
        <v>92</v>
      </c>
      <c r="B100" s="131"/>
      <c r="C100" s="423"/>
      <c r="D100" s="340" t="s">
        <v>59</v>
      </c>
      <c r="E100" s="132">
        <v>5600</v>
      </c>
      <c r="F100" s="132">
        <v>5600</v>
      </c>
      <c r="G100" s="1248">
        <v>5600</v>
      </c>
      <c r="H100" s="446"/>
      <c r="I100" s="429"/>
      <c r="J100" s="133"/>
      <c r="K100" s="133"/>
      <c r="L100" s="133"/>
      <c r="M100" s="133"/>
      <c r="N100" s="134"/>
      <c r="P100" s="8"/>
    </row>
    <row r="101" spans="1:16" s="923" customFormat="1" ht="18" customHeight="1">
      <c r="A101" s="443">
        <v>93</v>
      </c>
      <c r="B101" s="917"/>
      <c r="C101" s="906"/>
      <c r="D101" s="926" t="s">
        <v>303</v>
      </c>
      <c r="E101" s="919"/>
      <c r="F101" s="919"/>
      <c r="G101" s="1251"/>
      <c r="H101" s="920"/>
      <c r="I101" s="903">
        <f>SUM(J101:N101)</f>
        <v>6460</v>
      </c>
      <c r="J101" s="921"/>
      <c r="K101" s="921"/>
      <c r="L101" s="921"/>
      <c r="M101" s="921"/>
      <c r="N101" s="922">
        <v>6460</v>
      </c>
      <c r="P101" s="910"/>
    </row>
    <row r="102" spans="1:16" s="923" customFormat="1" ht="18" customHeight="1">
      <c r="A102" s="443">
        <v>94</v>
      </c>
      <c r="B102" s="917"/>
      <c r="C102" s="906"/>
      <c r="D102" s="993" t="s">
        <v>994</v>
      </c>
      <c r="E102" s="919"/>
      <c r="F102" s="919"/>
      <c r="G102" s="1251"/>
      <c r="H102" s="920"/>
      <c r="I102" s="428">
        <f>SUM(J102:N102)</f>
        <v>466</v>
      </c>
      <c r="J102" s="921"/>
      <c r="K102" s="921"/>
      <c r="L102" s="921"/>
      <c r="M102" s="921"/>
      <c r="N102" s="992">
        <v>466</v>
      </c>
      <c r="P102" s="910"/>
    </row>
    <row r="103" spans="1:16" s="923" customFormat="1" ht="18" customHeight="1">
      <c r="A103" s="443">
        <v>95</v>
      </c>
      <c r="B103" s="917"/>
      <c r="C103" s="906"/>
      <c r="D103" s="994" t="s">
        <v>1035</v>
      </c>
      <c r="E103" s="919"/>
      <c r="F103" s="919"/>
      <c r="G103" s="1251"/>
      <c r="H103" s="920"/>
      <c r="I103" s="990">
        <f aca="true" t="shared" si="1" ref="I103:I115">SUM(J103:N103)</f>
        <v>466</v>
      </c>
      <c r="J103" s="991"/>
      <c r="K103" s="991"/>
      <c r="L103" s="991"/>
      <c r="M103" s="991"/>
      <c r="N103" s="144">
        <v>466</v>
      </c>
      <c r="P103" s="910"/>
    </row>
    <row r="104" spans="1:16" s="9" customFormat="1" ht="18" customHeight="1">
      <c r="A104" s="443">
        <v>96</v>
      </c>
      <c r="B104" s="131"/>
      <c r="C104" s="124"/>
      <c r="D104" s="340" t="s">
        <v>60</v>
      </c>
      <c r="E104" s="132">
        <v>4500</v>
      </c>
      <c r="F104" s="132">
        <v>4500</v>
      </c>
      <c r="G104" s="1248">
        <v>4500</v>
      </c>
      <c r="H104" s="446"/>
      <c r="I104" s="903"/>
      <c r="J104" s="133"/>
      <c r="K104" s="133"/>
      <c r="L104" s="133"/>
      <c r="M104" s="133"/>
      <c r="N104" s="134"/>
      <c r="P104" s="8"/>
    </row>
    <row r="105" spans="1:16" s="9" customFormat="1" ht="18" customHeight="1">
      <c r="A105" s="443">
        <v>97</v>
      </c>
      <c r="B105" s="131"/>
      <c r="C105" s="124"/>
      <c r="D105" s="1275" t="s">
        <v>303</v>
      </c>
      <c r="E105" s="132"/>
      <c r="F105" s="132"/>
      <c r="G105" s="1248"/>
      <c r="H105" s="446"/>
      <c r="I105" s="903">
        <f t="shared" si="1"/>
        <v>0</v>
      </c>
      <c r="J105" s="143"/>
      <c r="K105" s="143"/>
      <c r="L105" s="143"/>
      <c r="M105" s="143"/>
      <c r="N105" s="144"/>
      <c r="P105" s="8"/>
    </row>
    <row r="106" spans="1:16" s="9" customFormat="1" ht="18" customHeight="1">
      <c r="A106" s="443">
        <v>98</v>
      </c>
      <c r="B106" s="131"/>
      <c r="C106" s="124"/>
      <c r="D106" s="993" t="s">
        <v>994</v>
      </c>
      <c r="E106" s="132"/>
      <c r="F106" s="132"/>
      <c r="G106" s="1248"/>
      <c r="H106" s="446"/>
      <c r="I106" s="428">
        <f t="shared" si="1"/>
        <v>375</v>
      </c>
      <c r="J106" s="143"/>
      <c r="K106" s="143"/>
      <c r="L106" s="143"/>
      <c r="M106" s="143"/>
      <c r="N106" s="144">
        <v>375</v>
      </c>
      <c r="P106" s="8"/>
    </row>
    <row r="107" spans="1:16" s="9" customFormat="1" ht="18" customHeight="1">
      <c r="A107" s="443">
        <v>99</v>
      </c>
      <c r="B107" s="131"/>
      <c r="C107" s="124"/>
      <c r="D107" s="994" t="s">
        <v>1036</v>
      </c>
      <c r="E107" s="132"/>
      <c r="F107" s="132"/>
      <c r="G107" s="1248"/>
      <c r="H107" s="446"/>
      <c r="I107" s="990">
        <f t="shared" si="1"/>
        <v>375</v>
      </c>
      <c r="J107" s="143"/>
      <c r="K107" s="143"/>
      <c r="L107" s="143"/>
      <c r="M107" s="143"/>
      <c r="N107" s="144">
        <v>375</v>
      </c>
      <c r="P107" s="8"/>
    </row>
    <row r="108" spans="1:16" s="9" customFormat="1" ht="18" customHeight="1">
      <c r="A108" s="443">
        <v>100</v>
      </c>
      <c r="B108" s="131"/>
      <c r="C108" s="124"/>
      <c r="D108" s="340" t="s">
        <v>61</v>
      </c>
      <c r="E108" s="132">
        <v>3000</v>
      </c>
      <c r="F108" s="132">
        <v>3000</v>
      </c>
      <c r="G108" s="1248">
        <v>3000</v>
      </c>
      <c r="H108" s="446"/>
      <c r="I108" s="903"/>
      <c r="J108" s="133"/>
      <c r="K108" s="133"/>
      <c r="L108" s="133"/>
      <c r="M108" s="133"/>
      <c r="N108" s="134"/>
      <c r="P108" s="8"/>
    </row>
    <row r="109" spans="1:16" s="9" customFormat="1" ht="18" customHeight="1">
      <c r="A109" s="443">
        <v>101</v>
      </c>
      <c r="B109" s="131"/>
      <c r="C109" s="124"/>
      <c r="D109" s="1275" t="s">
        <v>303</v>
      </c>
      <c r="E109" s="132"/>
      <c r="F109" s="132"/>
      <c r="G109" s="1248"/>
      <c r="H109" s="446"/>
      <c r="I109" s="903">
        <f t="shared" si="1"/>
        <v>0</v>
      </c>
      <c r="J109" s="143"/>
      <c r="K109" s="143"/>
      <c r="L109" s="143"/>
      <c r="M109" s="143"/>
      <c r="N109" s="144"/>
      <c r="P109" s="8"/>
    </row>
    <row r="110" spans="1:16" s="9" customFormat="1" ht="18" customHeight="1">
      <c r="A110" s="443">
        <v>102</v>
      </c>
      <c r="B110" s="131"/>
      <c r="C110" s="124"/>
      <c r="D110" s="993" t="s">
        <v>994</v>
      </c>
      <c r="E110" s="132"/>
      <c r="F110" s="132"/>
      <c r="G110" s="1248"/>
      <c r="H110" s="446"/>
      <c r="I110" s="428">
        <f t="shared" si="1"/>
        <v>250</v>
      </c>
      <c r="J110" s="143"/>
      <c r="K110" s="143"/>
      <c r="L110" s="143"/>
      <c r="M110" s="143"/>
      <c r="N110" s="144">
        <v>250</v>
      </c>
      <c r="P110" s="8"/>
    </row>
    <row r="111" spans="1:16" s="9" customFormat="1" ht="18" customHeight="1">
      <c r="A111" s="443">
        <v>103</v>
      </c>
      <c r="B111" s="131"/>
      <c r="C111" s="124"/>
      <c r="D111" s="994" t="s">
        <v>1036</v>
      </c>
      <c r="E111" s="132"/>
      <c r="F111" s="132"/>
      <c r="G111" s="1248"/>
      <c r="H111" s="446"/>
      <c r="I111" s="990">
        <f t="shared" si="1"/>
        <v>250</v>
      </c>
      <c r="J111" s="143"/>
      <c r="K111" s="143"/>
      <c r="L111" s="143"/>
      <c r="M111" s="143"/>
      <c r="N111" s="144">
        <v>250</v>
      </c>
      <c r="P111" s="8"/>
    </row>
    <row r="112" spans="1:16" s="9" customFormat="1" ht="18" customHeight="1">
      <c r="A112" s="443">
        <v>104</v>
      </c>
      <c r="B112" s="131"/>
      <c r="C112" s="124"/>
      <c r="D112" s="340" t="s">
        <v>355</v>
      </c>
      <c r="E112" s="132">
        <v>1000</v>
      </c>
      <c r="F112" s="132">
        <v>1000</v>
      </c>
      <c r="G112" s="1248">
        <v>1000</v>
      </c>
      <c r="H112" s="446"/>
      <c r="I112" s="903"/>
      <c r="J112" s="133"/>
      <c r="K112" s="133"/>
      <c r="L112" s="133"/>
      <c r="M112" s="133"/>
      <c r="N112" s="134"/>
      <c r="P112" s="8"/>
    </row>
    <row r="113" spans="1:16" s="9" customFormat="1" ht="18" customHeight="1">
      <c r="A113" s="443">
        <v>105</v>
      </c>
      <c r="B113" s="131"/>
      <c r="C113" s="124"/>
      <c r="D113" s="1275" t="s">
        <v>303</v>
      </c>
      <c r="E113" s="132"/>
      <c r="F113" s="132"/>
      <c r="G113" s="1248"/>
      <c r="H113" s="446"/>
      <c r="I113" s="903">
        <f t="shared" si="1"/>
        <v>0</v>
      </c>
      <c r="J113" s="143"/>
      <c r="K113" s="143"/>
      <c r="L113" s="143"/>
      <c r="M113" s="143"/>
      <c r="N113" s="144"/>
      <c r="P113" s="8"/>
    </row>
    <row r="114" spans="1:16" s="9" customFormat="1" ht="18" customHeight="1">
      <c r="A114" s="443">
        <v>106</v>
      </c>
      <c r="B114" s="131"/>
      <c r="C114" s="124"/>
      <c r="D114" s="993" t="s">
        <v>994</v>
      </c>
      <c r="E114" s="132"/>
      <c r="F114" s="132"/>
      <c r="G114" s="1248"/>
      <c r="H114" s="446"/>
      <c r="I114" s="428">
        <f t="shared" si="1"/>
        <v>83</v>
      </c>
      <c r="J114" s="143"/>
      <c r="K114" s="143"/>
      <c r="L114" s="143"/>
      <c r="M114" s="143"/>
      <c r="N114" s="144">
        <v>83</v>
      </c>
      <c r="P114" s="8"/>
    </row>
    <row r="115" spans="1:16" s="9" customFormat="1" ht="18" customHeight="1">
      <c r="A115" s="443">
        <v>107</v>
      </c>
      <c r="B115" s="131"/>
      <c r="C115" s="124"/>
      <c r="D115" s="994" t="s">
        <v>1036</v>
      </c>
      <c r="E115" s="132"/>
      <c r="F115" s="132"/>
      <c r="G115" s="1248"/>
      <c r="H115" s="446"/>
      <c r="I115" s="990">
        <f t="shared" si="1"/>
        <v>83</v>
      </c>
      <c r="J115" s="143"/>
      <c r="K115" s="143"/>
      <c r="L115" s="143"/>
      <c r="M115" s="143"/>
      <c r="N115" s="144">
        <v>83</v>
      </c>
      <c r="P115" s="8"/>
    </row>
    <row r="116" spans="1:16" s="9" customFormat="1" ht="22.5" customHeight="1">
      <c r="A116" s="443">
        <v>108</v>
      </c>
      <c r="B116" s="131"/>
      <c r="C116" s="120">
        <v>21</v>
      </c>
      <c r="D116" s="437" t="s">
        <v>751</v>
      </c>
      <c r="E116" s="132"/>
      <c r="F116" s="132"/>
      <c r="G116" s="1248"/>
      <c r="H116" s="445" t="s">
        <v>24</v>
      </c>
      <c r="I116" s="428"/>
      <c r="J116" s="143"/>
      <c r="K116" s="143"/>
      <c r="L116" s="143"/>
      <c r="M116" s="143"/>
      <c r="N116" s="144"/>
      <c r="P116" s="8"/>
    </row>
    <row r="117" spans="1:16" s="923" customFormat="1" ht="18" customHeight="1">
      <c r="A117" s="443">
        <v>109</v>
      </c>
      <c r="B117" s="917"/>
      <c r="C117" s="906"/>
      <c r="D117" s="907" t="s">
        <v>303</v>
      </c>
      <c r="E117" s="919"/>
      <c r="F117" s="919"/>
      <c r="G117" s="1251"/>
      <c r="H117" s="909"/>
      <c r="I117" s="900">
        <f>SUM(J117:N117)</f>
        <v>425</v>
      </c>
      <c r="J117" s="921"/>
      <c r="K117" s="921"/>
      <c r="L117" s="901">
        <v>425</v>
      </c>
      <c r="M117" s="921"/>
      <c r="N117" s="922"/>
      <c r="P117" s="910"/>
    </row>
    <row r="118" spans="1:16" s="923" customFormat="1" ht="18" customHeight="1">
      <c r="A118" s="443">
        <v>110</v>
      </c>
      <c r="B118" s="917"/>
      <c r="C118" s="906"/>
      <c r="D118" s="436" t="s">
        <v>994</v>
      </c>
      <c r="E118" s="919"/>
      <c r="F118" s="919"/>
      <c r="G118" s="1251"/>
      <c r="H118" s="909"/>
      <c r="I118" s="426">
        <f>SUM(J118:N118)</f>
        <v>0</v>
      </c>
      <c r="J118" s="921"/>
      <c r="K118" s="921"/>
      <c r="L118" s="341">
        <v>0</v>
      </c>
      <c r="M118" s="921"/>
      <c r="N118" s="922"/>
      <c r="P118" s="910"/>
    </row>
    <row r="119" spans="1:16" s="923" customFormat="1" ht="18" customHeight="1">
      <c r="A119" s="443">
        <v>111</v>
      </c>
      <c r="B119" s="917"/>
      <c r="C119" s="906"/>
      <c r="D119" s="987" t="s">
        <v>1036</v>
      </c>
      <c r="E119" s="919"/>
      <c r="F119" s="919"/>
      <c r="G119" s="1251"/>
      <c r="H119" s="909"/>
      <c r="I119" s="990">
        <f>SUM(J119:N119)</f>
        <v>0</v>
      </c>
      <c r="J119" s="143"/>
      <c r="K119" s="143"/>
      <c r="L119" s="143">
        <v>0</v>
      </c>
      <c r="M119" s="143"/>
      <c r="N119" s="144"/>
      <c r="P119" s="910"/>
    </row>
    <row r="120" spans="1:16" s="9" customFormat="1" ht="22.5" customHeight="1">
      <c r="A120" s="443">
        <v>112</v>
      </c>
      <c r="B120" s="131"/>
      <c r="C120" s="120">
        <v>22</v>
      </c>
      <c r="D120" s="437" t="s">
        <v>740</v>
      </c>
      <c r="E120" s="132"/>
      <c r="F120" s="132"/>
      <c r="G120" s="1248"/>
      <c r="H120" s="445" t="s">
        <v>24</v>
      </c>
      <c r="I120" s="426"/>
      <c r="J120" s="143"/>
      <c r="K120" s="143"/>
      <c r="L120" s="143"/>
      <c r="M120" s="143"/>
      <c r="N120" s="144"/>
      <c r="P120" s="8"/>
    </row>
    <row r="121" spans="1:16" s="923" customFormat="1" ht="18" customHeight="1">
      <c r="A121" s="443">
        <v>113</v>
      </c>
      <c r="B121" s="917"/>
      <c r="C121" s="906"/>
      <c r="D121" s="907" t="s">
        <v>303</v>
      </c>
      <c r="E121" s="919"/>
      <c r="F121" s="919"/>
      <c r="G121" s="1251"/>
      <c r="H121" s="909"/>
      <c r="I121" s="900">
        <f>SUM(J121:N121)</f>
        <v>425</v>
      </c>
      <c r="J121" s="921"/>
      <c r="K121" s="921"/>
      <c r="L121" s="921"/>
      <c r="M121" s="921"/>
      <c r="N121" s="902">
        <v>425</v>
      </c>
      <c r="P121" s="910"/>
    </row>
    <row r="122" spans="1:16" s="923" customFormat="1" ht="18" customHeight="1">
      <c r="A122" s="443">
        <v>114</v>
      </c>
      <c r="B122" s="917"/>
      <c r="C122" s="906"/>
      <c r="D122" s="436" t="s">
        <v>994</v>
      </c>
      <c r="E122" s="919"/>
      <c r="F122" s="919"/>
      <c r="G122" s="1251"/>
      <c r="H122" s="909"/>
      <c r="I122" s="426">
        <f>SUM(J122:N122)</f>
        <v>425</v>
      </c>
      <c r="J122" s="921"/>
      <c r="K122" s="921"/>
      <c r="L122" s="341">
        <v>425</v>
      </c>
      <c r="M122" s="921"/>
      <c r="N122" s="337">
        <v>0</v>
      </c>
      <c r="P122" s="910"/>
    </row>
    <row r="123" spans="1:16" s="923" customFormat="1" ht="18" customHeight="1">
      <c r="A123" s="443">
        <v>115</v>
      </c>
      <c r="B123" s="917"/>
      <c r="C123" s="906"/>
      <c r="D123" s="987" t="s">
        <v>1036</v>
      </c>
      <c r="E123" s="919"/>
      <c r="F123" s="919"/>
      <c r="G123" s="1251"/>
      <c r="H123" s="909"/>
      <c r="I123" s="990">
        <f>SUM(J123:N123)</f>
        <v>13</v>
      </c>
      <c r="J123" s="143"/>
      <c r="K123" s="143"/>
      <c r="L123" s="143">
        <v>13</v>
      </c>
      <c r="M123" s="143"/>
      <c r="N123" s="144"/>
      <c r="P123" s="910"/>
    </row>
    <row r="124" spans="1:16" s="9" customFormat="1" ht="22.5" customHeight="1">
      <c r="A124" s="443">
        <v>116</v>
      </c>
      <c r="B124" s="131"/>
      <c r="C124" s="120">
        <v>23</v>
      </c>
      <c r="D124" s="437" t="s">
        <v>750</v>
      </c>
      <c r="E124" s="132"/>
      <c r="F124" s="132"/>
      <c r="G124" s="1248"/>
      <c r="H124" s="445" t="s">
        <v>24</v>
      </c>
      <c r="I124" s="426"/>
      <c r="J124" s="143"/>
      <c r="K124" s="143"/>
      <c r="L124" s="143"/>
      <c r="M124" s="143"/>
      <c r="N124" s="144"/>
      <c r="P124" s="8"/>
    </row>
    <row r="125" spans="1:16" s="923" customFormat="1" ht="18" customHeight="1">
      <c r="A125" s="443">
        <v>117</v>
      </c>
      <c r="B125" s="917"/>
      <c r="C125" s="906"/>
      <c r="D125" s="907" t="s">
        <v>303</v>
      </c>
      <c r="E125" s="919"/>
      <c r="F125" s="919"/>
      <c r="G125" s="1251"/>
      <c r="H125" s="920"/>
      <c r="I125" s="900">
        <f>SUM(J125:N125)</f>
        <v>850</v>
      </c>
      <c r="J125" s="921"/>
      <c r="K125" s="921"/>
      <c r="L125" s="901">
        <v>850</v>
      </c>
      <c r="M125" s="921"/>
      <c r="N125" s="922"/>
      <c r="P125" s="910"/>
    </row>
    <row r="126" spans="1:16" s="923" customFormat="1" ht="18" customHeight="1">
      <c r="A126" s="443">
        <v>118</v>
      </c>
      <c r="B126" s="917"/>
      <c r="C126" s="906"/>
      <c r="D126" s="436" t="s">
        <v>994</v>
      </c>
      <c r="E126" s="919"/>
      <c r="F126" s="919"/>
      <c r="G126" s="1251"/>
      <c r="H126" s="920"/>
      <c r="I126" s="426">
        <f>SUM(J126:N126)</f>
        <v>0</v>
      </c>
      <c r="J126" s="921"/>
      <c r="K126" s="921"/>
      <c r="L126" s="341">
        <v>0</v>
      </c>
      <c r="M126" s="921"/>
      <c r="N126" s="922"/>
      <c r="P126" s="910"/>
    </row>
    <row r="127" spans="1:16" s="923" customFormat="1" ht="18" customHeight="1">
      <c r="A127" s="443">
        <v>119</v>
      </c>
      <c r="B127" s="917"/>
      <c r="C127" s="906"/>
      <c r="D127" s="987" t="s">
        <v>1035</v>
      </c>
      <c r="E127" s="919"/>
      <c r="F127" s="919"/>
      <c r="G127" s="1251"/>
      <c r="H127" s="920"/>
      <c r="I127" s="990">
        <f>SUM(J127:N127)</f>
        <v>0</v>
      </c>
      <c r="J127" s="143"/>
      <c r="K127" s="143"/>
      <c r="L127" s="143">
        <v>0</v>
      </c>
      <c r="M127" s="143"/>
      <c r="N127" s="144"/>
      <c r="P127" s="910"/>
    </row>
    <row r="128" spans="1:16" s="9" customFormat="1" ht="22.5" customHeight="1">
      <c r="A128" s="443">
        <v>120</v>
      </c>
      <c r="B128" s="131"/>
      <c r="C128" s="120">
        <v>24</v>
      </c>
      <c r="D128" s="437" t="s">
        <v>741</v>
      </c>
      <c r="E128" s="132"/>
      <c r="F128" s="132"/>
      <c r="G128" s="1248"/>
      <c r="H128" s="445" t="s">
        <v>24</v>
      </c>
      <c r="I128" s="426"/>
      <c r="J128" s="143"/>
      <c r="K128" s="143"/>
      <c r="L128" s="143"/>
      <c r="M128" s="143"/>
      <c r="N128" s="144"/>
      <c r="P128" s="8"/>
    </row>
    <row r="129" spans="1:16" s="923" customFormat="1" ht="18" customHeight="1">
      <c r="A129" s="443">
        <v>121</v>
      </c>
      <c r="B129" s="917"/>
      <c r="C129" s="906"/>
      <c r="D129" s="907" t="s">
        <v>303</v>
      </c>
      <c r="E129" s="919"/>
      <c r="F129" s="919"/>
      <c r="G129" s="1251"/>
      <c r="H129" s="920"/>
      <c r="I129" s="900">
        <f>SUM(J129:N129)</f>
        <v>2550</v>
      </c>
      <c r="J129" s="921"/>
      <c r="K129" s="921"/>
      <c r="L129" s="921"/>
      <c r="M129" s="921"/>
      <c r="N129" s="902">
        <v>2550</v>
      </c>
      <c r="P129" s="910"/>
    </row>
    <row r="130" spans="1:16" s="923" customFormat="1" ht="18" customHeight="1">
      <c r="A130" s="443">
        <v>122</v>
      </c>
      <c r="B130" s="917"/>
      <c r="C130" s="906"/>
      <c r="D130" s="436" t="s">
        <v>994</v>
      </c>
      <c r="E130" s="919"/>
      <c r="F130" s="919"/>
      <c r="G130" s="1251"/>
      <c r="H130" s="920"/>
      <c r="I130" s="426">
        <f>SUM(J130:N130)</f>
        <v>0</v>
      </c>
      <c r="J130" s="921"/>
      <c r="K130" s="921"/>
      <c r="L130" s="921"/>
      <c r="M130" s="921"/>
      <c r="N130" s="337">
        <v>0</v>
      </c>
      <c r="P130" s="910"/>
    </row>
    <row r="131" spans="1:16" s="923" customFormat="1" ht="18" customHeight="1">
      <c r="A131" s="443">
        <v>123</v>
      </c>
      <c r="B131" s="917"/>
      <c r="C131" s="906"/>
      <c r="D131" s="987" t="s">
        <v>1036</v>
      </c>
      <c r="E131" s="919"/>
      <c r="F131" s="919"/>
      <c r="G131" s="1251"/>
      <c r="H131" s="920"/>
      <c r="I131" s="990">
        <f>SUM(J131:N131)</f>
        <v>0</v>
      </c>
      <c r="J131" s="991"/>
      <c r="K131" s="991"/>
      <c r="L131" s="991"/>
      <c r="M131" s="991"/>
      <c r="N131" s="144">
        <v>0</v>
      </c>
      <c r="P131" s="910"/>
    </row>
    <row r="132" spans="1:16" s="3" customFormat="1" ht="22.5" customHeight="1">
      <c r="A132" s="443">
        <v>124</v>
      </c>
      <c r="B132" s="119"/>
      <c r="C132" s="120">
        <v>25</v>
      </c>
      <c r="D132" s="437" t="s">
        <v>62</v>
      </c>
      <c r="E132" s="122">
        <v>2500</v>
      </c>
      <c r="F132" s="122">
        <v>2500</v>
      </c>
      <c r="G132" s="1248">
        <v>2500</v>
      </c>
      <c r="H132" s="445" t="s">
        <v>24</v>
      </c>
      <c r="I132" s="900"/>
      <c r="J132" s="126"/>
      <c r="K132" s="126"/>
      <c r="L132" s="126"/>
      <c r="M132" s="126"/>
      <c r="N132" s="127"/>
      <c r="P132" s="8"/>
    </row>
    <row r="133" spans="1:16" s="3" customFormat="1" ht="22.5" customHeight="1">
      <c r="A133" s="443">
        <v>125</v>
      </c>
      <c r="B133" s="119"/>
      <c r="C133" s="120">
        <v>26</v>
      </c>
      <c r="D133" s="437" t="s">
        <v>317</v>
      </c>
      <c r="E133" s="122">
        <v>2500</v>
      </c>
      <c r="F133" s="122">
        <v>2500</v>
      </c>
      <c r="G133" s="1245">
        <v>2500</v>
      </c>
      <c r="H133" s="445" t="s">
        <v>24</v>
      </c>
      <c r="I133" s="900"/>
      <c r="J133" s="126"/>
      <c r="K133" s="126"/>
      <c r="L133" s="126"/>
      <c r="M133" s="126"/>
      <c r="N133" s="127"/>
      <c r="P133" s="8"/>
    </row>
    <row r="134" spans="1:16" s="3" customFormat="1" ht="22.5" customHeight="1">
      <c r="A134" s="443">
        <v>126</v>
      </c>
      <c r="B134" s="119"/>
      <c r="C134" s="120">
        <v>27</v>
      </c>
      <c r="D134" s="437" t="s">
        <v>63</v>
      </c>
      <c r="E134" s="122">
        <v>1500</v>
      </c>
      <c r="F134" s="122">
        <v>1500</v>
      </c>
      <c r="G134" s="1245">
        <v>1500</v>
      </c>
      <c r="H134" s="445" t="s">
        <v>24</v>
      </c>
      <c r="I134" s="426"/>
      <c r="J134" s="126"/>
      <c r="K134" s="126"/>
      <c r="L134" s="126"/>
      <c r="M134" s="126"/>
      <c r="N134" s="127"/>
      <c r="P134" s="8"/>
    </row>
    <row r="135" spans="1:14" s="910" customFormat="1" ht="18" customHeight="1">
      <c r="A135" s="443">
        <v>127</v>
      </c>
      <c r="B135" s="905"/>
      <c r="C135" s="906"/>
      <c r="D135" s="907" t="s">
        <v>303</v>
      </c>
      <c r="E135" s="908"/>
      <c r="F135" s="908"/>
      <c r="G135" s="1247"/>
      <c r="H135" s="909"/>
      <c r="I135" s="900">
        <f>SUM(J135:N135)</f>
        <v>1275</v>
      </c>
      <c r="J135" s="901"/>
      <c r="K135" s="901"/>
      <c r="L135" s="901"/>
      <c r="M135" s="901"/>
      <c r="N135" s="902">
        <v>1275</v>
      </c>
    </row>
    <row r="136" spans="1:14" s="910" customFormat="1" ht="18" customHeight="1">
      <c r="A136" s="443">
        <v>128</v>
      </c>
      <c r="B136" s="905"/>
      <c r="C136" s="906"/>
      <c r="D136" s="436" t="s">
        <v>994</v>
      </c>
      <c r="E136" s="908"/>
      <c r="F136" s="908"/>
      <c r="G136" s="1247"/>
      <c r="H136" s="909"/>
      <c r="I136" s="426">
        <f>SUM(J136:N136)</f>
        <v>0</v>
      </c>
      <c r="J136" s="901"/>
      <c r="K136" s="901"/>
      <c r="L136" s="901"/>
      <c r="M136" s="901"/>
      <c r="N136" s="337">
        <v>0</v>
      </c>
    </row>
    <row r="137" spans="1:14" s="910" customFormat="1" ht="18" customHeight="1">
      <c r="A137" s="443">
        <v>129</v>
      </c>
      <c r="B137" s="905"/>
      <c r="C137" s="906"/>
      <c r="D137" s="987" t="s">
        <v>1035</v>
      </c>
      <c r="E137" s="908"/>
      <c r="F137" s="908"/>
      <c r="G137" s="1247"/>
      <c r="H137" s="909"/>
      <c r="I137" s="990">
        <f>SUM(J137:N137)</f>
        <v>0</v>
      </c>
      <c r="J137" s="143"/>
      <c r="K137" s="143"/>
      <c r="L137" s="143"/>
      <c r="M137" s="143"/>
      <c r="N137" s="144">
        <v>0</v>
      </c>
    </row>
    <row r="138" spans="1:16" s="3" customFormat="1" ht="22.5" customHeight="1">
      <c r="A138" s="443">
        <v>130</v>
      </c>
      <c r="B138" s="119"/>
      <c r="C138" s="120">
        <v>28</v>
      </c>
      <c r="D138" s="437" t="s">
        <v>64</v>
      </c>
      <c r="E138" s="122">
        <v>1000</v>
      </c>
      <c r="F138" s="122">
        <v>1000</v>
      </c>
      <c r="G138" s="1245">
        <v>1000</v>
      </c>
      <c r="H138" s="445" t="s">
        <v>24</v>
      </c>
      <c r="I138" s="426"/>
      <c r="J138" s="126"/>
      <c r="K138" s="126"/>
      <c r="L138" s="126"/>
      <c r="M138" s="126"/>
      <c r="N138" s="127"/>
      <c r="P138" s="8"/>
    </row>
    <row r="139" spans="1:14" s="910" customFormat="1" ht="18" customHeight="1">
      <c r="A139" s="443">
        <v>131</v>
      </c>
      <c r="B139" s="905"/>
      <c r="C139" s="906"/>
      <c r="D139" s="907" t="s">
        <v>303</v>
      </c>
      <c r="E139" s="908"/>
      <c r="F139" s="908"/>
      <c r="G139" s="1247"/>
      <c r="H139" s="909"/>
      <c r="I139" s="900">
        <f>SUM(J139:N139)</f>
        <v>850</v>
      </c>
      <c r="J139" s="901"/>
      <c r="K139" s="901"/>
      <c r="L139" s="901"/>
      <c r="M139" s="901"/>
      <c r="N139" s="902">
        <v>850</v>
      </c>
    </row>
    <row r="140" spans="1:14" s="910" customFormat="1" ht="18" customHeight="1">
      <c r="A140" s="443">
        <v>132</v>
      </c>
      <c r="B140" s="905"/>
      <c r="C140" s="906"/>
      <c r="D140" s="436" t="s">
        <v>994</v>
      </c>
      <c r="E140" s="908"/>
      <c r="F140" s="908"/>
      <c r="G140" s="1247"/>
      <c r="H140" s="909"/>
      <c r="I140" s="426">
        <f>SUM(J140:N140)</f>
        <v>0</v>
      </c>
      <c r="J140" s="901"/>
      <c r="K140" s="901"/>
      <c r="L140" s="901"/>
      <c r="M140" s="901"/>
      <c r="N140" s="337">
        <v>0</v>
      </c>
    </row>
    <row r="141" spans="1:14" s="910" customFormat="1" ht="18" customHeight="1">
      <c r="A141" s="443">
        <v>133</v>
      </c>
      <c r="B141" s="905"/>
      <c r="C141" s="906"/>
      <c r="D141" s="987" t="s">
        <v>1035</v>
      </c>
      <c r="E141" s="908"/>
      <c r="F141" s="908"/>
      <c r="G141" s="1247"/>
      <c r="H141" s="909"/>
      <c r="I141" s="990">
        <f>SUM(J141:N141)</f>
        <v>0</v>
      </c>
      <c r="J141" s="143"/>
      <c r="K141" s="143"/>
      <c r="L141" s="143"/>
      <c r="M141" s="143"/>
      <c r="N141" s="144">
        <v>0</v>
      </c>
    </row>
    <row r="142" spans="1:16" s="3" customFormat="1" ht="22.5" customHeight="1">
      <c r="A142" s="443">
        <v>134</v>
      </c>
      <c r="B142" s="119"/>
      <c r="C142" s="120">
        <v>29</v>
      </c>
      <c r="D142" s="437" t="s">
        <v>275</v>
      </c>
      <c r="E142" s="122">
        <v>5000</v>
      </c>
      <c r="F142" s="122">
        <v>5000</v>
      </c>
      <c r="G142" s="1245">
        <v>5000</v>
      </c>
      <c r="H142" s="445" t="s">
        <v>24</v>
      </c>
      <c r="I142" s="426"/>
      <c r="J142" s="126"/>
      <c r="K142" s="126"/>
      <c r="L142" s="126"/>
      <c r="M142" s="126"/>
      <c r="N142" s="127"/>
      <c r="P142" s="8"/>
    </row>
    <row r="143" spans="1:14" s="910" customFormat="1" ht="18" customHeight="1">
      <c r="A143" s="443">
        <v>135</v>
      </c>
      <c r="B143" s="905"/>
      <c r="C143" s="906"/>
      <c r="D143" s="907" t="s">
        <v>303</v>
      </c>
      <c r="E143" s="908"/>
      <c r="F143" s="908"/>
      <c r="G143" s="1247"/>
      <c r="H143" s="909"/>
      <c r="I143" s="900">
        <f aca="true" t="shared" si="2" ref="I143:I157">SUM(J143:N143)</f>
        <v>4250</v>
      </c>
      <c r="J143" s="901"/>
      <c r="K143" s="901"/>
      <c r="L143" s="901"/>
      <c r="M143" s="901"/>
      <c r="N143" s="902">
        <v>4250</v>
      </c>
    </row>
    <row r="144" spans="1:14" s="910" customFormat="1" ht="18" customHeight="1">
      <c r="A144" s="443">
        <v>136</v>
      </c>
      <c r="B144" s="905"/>
      <c r="C144" s="906"/>
      <c r="D144" s="436" t="s">
        <v>994</v>
      </c>
      <c r="E144" s="908"/>
      <c r="F144" s="908"/>
      <c r="G144" s="1247"/>
      <c r="H144" s="909"/>
      <c r="I144" s="426">
        <f t="shared" si="2"/>
        <v>4480</v>
      </c>
      <c r="J144" s="901"/>
      <c r="K144" s="901"/>
      <c r="L144" s="341">
        <v>4480</v>
      </c>
      <c r="M144" s="901"/>
      <c r="N144" s="902"/>
    </row>
    <row r="145" spans="1:14" s="910" customFormat="1" ht="18" customHeight="1">
      <c r="A145" s="443">
        <v>137</v>
      </c>
      <c r="B145" s="905"/>
      <c r="C145" s="906"/>
      <c r="D145" s="987" t="s">
        <v>1035</v>
      </c>
      <c r="E145" s="908"/>
      <c r="F145" s="908"/>
      <c r="G145" s="1247"/>
      <c r="H145" s="909"/>
      <c r="I145" s="990">
        <f t="shared" si="2"/>
        <v>4480</v>
      </c>
      <c r="J145" s="143"/>
      <c r="K145" s="143"/>
      <c r="L145" s="143">
        <v>4480</v>
      </c>
      <c r="M145" s="143"/>
      <c r="N145" s="144"/>
    </row>
    <row r="146" spans="1:14" s="8" customFormat="1" ht="22.5" customHeight="1">
      <c r="A146" s="443">
        <v>138</v>
      </c>
      <c r="B146" s="123"/>
      <c r="C146" s="120">
        <v>30</v>
      </c>
      <c r="D146" s="436" t="s">
        <v>475</v>
      </c>
      <c r="E146" s="122">
        <v>2500</v>
      </c>
      <c r="F146" s="122">
        <v>5000</v>
      </c>
      <c r="G146" s="1245">
        <v>3250</v>
      </c>
      <c r="H146" s="445" t="s">
        <v>24</v>
      </c>
      <c r="I146" s="900"/>
      <c r="J146" s="126"/>
      <c r="K146" s="126"/>
      <c r="L146" s="126"/>
      <c r="M146" s="126"/>
      <c r="N146" s="127"/>
    </row>
    <row r="147" spans="1:14" s="8" customFormat="1" ht="22.5" customHeight="1">
      <c r="A147" s="443">
        <v>139</v>
      </c>
      <c r="B147" s="140"/>
      <c r="C147" s="120">
        <v>31</v>
      </c>
      <c r="D147" s="436" t="s">
        <v>505</v>
      </c>
      <c r="E147" s="154"/>
      <c r="F147" s="154">
        <v>20000</v>
      </c>
      <c r="G147" s="1244">
        <v>16160</v>
      </c>
      <c r="H147" s="445" t="s">
        <v>24</v>
      </c>
      <c r="I147" s="426"/>
      <c r="J147" s="153"/>
      <c r="K147" s="153"/>
      <c r="L147" s="153"/>
      <c r="M147" s="153"/>
      <c r="N147" s="159"/>
    </row>
    <row r="148" spans="1:14" s="910" customFormat="1" ht="18" customHeight="1">
      <c r="A148" s="443">
        <v>140</v>
      </c>
      <c r="B148" s="927"/>
      <c r="C148" s="906"/>
      <c r="D148" s="907" t="s">
        <v>303</v>
      </c>
      <c r="E148" s="912"/>
      <c r="F148" s="912"/>
      <c r="G148" s="1250"/>
      <c r="H148" s="909"/>
      <c r="I148" s="900">
        <f t="shared" si="2"/>
        <v>20000</v>
      </c>
      <c r="J148" s="914"/>
      <c r="K148" s="914"/>
      <c r="L148" s="914"/>
      <c r="M148" s="914"/>
      <c r="N148" s="915">
        <v>20000</v>
      </c>
    </row>
    <row r="149" spans="1:14" s="910" customFormat="1" ht="18" customHeight="1">
      <c r="A149" s="443">
        <v>141</v>
      </c>
      <c r="B149" s="927"/>
      <c r="C149" s="906"/>
      <c r="D149" s="436" t="s">
        <v>994</v>
      </c>
      <c r="E149" s="912"/>
      <c r="F149" s="912"/>
      <c r="G149" s="1250"/>
      <c r="H149" s="909"/>
      <c r="I149" s="426">
        <f t="shared" si="2"/>
        <v>0</v>
      </c>
      <c r="J149" s="914"/>
      <c r="K149" s="914"/>
      <c r="L149" s="914"/>
      <c r="M149" s="914"/>
      <c r="N149" s="989">
        <v>0</v>
      </c>
    </row>
    <row r="150" spans="1:14" s="910" customFormat="1" ht="18" customHeight="1">
      <c r="A150" s="443">
        <v>142</v>
      </c>
      <c r="B150" s="927"/>
      <c r="C150" s="906"/>
      <c r="D150" s="987" t="s">
        <v>1035</v>
      </c>
      <c r="E150" s="912"/>
      <c r="F150" s="912"/>
      <c r="G150" s="1250"/>
      <c r="H150" s="909"/>
      <c r="I150" s="990">
        <f t="shared" si="2"/>
        <v>0</v>
      </c>
      <c r="J150" s="988"/>
      <c r="K150" s="988"/>
      <c r="L150" s="988"/>
      <c r="M150" s="988"/>
      <c r="N150" s="459">
        <v>0</v>
      </c>
    </row>
    <row r="151" spans="1:16" s="142" customFormat="1" ht="22.5" customHeight="1">
      <c r="A151" s="443">
        <v>143</v>
      </c>
      <c r="B151" s="141"/>
      <c r="C151" s="120">
        <v>32</v>
      </c>
      <c r="D151" s="437" t="s">
        <v>267</v>
      </c>
      <c r="E151" s="154">
        <v>45000</v>
      </c>
      <c r="F151" s="154">
        <v>45000</v>
      </c>
      <c r="G151" s="1244">
        <v>45000</v>
      </c>
      <c r="H151" s="445" t="s">
        <v>24</v>
      </c>
      <c r="I151" s="900"/>
      <c r="J151" s="153"/>
      <c r="K151" s="153"/>
      <c r="L151" s="153"/>
      <c r="M151" s="153"/>
      <c r="N151" s="159"/>
      <c r="O151" s="115"/>
      <c r="P151" s="8"/>
    </row>
    <row r="152" spans="1:16" s="142" customFormat="1" ht="18" customHeight="1">
      <c r="A152" s="443">
        <v>144</v>
      </c>
      <c r="B152" s="141"/>
      <c r="C152" s="120"/>
      <c r="D152" s="436" t="s">
        <v>994</v>
      </c>
      <c r="E152" s="154"/>
      <c r="F152" s="154"/>
      <c r="G152" s="1244"/>
      <c r="H152" s="445"/>
      <c r="I152" s="426">
        <f t="shared" si="2"/>
        <v>45000</v>
      </c>
      <c r="J152" s="153"/>
      <c r="K152" s="153"/>
      <c r="L152" s="153"/>
      <c r="M152" s="153"/>
      <c r="N152" s="989">
        <v>45000</v>
      </c>
      <c r="O152" s="115"/>
      <c r="P152" s="8"/>
    </row>
    <row r="153" spans="1:16" s="142" customFormat="1" ht="18" customHeight="1">
      <c r="A153" s="443">
        <v>145</v>
      </c>
      <c r="B153" s="141"/>
      <c r="C153" s="120"/>
      <c r="D153" s="987" t="s">
        <v>1035</v>
      </c>
      <c r="E153" s="154"/>
      <c r="F153" s="154"/>
      <c r="G153" s="1244"/>
      <c r="H153" s="445"/>
      <c r="I153" s="990">
        <f t="shared" si="2"/>
        <v>45000</v>
      </c>
      <c r="J153" s="153"/>
      <c r="K153" s="153"/>
      <c r="L153" s="153"/>
      <c r="M153" s="153"/>
      <c r="N153" s="459">
        <v>45000</v>
      </c>
      <c r="O153" s="115"/>
      <c r="P153" s="8"/>
    </row>
    <row r="154" spans="1:16" s="3" customFormat="1" ht="22.5" customHeight="1">
      <c r="A154" s="443">
        <v>146</v>
      </c>
      <c r="B154" s="119"/>
      <c r="C154" s="120">
        <v>33</v>
      </c>
      <c r="D154" s="437" t="s">
        <v>276</v>
      </c>
      <c r="E154" s="122"/>
      <c r="F154" s="122"/>
      <c r="G154" s="1245"/>
      <c r="H154" s="445" t="s">
        <v>24</v>
      </c>
      <c r="I154" s="426"/>
      <c r="J154" s="126"/>
      <c r="K154" s="126"/>
      <c r="L154" s="126"/>
      <c r="M154" s="126"/>
      <c r="N154" s="127"/>
      <c r="P154" s="8"/>
    </row>
    <row r="155" spans="1:14" s="910" customFormat="1" ht="18" customHeight="1">
      <c r="A155" s="443">
        <v>147</v>
      </c>
      <c r="B155" s="905"/>
      <c r="C155" s="906"/>
      <c r="D155" s="907" t="s">
        <v>303</v>
      </c>
      <c r="E155" s="908"/>
      <c r="F155" s="908"/>
      <c r="G155" s="1247"/>
      <c r="H155" s="909"/>
      <c r="I155" s="900">
        <f t="shared" si="2"/>
        <v>2500</v>
      </c>
      <c r="J155" s="901"/>
      <c r="K155" s="901"/>
      <c r="L155" s="901"/>
      <c r="M155" s="901"/>
      <c r="N155" s="902">
        <v>2500</v>
      </c>
    </row>
    <row r="156" spans="1:14" s="910" customFormat="1" ht="18" customHeight="1">
      <c r="A156" s="443">
        <v>148</v>
      </c>
      <c r="B156" s="905"/>
      <c r="C156" s="906"/>
      <c r="D156" s="436" t="s">
        <v>994</v>
      </c>
      <c r="E156" s="908"/>
      <c r="F156" s="908"/>
      <c r="G156" s="1247"/>
      <c r="H156" s="909"/>
      <c r="I156" s="426">
        <f t="shared" si="2"/>
        <v>2500</v>
      </c>
      <c r="J156" s="901"/>
      <c r="K156" s="901"/>
      <c r="L156" s="901"/>
      <c r="M156" s="901"/>
      <c r="N156" s="337">
        <v>2500</v>
      </c>
    </row>
    <row r="157" spans="1:14" s="910" customFormat="1" ht="18" customHeight="1">
      <c r="A157" s="443">
        <v>149</v>
      </c>
      <c r="B157" s="905"/>
      <c r="C157" s="906"/>
      <c r="D157" s="987" t="s">
        <v>1036</v>
      </c>
      <c r="E157" s="908"/>
      <c r="F157" s="908"/>
      <c r="G157" s="1247"/>
      <c r="H157" s="909"/>
      <c r="I157" s="990">
        <f t="shared" si="2"/>
        <v>2500</v>
      </c>
      <c r="J157" s="143"/>
      <c r="K157" s="143"/>
      <c r="L157" s="143"/>
      <c r="M157" s="143"/>
      <c r="N157" s="144">
        <v>2500</v>
      </c>
    </row>
    <row r="158" spans="1:16" s="3" customFormat="1" ht="22.5" customHeight="1">
      <c r="A158" s="443">
        <v>150</v>
      </c>
      <c r="B158" s="119"/>
      <c r="C158" s="120">
        <v>34</v>
      </c>
      <c r="D158" s="437" t="s">
        <v>66</v>
      </c>
      <c r="E158" s="122">
        <v>316697</v>
      </c>
      <c r="F158" s="122">
        <v>375300</v>
      </c>
      <c r="G158" s="1245">
        <v>378297</v>
      </c>
      <c r="H158" s="445" t="s">
        <v>24</v>
      </c>
      <c r="I158" s="426"/>
      <c r="J158" s="126"/>
      <c r="K158" s="126"/>
      <c r="L158" s="126"/>
      <c r="M158" s="126"/>
      <c r="N158" s="127"/>
      <c r="P158" s="8"/>
    </row>
    <row r="159" spans="1:14" s="910" customFormat="1" ht="18" customHeight="1">
      <c r="A159" s="443">
        <v>151</v>
      </c>
      <c r="B159" s="905"/>
      <c r="C159" s="906"/>
      <c r="D159" s="907" t="s">
        <v>303</v>
      </c>
      <c r="E159" s="908"/>
      <c r="F159" s="908"/>
      <c r="G159" s="1247"/>
      <c r="H159" s="909"/>
      <c r="I159" s="900">
        <f>SUM(J159:N159)</f>
        <v>392700</v>
      </c>
      <c r="J159" s="901"/>
      <c r="K159" s="901"/>
      <c r="L159" s="901">
        <v>140000</v>
      </c>
      <c r="M159" s="901"/>
      <c r="N159" s="902">
        <f>392700-140000</f>
        <v>252700</v>
      </c>
    </row>
    <row r="160" spans="1:14" s="910" customFormat="1" ht="18" customHeight="1">
      <c r="A160" s="443">
        <v>152</v>
      </c>
      <c r="B160" s="905"/>
      <c r="C160" s="906"/>
      <c r="D160" s="436" t="s">
        <v>994</v>
      </c>
      <c r="E160" s="908"/>
      <c r="F160" s="908"/>
      <c r="G160" s="1247"/>
      <c r="H160" s="909"/>
      <c r="I160" s="426">
        <f>SUM(J160:N160)</f>
        <v>185276</v>
      </c>
      <c r="J160" s="901"/>
      <c r="K160" s="901"/>
      <c r="L160" s="341">
        <f>71576-1076</f>
        <v>70500</v>
      </c>
      <c r="M160" s="341"/>
      <c r="N160" s="337">
        <f>113700+1076</f>
        <v>114776</v>
      </c>
    </row>
    <row r="161" spans="1:14" s="910" customFormat="1" ht="18" customHeight="1">
      <c r="A161" s="443">
        <v>153</v>
      </c>
      <c r="B161" s="905"/>
      <c r="C161" s="906"/>
      <c r="D161" s="987" t="s">
        <v>1035</v>
      </c>
      <c r="E161" s="908"/>
      <c r="F161" s="908"/>
      <c r="G161" s="1247"/>
      <c r="H161" s="909"/>
      <c r="I161" s="990">
        <f>SUM(J161:N161)</f>
        <v>185225</v>
      </c>
      <c r="J161" s="143"/>
      <c r="K161" s="143"/>
      <c r="L161" s="143">
        <v>70500</v>
      </c>
      <c r="M161" s="143"/>
      <c r="N161" s="144">
        <v>114725</v>
      </c>
    </row>
    <row r="162" spans="1:16" s="3" customFormat="1" ht="22.5" customHeight="1">
      <c r="A162" s="443">
        <v>154</v>
      </c>
      <c r="B162" s="119"/>
      <c r="C162" s="120">
        <v>35</v>
      </c>
      <c r="D162" s="437" t="s">
        <v>67</v>
      </c>
      <c r="E162" s="122">
        <v>2000</v>
      </c>
      <c r="F162" s="122">
        <v>2600</v>
      </c>
      <c r="G162" s="1245">
        <v>2600</v>
      </c>
      <c r="H162" s="445" t="s">
        <v>23</v>
      </c>
      <c r="I162" s="426"/>
      <c r="J162" s="126"/>
      <c r="K162" s="126"/>
      <c r="L162" s="126"/>
      <c r="M162" s="126"/>
      <c r="N162" s="127"/>
      <c r="P162" s="8"/>
    </row>
    <row r="163" spans="1:14" s="910" customFormat="1" ht="18" customHeight="1">
      <c r="A163" s="443">
        <v>155</v>
      </c>
      <c r="B163" s="905"/>
      <c r="C163" s="906"/>
      <c r="D163" s="907" t="s">
        <v>303</v>
      </c>
      <c r="E163" s="908"/>
      <c r="F163" s="908"/>
      <c r="G163" s="1247"/>
      <c r="H163" s="909"/>
      <c r="I163" s="900">
        <f>SUM(J163:N163)</f>
        <v>2210</v>
      </c>
      <c r="J163" s="901"/>
      <c r="K163" s="901"/>
      <c r="L163" s="901">
        <v>2210</v>
      </c>
      <c r="M163" s="901"/>
      <c r="N163" s="902"/>
    </row>
    <row r="164" spans="1:14" s="910" customFormat="1" ht="18" customHeight="1">
      <c r="A164" s="443">
        <v>156</v>
      </c>
      <c r="B164" s="905"/>
      <c r="C164" s="906"/>
      <c r="D164" s="436" t="s">
        <v>994</v>
      </c>
      <c r="E164" s="908"/>
      <c r="F164" s="908"/>
      <c r="G164" s="1247"/>
      <c r="H164" s="909"/>
      <c r="I164" s="426">
        <f>SUM(J164:N164)</f>
        <v>2210</v>
      </c>
      <c r="J164" s="901"/>
      <c r="K164" s="901"/>
      <c r="L164" s="341">
        <v>2210</v>
      </c>
      <c r="M164" s="901"/>
      <c r="N164" s="902"/>
    </row>
    <row r="165" spans="1:14" s="910" customFormat="1" ht="18" customHeight="1">
      <c r="A165" s="443">
        <v>157</v>
      </c>
      <c r="B165" s="905"/>
      <c r="C165" s="906"/>
      <c r="D165" s="987" t="s">
        <v>1036</v>
      </c>
      <c r="E165" s="908"/>
      <c r="F165" s="908"/>
      <c r="G165" s="1247"/>
      <c r="H165" s="909"/>
      <c r="I165" s="426">
        <f>SUM(J165:N165)</f>
        <v>2210</v>
      </c>
      <c r="J165" s="341"/>
      <c r="K165" s="341"/>
      <c r="L165" s="143">
        <v>2210</v>
      </c>
      <c r="M165" s="341"/>
      <c r="N165" s="337"/>
    </row>
    <row r="166" spans="1:16" s="3" customFormat="1" ht="22.5" customHeight="1">
      <c r="A166" s="443">
        <v>158</v>
      </c>
      <c r="B166" s="119"/>
      <c r="C166" s="120">
        <v>36</v>
      </c>
      <c r="D166" s="437" t="s">
        <v>68</v>
      </c>
      <c r="E166" s="122">
        <v>9486</v>
      </c>
      <c r="F166" s="122">
        <v>9000</v>
      </c>
      <c r="G166" s="1245">
        <v>7884</v>
      </c>
      <c r="H166" s="445" t="s">
        <v>23</v>
      </c>
      <c r="I166" s="426"/>
      <c r="J166" s="126"/>
      <c r="K166" s="126"/>
      <c r="L166" s="126"/>
      <c r="M166" s="126"/>
      <c r="N166" s="127"/>
      <c r="P166" s="8"/>
    </row>
    <row r="167" spans="1:14" s="910" customFormat="1" ht="18" customHeight="1">
      <c r="A167" s="443">
        <v>159</v>
      </c>
      <c r="B167" s="905"/>
      <c r="C167" s="906"/>
      <c r="D167" s="907" t="s">
        <v>303</v>
      </c>
      <c r="E167" s="908"/>
      <c r="F167" s="908"/>
      <c r="G167" s="1247"/>
      <c r="H167" s="909"/>
      <c r="I167" s="900">
        <f>SUM(J167:N167)</f>
        <v>7650</v>
      </c>
      <c r="J167" s="901"/>
      <c r="K167" s="901"/>
      <c r="L167" s="901">
        <v>7650</v>
      </c>
      <c r="M167" s="901"/>
      <c r="N167" s="902"/>
    </row>
    <row r="168" spans="1:14" s="910" customFormat="1" ht="18" customHeight="1">
      <c r="A168" s="443">
        <v>160</v>
      </c>
      <c r="B168" s="905"/>
      <c r="C168" s="906"/>
      <c r="D168" s="436" t="s">
        <v>994</v>
      </c>
      <c r="E168" s="908"/>
      <c r="F168" s="908"/>
      <c r="G168" s="1247"/>
      <c r="H168" s="909"/>
      <c r="I168" s="426">
        <f>SUM(J168:N168)</f>
        <v>6030</v>
      </c>
      <c r="J168" s="901"/>
      <c r="K168" s="901"/>
      <c r="L168" s="341">
        <v>4530</v>
      </c>
      <c r="M168" s="341"/>
      <c r="N168" s="337">
        <v>1500</v>
      </c>
    </row>
    <row r="169" spans="1:14" s="910" customFormat="1" ht="18" customHeight="1">
      <c r="A169" s="443">
        <v>161</v>
      </c>
      <c r="B169" s="905"/>
      <c r="C169" s="906"/>
      <c r="D169" s="987" t="s">
        <v>1035</v>
      </c>
      <c r="E169" s="908"/>
      <c r="F169" s="908"/>
      <c r="G169" s="1247"/>
      <c r="H169" s="909"/>
      <c r="I169" s="426">
        <f>SUM(J169:N169)</f>
        <v>5946</v>
      </c>
      <c r="J169" s="341"/>
      <c r="K169" s="341"/>
      <c r="L169" s="143">
        <v>4446</v>
      </c>
      <c r="M169" s="143"/>
      <c r="N169" s="144">
        <v>1500</v>
      </c>
    </row>
    <row r="170" spans="1:14" s="8" customFormat="1" ht="22.5" customHeight="1">
      <c r="A170" s="443">
        <v>162</v>
      </c>
      <c r="B170" s="123"/>
      <c r="C170" s="120">
        <v>37</v>
      </c>
      <c r="D170" s="436" t="s">
        <v>398</v>
      </c>
      <c r="E170" s="122">
        <v>41004</v>
      </c>
      <c r="F170" s="122">
        <v>52450</v>
      </c>
      <c r="G170" s="1245">
        <v>43834</v>
      </c>
      <c r="H170" s="445" t="s">
        <v>23</v>
      </c>
      <c r="I170" s="426"/>
      <c r="J170" s="126"/>
      <c r="K170" s="126"/>
      <c r="L170" s="126"/>
      <c r="M170" s="126"/>
      <c r="N170" s="127"/>
    </row>
    <row r="171" spans="1:14" s="910" customFormat="1" ht="18" customHeight="1">
      <c r="A171" s="443">
        <v>163</v>
      </c>
      <c r="B171" s="905"/>
      <c r="C171" s="906"/>
      <c r="D171" s="907" t="s">
        <v>303</v>
      </c>
      <c r="E171" s="908"/>
      <c r="F171" s="908"/>
      <c r="G171" s="1247"/>
      <c r="H171" s="909"/>
      <c r="I171" s="900">
        <f>SUM(J171:N171)</f>
        <v>46997</v>
      </c>
      <c r="J171" s="901"/>
      <c r="K171" s="901"/>
      <c r="L171" s="901">
        <v>46997</v>
      </c>
      <c r="M171" s="901"/>
      <c r="N171" s="902"/>
    </row>
    <row r="172" spans="1:14" s="910" customFormat="1" ht="18" customHeight="1">
      <c r="A172" s="443">
        <v>164</v>
      </c>
      <c r="B172" s="905"/>
      <c r="C172" s="906"/>
      <c r="D172" s="436" t="s">
        <v>994</v>
      </c>
      <c r="E172" s="908"/>
      <c r="F172" s="908"/>
      <c r="G172" s="1247"/>
      <c r="H172" s="909"/>
      <c r="I172" s="426">
        <f>SUM(J172:N172)</f>
        <v>56997</v>
      </c>
      <c r="J172" s="901"/>
      <c r="K172" s="901"/>
      <c r="L172" s="341">
        <v>56997</v>
      </c>
      <c r="M172" s="901"/>
      <c r="N172" s="902"/>
    </row>
    <row r="173" spans="1:14" s="910" customFormat="1" ht="18" customHeight="1">
      <c r="A173" s="443">
        <v>165</v>
      </c>
      <c r="B173" s="905"/>
      <c r="C173" s="906"/>
      <c r="D173" s="987" t="s">
        <v>1035</v>
      </c>
      <c r="E173" s="908"/>
      <c r="F173" s="908"/>
      <c r="G173" s="1247"/>
      <c r="H173" s="909"/>
      <c r="I173" s="990">
        <f>SUM(J173:N173)</f>
        <v>48445</v>
      </c>
      <c r="J173" s="143"/>
      <c r="K173" s="143"/>
      <c r="L173" s="143">
        <v>48445</v>
      </c>
      <c r="M173" s="143"/>
      <c r="N173" s="144"/>
    </row>
    <row r="174" spans="1:16" s="3" customFormat="1" ht="22.5" customHeight="1">
      <c r="A174" s="443">
        <v>166</v>
      </c>
      <c r="B174" s="119"/>
      <c r="C174" s="120">
        <v>38</v>
      </c>
      <c r="D174" s="437" t="s">
        <v>69</v>
      </c>
      <c r="E174" s="122">
        <v>4781</v>
      </c>
      <c r="F174" s="122">
        <v>2500</v>
      </c>
      <c r="G174" s="1245">
        <v>2920</v>
      </c>
      <c r="H174" s="445" t="s">
        <v>23</v>
      </c>
      <c r="I174" s="429"/>
      <c r="J174" s="133"/>
      <c r="K174" s="133"/>
      <c r="L174" s="133"/>
      <c r="M174" s="133"/>
      <c r="N174" s="134"/>
      <c r="O174" s="8"/>
      <c r="P174" s="8"/>
    </row>
    <row r="175" spans="1:14" s="910" customFormat="1" ht="18" customHeight="1">
      <c r="A175" s="443">
        <v>167</v>
      </c>
      <c r="B175" s="905"/>
      <c r="C175" s="906"/>
      <c r="D175" s="907" t="s">
        <v>303</v>
      </c>
      <c r="E175" s="908"/>
      <c r="F175" s="908"/>
      <c r="G175" s="1247"/>
      <c r="H175" s="909"/>
      <c r="I175" s="900">
        <f>SUM(J175:N175)</f>
        <v>2125</v>
      </c>
      <c r="J175" s="901"/>
      <c r="K175" s="901"/>
      <c r="L175" s="901">
        <v>2125</v>
      </c>
      <c r="M175" s="901"/>
      <c r="N175" s="902"/>
    </row>
    <row r="176" spans="1:14" s="910" customFormat="1" ht="18" customHeight="1">
      <c r="A176" s="443">
        <v>168</v>
      </c>
      <c r="B176" s="905"/>
      <c r="C176" s="906"/>
      <c r="D176" s="436" t="s">
        <v>994</v>
      </c>
      <c r="E176" s="908"/>
      <c r="F176" s="908"/>
      <c r="G176" s="1247"/>
      <c r="H176" s="909"/>
      <c r="I176" s="426">
        <f>SUM(J176:N176)</f>
        <v>2125</v>
      </c>
      <c r="J176" s="901"/>
      <c r="K176" s="901"/>
      <c r="L176" s="341">
        <v>1125</v>
      </c>
      <c r="M176" s="901"/>
      <c r="N176" s="337">
        <v>1000</v>
      </c>
    </row>
    <row r="177" spans="1:14" s="910" customFormat="1" ht="18" customHeight="1">
      <c r="A177" s="443">
        <v>169</v>
      </c>
      <c r="B177" s="905"/>
      <c r="C177" s="906"/>
      <c r="D177" s="987" t="s">
        <v>1035</v>
      </c>
      <c r="E177" s="908"/>
      <c r="F177" s="908"/>
      <c r="G177" s="1247"/>
      <c r="H177" s="909"/>
      <c r="I177" s="990">
        <f>SUM(J177:N177)</f>
        <v>1829</v>
      </c>
      <c r="J177" s="143"/>
      <c r="K177" s="143"/>
      <c r="L177" s="143">
        <v>829</v>
      </c>
      <c r="M177" s="143"/>
      <c r="N177" s="144">
        <v>1000</v>
      </c>
    </row>
    <row r="178" spans="1:16" s="1447" customFormat="1" ht="22.5" customHeight="1">
      <c r="A178" s="443">
        <v>170</v>
      </c>
      <c r="B178" s="438"/>
      <c r="C178" s="120">
        <v>39</v>
      </c>
      <c r="D178" s="437" t="s">
        <v>11</v>
      </c>
      <c r="E178" s="122">
        <v>37560</v>
      </c>
      <c r="F178" s="122">
        <v>38100</v>
      </c>
      <c r="G178" s="1245">
        <v>38100</v>
      </c>
      <c r="H178" s="445" t="s">
        <v>24</v>
      </c>
      <c r="I178" s="429"/>
      <c r="J178" s="133"/>
      <c r="K178" s="133"/>
      <c r="L178" s="133"/>
      <c r="M178" s="133"/>
      <c r="N178" s="134"/>
      <c r="O178" s="1448"/>
      <c r="P178" s="1448"/>
    </row>
    <row r="179" spans="1:14" s="910" customFormat="1" ht="18" customHeight="1">
      <c r="A179" s="443">
        <v>171</v>
      </c>
      <c r="B179" s="905"/>
      <c r="C179" s="906"/>
      <c r="D179" s="907" t="s">
        <v>303</v>
      </c>
      <c r="E179" s="908"/>
      <c r="F179" s="908"/>
      <c r="G179" s="1247"/>
      <c r="H179" s="909"/>
      <c r="I179" s="900">
        <f>SUM(J179:N179)</f>
        <v>38100</v>
      </c>
      <c r="J179" s="901"/>
      <c r="K179" s="901"/>
      <c r="L179" s="901">
        <v>38100</v>
      </c>
      <c r="M179" s="901"/>
      <c r="N179" s="902"/>
    </row>
    <row r="180" spans="1:14" s="910" customFormat="1" ht="18" customHeight="1">
      <c r="A180" s="443">
        <v>172</v>
      </c>
      <c r="B180" s="905"/>
      <c r="C180" s="906"/>
      <c r="D180" s="436" t="s">
        <v>994</v>
      </c>
      <c r="E180" s="908"/>
      <c r="F180" s="908"/>
      <c r="G180" s="1247"/>
      <c r="H180" s="909"/>
      <c r="I180" s="426">
        <f>SUM(J180:N180)</f>
        <v>38100</v>
      </c>
      <c r="J180" s="901"/>
      <c r="K180" s="901"/>
      <c r="L180" s="341">
        <v>38100</v>
      </c>
      <c r="M180" s="901"/>
      <c r="N180" s="902"/>
    </row>
    <row r="181" spans="1:14" s="910" customFormat="1" ht="18" customHeight="1">
      <c r="A181" s="443">
        <v>173</v>
      </c>
      <c r="B181" s="905"/>
      <c r="C181" s="906"/>
      <c r="D181" s="987" t="s">
        <v>1036</v>
      </c>
      <c r="E181" s="908"/>
      <c r="F181" s="908"/>
      <c r="G181" s="1247"/>
      <c r="H181" s="909"/>
      <c r="I181" s="990">
        <f>SUM(J181:N181)</f>
        <v>38100</v>
      </c>
      <c r="J181" s="143"/>
      <c r="K181" s="143"/>
      <c r="L181" s="143">
        <v>38100</v>
      </c>
      <c r="M181" s="143"/>
      <c r="N181" s="144"/>
    </row>
    <row r="182" spans="1:16" s="1447" customFormat="1" ht="22.5" customHeight="1">
      <c r="A182" s="443">
        <v>174</v>
      </c>
      <c r="B182" s="438"/>
      <c r="C182" s="120">
        <v>40</v>
      </c>
      <c r="D182" s="437" t="s">
        <v>70</v>
      </c>
      <c r="E182" s="122">
        <v>4582</v>
      </c>
      <c r="F182" s="122">
        <v>4000</v>
      </c>
      <c r="G182" s="1245">
        <v>4366</v>
      </c>
      <c r="H182" s="445" t="s">
        <v>24</v>
      </c>
      <c r="I182" s="429"/>
      <c r="J182" s="133"/>
      <c r="K182" s="133"/>
      <c r="L182" s="133"/>
      <c r="M182" s="133"/>
      <c r="N182" s="134"/>
      <c r="O182" s="1448"/>
      <c r="P182" s="1448"/>
    </row>
    <row r="183" spans="1:14" s="910" customFormat="1" ht="18" customHeight="1">
      <c r="A183" s="443">
        <v>175</v>
      </c>
      <c r="B183" s="905"/>
      <c r="C183" s="906"/>
      <c r="D183" s="907" t="s">
        <v>303</v>
      </c>
      <c r="E183" s="908"/>
      <c r="F183" s="908"/>
      <c r="G183" s="1247"/>
      <c r="H183" s="909"/>
      <c r="I183" s="900">
        <f>SUM(J183:N183)</f>
        <v>4250</v>
      </c>
      <c r="J183" s="901"/>
      <c r="K183" s="901"/>
      <c r="L183" s="901">
        <v>4250</v>
      </c>
      <c r="M183" s="901"/>
      <c r="N183" s="902"/>
    </row>
    <row r="184" spans="1:14" s="910" customFormat="1" ht="18" customHeight="1">
      <c r="A184" s="443">
        <v>176</v>
      </c>
      <c r="B184" s="905"/>
      <c r="C184" s="906"/>
      <c r="D184" s="436" t="s">
        <v>994</v>
      </c>
      <c r="E184" s="908"/>
      <c r="F184" s="908"/>
      <c r="G184" s="1247"/>
      <c r="H184" s="909"/>
      <c r="I184" s="426">
        <f>SUM(J184:N184)</f>
        <v>4050</v>
      </c>
      <c r="J184" s="901"/>
      <c r="K184" s="901"/>
      <c r="L184" s="341">
        <v>4050</v>
      </c>
      <c r="M184" s="901"/>
      <c r="N184" s="902"/>
    </row>
    <row r="185" spans="1:14" s="910" customFormat="1" ht="18" customHeight="1">
      <c r="A185" s="443">
        <v>177</v>
      </c>
      <c r="B185" s="905"/>
      <c r="C185" s="906"/>
      <c r="D185" s="987" t="s">
        <v>1035</v>
      </c>
      <c r="E185" s="908"/>
      <c r="F185" s="908"/>
      <c r="G185" s="1247"/>
      <c r="H185" s="909"/>
      <c r="I185" s="990">
        <f>SUM(J185:N185)</f>
        <v>1624</v>
      </c>
      <c r="J185" s="143"/>
      <c r="K185" s="143"/>
      <c r="L185" s="143">
        <v>1624</v>
      </c>
      <c r="M185" s="143"/>
      <c r="N185" s="144"/>
    </row>
    <row r="186" spans="1:16" s="1447" customFormat="1" ht="22.5" customHeight="1">
      <c r="A186" s="443">
        <v>178</v>
      </c>
      <c r="B186" s="438"/>
      <c r="C186" s="120">
        <v>41</v>
      </c>
      <c r="D186" s="437" t="s">
        <v>71</v>
      </c>
      <c r="E186" s="122">
        <f>SUM(E190,E194,E198,E202)</f>
        <v>6198</v>
      </c>
      <c r="F186" s="122">
        <f>SUM(F190,F194,F198,F202)</f>
        <v>6100</v>
      </c>
      <c r="G186" s="1245">
        <f>SUM(G190,G194,G198,G202)</f>
        <v>6240</v>
      </c>
      <c r="H186" s="445" t="s">
        <v>24</v>
      </c>
      <c r="I186" s="429"/>
      <c r="J186" s="133"/>
      <c r="K186" s="133"/>
      <c r="L186" s="133"/>
      <c r="M186" s="133"/>
      <c r="N186" s="134"/>
      <c r="O186" s="1448"/>
      <c r="P186" s="1448"/>
    </row>
    <row r="187" spans="1:14" s="910" customFormat="1" ht="18" customHeight="1">
      <c r="A187" s="443">
        <v>179</v>
      </c>
      <c r="B187" s="905"/>
      <c r="C187" s="906"/>
      <c r="D187" s="907" t="s">
        <v>303</v>
      </c>
      <c r="E187" s="908"/>
      <c r="F187" s="908"/>
      <c r="G187" s="1247"/>
      <c r="H187" s="909"/>
      <c r="I187" s="900">
        <f>SUM(J187:N187)</f>
        <v>9435</v>
      </c>
      <c r="J187" s="904">
        <f aca="true" t="shared" si="3" ref="J187:N188">SUM(J191,J195,J199,J203)</f>
        <v>0</v>
      </c>
      <c r="K187" s="904">
        <f t="shared" si="3"/>
        <v>0</v>
      </c>
      <c r="L187" s="904">
        <f t="shared" si="3"/>
        <v>425</v>
      </c>
      <c r="M187" s="904">
        <f t="shared" si="3"/>
        <v>0</v>
      </c>
      <c r="N187" s="902">
        <f t="shared" si="3"/>
        <v>9010</v>
      </c>
    </row>
    <row r="188" spans="1:14" s="910" customFormat="1" ht="18" customHeight="1">
      <c r="A188" s="443">
        <v>180</v>
      </c>
      <c r="B188" s="905"/>
      <c r="C188" s="906"/>
      <c r="D188" s="436" t="s">
        <v>994</v>
      </c>
      <c r="E188" s="908"/>
      <c r="F188" s="908"/>
      <c r="G188" s="1247"/>
      <c r="H188" s="909"/>
      <c r="I188" s="426">
        <f>SUM(J188:N188)</f>
        <v>0</v>
      </c>
      <c r="J188" s="996">
        <f t="shared" si="3"/>
        <v>0</v>
      </c>
      <c r="K188" s="996">
        <f t="shared" si="3"/>
        <v>0</v>
      </c>
      <c r="L188" s="996">
        <f t="shared" si="3"/>
        <v>0</v>
      </c>
      <c r="M188" s="996">
        <f t="shared" si="3"/>
        <v>0</v>
      </c>
      <c r="N188" s="337">
        <f t="shared" si="3"/>
        <v>0</v>
      </c>
    </row>
    <row r="189" spans="1:14" s="910" customFormat="1" ht="18" customHeight="1">
      <c r="A189" s="443">
        <v>181</v>
      </c>
      <c r="B189" s="905"/>
      <c r="C189" s="906"/>
      <c r="D189" s="987" t="s">
        <v>1036</v>
      </c>
      <c r="E189" s="908"/>
      <c r="F189" s="908"/>
      <c r="G189" s="1247"/>
      <c r="H189" s="909"/>
      <c r="I189" s="990">
        <f>SUM(J189:N189)</f>
        <v>0</v>
      </c>
      <c r="J189" s="133">
        <f>J193+J197+J201+J205</f>
        <v>0</v>
      </c>
      <c r="K189" s="133">
        <f>K193+K197+K201+K205</f>
        <v>0</v>
      </c>
      <c r="L189" s="133">
        <f>L193+L197+L201+L205</f>
        <v>0</v>
      </c>
      <c r="M189" s="133">
        <f>M193+M197+M201+M205</f>
        <v>0</v>
      </c>
      <c r="N189" s="134">
        <f>N193+N197+N201+N205</f>
        <v>0</v>
      </c>
    </row>
    <row r="190" spans="1:16" s="453" customFormat="1" ht="18" customHeight="1">
      <c r="A190" s="443">
        <v>182</v>
      </c>
      <c r="B190" s="131"/>
      <c r="C190" s="124"/>
      <c r="D190" s="338" t="s">
        <v>72</v>
      </c>
      <c r="E190" s="122"/>
      <c r="F190" s="132"/>
      <c r="G190" s="1248"/>
      <c r="H190" s="446"/>
      <c r="I190" s="428"/>
      <c r="J190" s="133"/>
      <c r="K190" s="133"/>
      <c r="L190" s="133"/>
      <c r="M190" s="133"/>
      <c r="N190" s="144"/>
      <c r="P190" s="454"/>
    </row>
    <row r="191" spans="1:16" s="928" customFormat="1" ht="18" customHeight="1">
      <c r="A191" s="443">
        <v>183</v>
      </c>
      <c r="B191" s="917"/>
      <c r="C191" s="906"/>
      <c r="D191" s="926" t="s">
        <v>303</v>
      </c>
      <c r="E191" s="908"/>
      <c r="F191" s="919"/>
      <c r="G191" s="1251"/>
      <c r="H191" s="920"/>
      <c r="I191" s="903">
        <f>SUM(J191:N191)</f>
        <v>4250</v>
      </c>
      <c r="J191" s="921"/>
      <c r="K191" s="921"/>
      <c r="L191" s="921"/>
      <c r="M191" s="921"/>
      <c r="N191" s="922">
        <v>4250</v>
      </c>
      <c r="P191" s="929"/>
    </row>
    <row r="192" spans="1:16" s="928" customFormat="1" ht="18" customHeight="1">
      <c r="A192" s="443">
        <v>184</v>
      </c>
      <c r="B192" s="917"/>
      <c r="C192" s="906"/>
      <c r="D192" s="993" t="s">
        <v>994</v>
      </c>
      <c r="E192" s="908"/>
      <c r="F192" s="919"/>
      <c r="G192" s="1251"/>
      <c r="H192" s="920"/>
      <c r="I192" s="428">
        <f>SUM(J192:N192)</f>
        <v>0</v>
      </c>
      <c r="J192" s="921"/>
      <c r="K192" s="921"/>
      <c r="L192" s="921"/>
      <c r="M192" s="921"/>
      <c r="N192" s="992">
        <v>0</v>
      </c>
      <c r="P192" s="929"/>
    </row>
    <row r="193" spans="1:16" s="928" customFormat="1" ht="18" customHeight="1">
      <c r="A193" s="443">
        <v>185</v>
      </c>
      <c r="B193" s="917"/>
      <c r="C193" s="906"/>
      <c r="D193" s="994" t="s">
        <v>1040</v>
      </c>
      <c r="E193" s="908"/>
      <c r="F193" s="919"/>
      <c r="G193" s="1251"/>
      <c r="H193" s="920"/>
      <c r="I193" s="990">
        <f>SUM(J193:N193)</f>
        <v>0</v>
      </c>
      <c r="J193" s="143"/>
      <c r="K193" s="143"/>
      <c r="L193" s="143"/>
      <c r="M193" s="143"/>
      <c r="N193" s="144">
        <v>0</v>
      </c>
      <c r="P193" s="929"/>
    </row>
    <row r="194" spans="1:16" s="453" customFormat="1" ht="18" customHeight="1">
      <c r="A194" s="443">
        <v>186</v>
      </c>
      <c r="B194" s="131"/>
      <c r="C194" s="124"/>
      <c r="D194" s="338" t="s">
        <v>73</v>
      </c>
      <c r="E194" s="132">
        <v>5098</v>
      </c>
      <c r="F194" s="132">
        <v>5000</v>
      </c>
      <c r="G194" s="1248">
        <v>5140</v>
      </c>
      <c r="H194" s="446"/>
      <c r="I194" s="429"/>
      <c r="J194" s="133"/>
      <c r="K194" s="133"/>
      <c r="L194" s="133"/>
      <c r="M194" s="133"/>
      <c r="N194" s="134"/>
      <c r="P194" s="454"/>
    </row>
    <row r="195" spans="1:16" s="928" customFormat="1" ht="18" customHeight="1">
      <c r="A195" s="443">
        <v>187</v>
      </c>
      <c r="B195" s="917"/>
      <c r="C195" s="906"/>
      <c r="D195" s="926" t="s">
        <v>303</v>
      </c>
      <c r="E195" s="919"/>
      <c r="F195" s="919"/>
      <c r="G195" s="1251"/>
      <c r="H195" s="920"/>
      <c r="I195" s="903">
        <f>SUM(J195:N195)</f>
        <v>4250</v>
      </c>
      <c r="J195" s="921"/>
      <c r="K195" s="921"/>
      <c r="L195" s="921"/>
      <c r="M195" s="921"/>
      <c r="N195" s="922">
        <v>4250</v>
      </c>
      <c r="P195" s="929"/>
    </row>
    <row r="196" spans="1:16" s="928" customFormat="1" ht="18" customHeight="1">
      <c r="A196" s="443">
        <v>188</v>
      </c>
      <c r="B196" s="917"/>
      <c r="C196" s="906"/>
      <c r="D196" s="993" t="s">
        <v>994</v>
      </c>
      <c r="E196" s="919"/>
      <c r="F196" s="919"/>
      <c r="G196" s="1251"/>
      <c r="H196" s="920"/>
      <c r="I196" s="428">
        <f>SUM(J196:N196)</f>
        <v>0</v>
      </c>
      <c r="J196" s="921"/>
      <c r="K196" s="921"/>
      <c r="L196" s="921"/>
      <c r="M196" s="921"/>
      <c r="N196" s="992">
        <v>0</v>
      </c>
      <c r="P196" s="929"/>
    </row>
    <row r="197" spans="1:16" s="928" customFormat="1" ht="18" customHeight="1">
      <c r="A197" s="443">
        <v>189</v>
      </c>
      <c r="B197" s="917"/>
      <c r="C197" s="906"/>
      <c r="D197" s="994" t="s">
        <v>1036</v>
      </c>
      <c r="E197" s="919"/>
      <c r="F197" s="919"/>
      <c r="G197" s="1251"/>
      <c r="H197" s="920"/>
      <c r="I197" s="990">
        <f>SUM(J197:N197)</f>
        <v>0</v>
      </c>
      <c r="J197" s="143"/>
      <c r="K197" s="143"/>
      <c r="L197" s="143"/>
      <c r="M197" s="143"/>
      <c r="N197" s="144">
        <v>0</v>
      </c>
      <c r="P197" s="929"/>
    </row>
    <row r="198" spans="1:16" s="453" customFormat="1" ht="18" customHeight="1">
      <c r="A198" s="443">
        <v>190</v>
      </c>
      <c r="B198" s="131"/>
      <c r="C198" s="124"/>
      <c r="D198" s="338" t="s">
        <v>742</v>
      </c>
      <c r="E198" s="132">
        <v>500</v>
      </c>
      <c r="F198" s="132">
        <v>500</v>
      </c>
      <c r="G198" s="1248">
        <v>500</v>
      </c>
      <c r="H198" s="446"/>
      <c r="I198" s="429"/>
      <c r="J198" s="133"/>
      <c r="K198" s="133"/>
      <c r="L198" s="133"/>
      <c r="M198" s="133"/>
      <c r="N198" s="134"/>
      <c r="P198" s="454"/>
    </row>
    <row r="199" spans="1:16" s="928" customFormat="1" ht="18" customHeight="1">
      <c r="A199" s="443">
        <v>191</v>
      </c>
      <c r="B199" s="917"/>
      <c r="C199" s="906"/>
      <c r="D199" s="926" t="s">
        <v>303</v>
      </c>
      <c r="E199" s="919"/>
      <c r="F199" s="919"/>
      <c r="G199" s="1251"/>
      <c r="H199" s="920"/>
      <c r="I199" s="903">
        <f>SUM(J199:N199)</f>
        <v>425</v>
      </c>
      <c r="J199" s="921"/>
      <c r="K199" s="921"/>
      <c r="L199" s="921">
        <v>425</v>
      </c>
      <c r="M199" s="921"/>
      <c r="N199" s="922"/>
      <c r="P199" s="929"/>
    </row>
    <row r="200" spans="1:16" s="928" customFormat="1" ht="18" customHeight="1">
      <c r="A200" s="443">
        <v>192</v>
      </c>
      <c r="B200" s="917"/>
      <c r="C200" s="906"/>
      <c r="D200" s="993" t="s">
        <v>994</v>
      </c>
      <c r="E200" s="919"/>
      <c r="F200" s="919"/>
      <c r="G200" s="1251"/>
      <c r="H200" s="920"/>
      <c r="I200" s="428">
        <f>SUM(J200:N200)</f>
        <v>0</v>
      </c>
      <c r="J200" s="921"/>
      <c r="K200" s="921"/>
      <c r="L200" s="991">
        <f>425-425</f>
        <v>0</v>
      </c>
      <c r="M200" s="921"/>
      <c r="N200" s="922"/>
      <c r="P200" s="929"/>
    </row>
    <row r="201" spans="1:16" s="928" customFormat="1" ht="18" customHeight="1">
      <c r="A201" s="443">
        <v>193</v>
      </c>
      <c r="B201" s="917"/>
      <c r="C201" s="906"/>
      <c r="D201" s="994" t="s">
        <v>1036</v>
      </c>
      <c r="E201" s="919"/>
      <c r="F201" s="919"/>
      <c r="G201" s="1251"/>
      <c r="H201" s="920"/>
      <c r="I201" s="990">
        <f>SUM(J201:N201)</f>
        <v>0</v>
      </c>
      <c r="J201" s="143"/>
      <c r="K201" s="143"/>
      <c r="L201" s="143">
        <v>0</v>
      </c>
      <c r="M201" s="143"/>
      <c r="N201" s="144"/>
      <c r="P201" s="929"/>
    </row>
    <row r="202" spans="1:16" s="453" customFormat="1" ht="18" customHeight="1">
      <c r="A202" s="443">
        <v>194</v>
      </c>
      <c r="B202" s="131"/>
      <c r="C202" s="124"/>
      <c r="D202" s="338" t="s">
        <v>743</v>
      </c>
      <c r="E202" s="132">
        <v>600</v>
      </c>
      <c r="F202" s="132">
        <v>600</v>
      </c>
      <c r="G202" s="1248">
        <v>600</v>
      </c>
      <c r="H202" s="446"/>
      <c r="I202" s="429"/>
      <c r="J202" s="133"/>
      <c r="K202" s="133"/>
      <c r="L202" s="133"/>
      <c r="M202" s="133"/>
      <c r="N202" s="134"/>
      <c r="P202" s="454"/>
    </row>
    <row r="203" spans="1:16" s="928" customFormat="1" ht="18" customHeight="1">
      <c r="A203" s="443">
        <v>195</v>
      </c>
      <c r="B203" s="917"/>
      <c r="C203" s="906"/>
      <c r="D203" s="926" t="s">
        <v>303</v>
      </c>
      <c r="E203" s="908"/>
      <c r="F203" s="919"/>
      <c r="G203" s="1251"/>
      <c r="H203" s="920"/>
      <c r="I203" s="903">
        <f>SUM(J203:N203)</f>
        <v>510</v>
      </c>
      <c r="J203" s="921"/>
      <c r="K203" s="921"/>
      <c r="L203" s="921"/>
      <c r="M203" s="921"/>
      <c r="N203" s="922">
        <v>510</v>
      </c>
      <c r="P203" s="929"/>
    </row>
    <row r="204" spans="1:16" s="928" customFormat="1" ht="18" customHeight="1">
      <c r="A204" s="443">
        <v>196</v>
      </c>
      <c r="B204" s="917"/>
      <c r="C204" s="906"/>
      <c r="D204" s="993" t="s">
        <v>994</v>
      </c>
      <c r="E204" s="908"/>
      <c r="F204" s="919"/>
      <c r="G204" s="1251"/>
      <c r="H204" s="920"/>
      <c r="I204" s="428">
        <f>SUM(J204:N204)</f>
        <v>0</v>
      </c>
      <c r="J204" s="921"/>
      <c r="K204" s="921"/>
      <c r="L204" s="921"/>
      <c r="M204" s="921"/>
      <c r="N204" s="992">
        <v>0</v>
      </c>
      <c r="P204" s="929"/>
    </row>
    <row r="205" spans="1:16" s="928" customFormat="1" ht="18" customHeight="1">
      <c r="A205" s="443">
        <v>197</v>
      </c>
      <c r="B205" s="917"/>
      <c r="C205" s="906"/>
      <c r="D205" s="994" t="s">
        <v>1040</v>
      </c>
      <c r="E205" s="908"/>
      <c r="F205" s="919"/>
      <c r="G205" s="1251"/>
      <c r="H205" s="920"/>
      <c r="I205" s="990">
        <f>SUM(J205:N205)</f>
        <v>0</v>
      </c>
      <c r="J205" s="143"/>
      <c r="K205" s="143"/>
      <c r="L205" s="143"/>
      <c r="M205" s="143"/>
      <c r="N205" s="144">
        <v>0</v>
      </c>
      <c r="P205" s="929"/>
    </row>
    <row r="206" spans="1:16" s="1447" customFormat="1" ht="22.5" customHeight="1">
      <c r="A206" s="443">
        <v>198</v>
      </c>
      <c r="B206" s="438"/>
      <c r="C206" s="120">
        <v>42</v>
      </c>
      <c r="D206" s="437" t="s">
        <v>399</v>
      </c>
      <c r="E206" s="122">
        <f>SUM(E210,E214,E218,E222)</f>
        <v>15620</v>
      </c>
      <c r="F206" s="122">
        <f>SUM(F210,F214,F218,F222)</f>
        <v>23600</v>
      </c>
      <c r="G206" s="1245">
        <f>SUM(G210,G214,G218,G222)</f>
        <v>13522</v>
      </c>
      <c r="H206" s="445" t="s">
        <v>24</v>
      </c>
      <c r="I206" s="429"/>
      <c r="J206" s="133"/>
      <c r="K206" s="133"/>
      <c r="L206" s="133"/>
      <c r="M206" s="133"/>
      <c r="N206" s="134"/>
      <c r="O206" s="1448"/>
      <c r="P206" s="1448"/>
    </row>
    <row r="207" spans="1:14" s="910" customFormat="1" ht="18" customHeight="1">
      <c r="A207" s="443">
        <v>199</v>
      </c>
      <c r="B207" s="905"/>
      <c r="C207" s="906"/>
      <c r="D207" s="907" t="s">
        <v>303</v>
      </c>
      <c r="E207" s="908"/>
      <c r="F207" s="908"/>
      <c r="G207" s="1247"/>
      <c r="H207" s="909"/>
      <c r="I207" s="900">
        <f>SUM(J207:N207)</f>
        <v>20060</v>
      </c>
      <c r="J207" s="904">
        <f aca="true" t="shared" si="4" ref="J207:N208">SUM(J211,J215,J219,J223)</f>
        <v>0</v>
      </c>
      <c r="K207" s="904">
        <f t="shared" si="4"/>
        <v>0</v>
      </c>
      <c r="L207" s="904">
        <f t="shared" si="4"/>
        <v>3400</v>
      </c>
      <c r="M207" s="904">
        <f t="shared" si="4"/>
        <v>0</v>
      </c>
      <c r="N207" s="902">
        <f t="shared" si="4"/>
        <v>16660</v>
      </c>
    </row>
    <row r="208" spans="1:14" s="910" customFormat="1" ht="18" customHeight="1">
      <c r="A208" s="443">
        <v>200</v>
      </c>
      <c r="B208" s="905"/>
      <c r="C208" s="906"/>
      <c r="D208" s="436" t="s">
        <v>994</v>
      </c>
      <c r="E208" s="908"/>
      <c r="F208" s="908"/>
      <c r="G208" s="1247"/>
      <c r="H208" s="909"/>
      <c r="I208" s="426">
        <f>SUM(J208:N208)</f>
        <v>5555</v>
      </c>
      <c r="J208" s="996">
        <f t="shared" si="4"/>
        <v>0</v>
      </c>
      <c r="K208" s="996">
        <f t="shared" si="4"/>
        <v>0</v>
      </c>
      <c r="L208" s="996">
        <f t="shared" si="4"/>
        <v>0</v>
      </c>
      <c r="M208" s="996">
        <f t="shared" si="4"/>
        <v>0</v>
      </c>
      <c r="N208" s="337">
        <f t="shared" si="4"/>
        <v>5555</v>
      </c>
    </row>
    <row r="209" spans="1:14" s="910" customFormat="1" ht="18" customHeight="1">
      <c r="A209" s="443">
        <v>201</v>
      </c>
      <c r="B209" s="905"/>
      <c r="C209" s="906"/>
      <c r="D209" s="987" t="s">
        <v>1036</v>
      </c>
      <c r="E209" s="908"/>
      <c r="F209" s="908"/>
      <c r="G209" s="1247"/>
      <c r="H209" s="909"/>
      <c r="I209" s="990">
        <f>SUM(J209:N209)</f>
        <v>5555</v>
      </c>
      <c r="J209" s="133">
        <f>J213+J217+J221+J225</f>
        <v>0</v>
      </c>
      <c r="K209" s="133">
        <f>K213+K217+K221+K225</f>
        <v>0</v>
      </c>
      <c r="L209" s="133">
        <f>L213+L217+L221+L225</f>
        <v>0</v>
      </c>
      <c r="M209" s="133">
        <f>M213+M217+M221+M225</f>
        <v>0</v>
      </c>
      <c r="N209" s="134">
        <f>N213+N217+N221+N225</f>
        <v>5555</v>
      </c>
    </row>
    <row r="210" spans="1:16" s="453" customFormat="1" ht="18" customHeight="1">
      <c r="A210" s="443">
        <v>202</v>
      </c>
      <c r="B210" s="131"/>
      <c r="C210" s="124"/>
      <c r="D210" s="338" t="s">
        <v>277</v>
      </c>
      <c r="E210" s="132">
        <v>4000</v>
      </c>
      <c r="F210" s="132">
        <v>4000</v>
      </c>
      <c r="G210" s="1248">
        <v>4000</v>
      </c>
      <c r="H210" s="446"/>
      <c r="I210" s="428"/>
      <c r="J210" s="143"/>
      <c r="K210" s="143"/>
      <c r="L210" s="143"/>
      <c r="M210" s="143"/>
      <c r="N210" s="144"/>
      <c r="P210" s="454"/>
    </row>
    <row r="211" spans="1:16" s="928" customFormat="1" ht="18" customHeight="1">
      <c r="A211" s="443">
        <v>203</v>
      </c>
      <c r="B211" s="917"/>
      <c r="C211" s="906"/>
      <c r="D211" s="926" t="s">
        <v>303</v>
      </c>
      <c r="E211" s="919"/>
      <c r="F211" s="919"/>
      <c r="G211" s="1251"/>
      <c r="H211" s="920"/>
      <c r="I211" s="903">
        <f>SUM(J211:N211)</f>
        <v>3400</v>
      </c>
      <c r="J211" s="921"/>
      <c r="K211" s="921"/>
      <c r="L211" s="921"/>
      <c r="M211" s="921"/>
      <c r="N211" s="922">
        <v>3400</v>
      </c>
      <c r="P211" s="929"/>
    </row>
    <row r="212" spans="1:16" s="928" customFormat="1" ht="18" customHeight="1">
      <c r="A212" s="443">
        <v>204</v>
      </c>
      <c r="B212" s="917"/>
      <c r="C212" s="906"/>
      <c r="D212" s="993" t="s">
        <v>994</v>
      </c>
      <c r="E212" s="919"/>
      <c r="F212" s="919"/>
      <c r="G212" s="1251"/>
      <c r="H212" s="920"/>
      <c r="I212" s="428">
        <f>SUM(J212:N212)</f>
        <v>0</v>
      </c>
      <c r="J212" s="921"/>
      <c r="K212" s="921"/>
      <c r="L212" s="991"/>
      <c r="M212" s="921"/>
      <c r="N212" s="992">
        <f>0</f>
        <v>0</v>
      </c>
      <c r="P212" s="929"/>
    </row>
    <row r="213" spans="1:16" s="928" customFormat="1" ht="18" customHeight="1">
      <c r="A213" s="443">
        <v>205</v>
      </c>
      <c r="B213" s="917"/>
      <c r="C213" s="906"/>
      <c r="D213" s="994" t="s">
        <v>1035</v>
      </c>
      <c r="E213" s="919"/>
      <c r="F213" s="919"/>
      <c r="G213" s="1251"/>
      <c r="H213" s="920"/>
      <c r="I213" s="990">
        <f>SUM(J213:N213)</f>
        <v>0</v>
      </c>
      <c r="J213" s="143"/>
      <c r="K213" s="143"/>
      <c r="L213" s="143"/>
      <c r="M213" s="143"/>
      <c r="N213" s="144">
        <v>0</v>
      </c>
      <c r="P213" s="929"/>
    </row>
    <row r="214" spans="1:16" s="453" customFormat="1" ht="18" customHeight="1">
      <c r="A214" s="443">
        <v>206</v>
      </c>
      <c r="B214" s="131"/>
      <c r="C214" s="124"/>
      <c r="D214" s="338" t="s">
        <v>362</v>
      </c>
      <c r="E214" s="132">
        <v>7500</v>
      </c>
      <c r="F214" s="132">
        <v>14000</v>
      </c>
      <c r="G214" s="1248">
        <v>5100</v>
      </c>
      <c r="H214" s="446"/>
      <c r="I214" s="428"/>
      <c r="J214" s="133"/>
      <c r="K214" s="133"/>
      <c r="L214" s="133"/>
      <c r="M214" s="133"/>
      <c r="N214" s="134"/>
      <c r="P214" s="454"/>
    </row>
    <row r="215" spans="1:16" s="928" customFormat="1" ht="18" customHeight="1">
      <c r="A215" s="443">
        <v>207</v>
      </c>
      <c r="B215" s="917"/>
      <c r="C215" s="906"/>
      <c r="D215" s="926" t="s">
        <v>303</v>
      </c>
      <c r="E215" s="919"/>
      <c r="F215" s="919"/>
      <c r="G215" s="1251"/>
      <c r="H215" s="920"/>
      <c r="I215" s="903">
        <f>SUM(J215:N215)</f>
        <v>11900</v>
      </c>
      <c r="J215" s="921"/>
      <c r="K215" s="921"/>
      <c r="L215" s="921"/>
      <c r="M215" s="921"/>
      <c r="N215" s="922">
        <v>11900</v>
      </c>
      <c r="P215" s="929"/>
    </row>
    <row r="216" spans="1:16" s="928" customFormat="1" ht="18" customHeight="1">
      <c r="A216" s="443">
        <v>208</v>
      </c>
      <c r="B216" s="917"/>
      <c r="C216" s="906"/>
      <c r="D216" s="993" t="s">
        <v>994</v>
      </c>
      <c r="E216" s="919"/>
      <c r="F216" s="919"/>
      <c r="G216" s="1251"/>
      <c r="H216" s="920"/>
      <c r="I216" s="428">
        <f>SUM(J216:N216)</f>
        <v>5555</v>
      </c>
      <c r="J216" s="921"/>
      <c r="K216" s="921"/>
      <c r="L216" s="921"/>
      <c r="M216" s="921"/>
      <c r="N216" s="992">
        <f>10000-4445</f>
        <v>5555</v>
      </c>
      <c r="P216" s="929"/>
    </row>
    <row r="217" spans="1:16" s="928" customFormat="1" ht="18" customHeight="1">
      <c r="A217" s="443">
        <v>209</v>
      </c>
      <c r="B217" s="917"/>
      <c r="C217" s="906"/>
      <c r="D217" s="994" t="s">
        <v>1035</v>
      </c>
      <c r="E217" s="919"/>
      <c r="F217" s="919"/>
      <c r="G217" s="1251"/>
      <c r="H217" s="920"/>
      <c r="I217" s="990">
        <f>SUM(J217:N217)</f>
        <v>5555</v>
      </c>
      <c r="J217" s="143"/>
      <c r="K217" s="143"/>
      <c r="L217" s="143"/>
      <c r="M217" s="143"/>
      <c r="N217" s="144">
        <v>5555</v>
      </c>
      <c r="P217" s="929"/>
    </row>
    <row r="218" spans="1:16" s="453" customFormat="1" ht="18" customHeight="1">
      <c r="A218" s="443">
        <v>210</v>
      </c>
      <c r="B218" s="131"/>
      <c r="C218" s="124"/>
      <c r="D218" s="338" t="s">
        <v>279</v>
      </c>
      <c r="E218" s="132">
        <v>2520</v>
      </c>
      <c r="F218" s="132">
        <v>4000</v>
      </c>
      <c r="G218" s="1248">
        <v>2822</v>
      </c>
      <c r="H218" s="446"/>
      <c r="I218" s="428"/>
      <c r="J218" s="133"/>
      <c r="K218" s="133"/>
      <c r="L218" s="133"/>
      <c r="M218" s="133"/>
      <c r="N218" s="134"/>
      <c r="P218" s="454"/>
    </row>
    <row r="219" spans="1:16" s="928" customFormat="1" ht="18" customHeight="1">
      <c r="A219" s="443">
        <v>211</v>
      </c>
      <c r="B219" s="917"/>
      <c r="C219" s="906"/>
      <c r="D219" s="926" t="s">
        <v>303</v>
      </c>
      <c r="E219" s="919"/>
      <c r="F219" s="919"/>
      <c r="G219" s="1251"/>
      <c r="H219" s="920"/>
      <c r="I219" s="903">
        <f>SUM(J219:N219)</f>
        <v>3400</v>
      </c>
      <c r="J219" s="921"/>
      <c r="K219" s="921"/>
      <c r="L219" s="921">
        <v>3400</v>
      </c>
      <c r="M219" s="921"/>
      <c r="N219" s="922"/>
      <c r="P219" s="929"/>
    </row>
    <row r="220" spans="1:16" s="928" customFormat="1" ht="18" customHeight="1">
      <c r="A220" s="443">
        <v>212</v>
      </c>
      <c r="B220" s="917"/>
      <c r="C220" s="906"/>
      <c r="D220" s="993" t="s">
        <v>994</v>
      </c>
      <c r="E220" s="919"/>
      <c r="F220" s="919"/>
      <c r="G220" s="1251"/>
      <c r="H220" s="920"/>
      <c r="I220" s="428">
        <f>SUM(J220:N220)</f>
        <v>0</v>
      </c>
      <c r="J220" s="921"/>
      <c r="K220" s="921"/>
      <c r="L220" s="991">
        <v>0</v>
      </c>
      <c r="M220" s="921"/>
      <c r="N220" s="922"/>
      <c r="P220" s="929"/>
    </row>
    <row r="221" spans="1:16" s="928" customFormat="1" ht="18" customHeight="1">
      <c r="A221" s="443">
        <v>213</v>
      </c>
      <c r="B221" s="917"/>
      <c r="C221" s="906"/>
      <c r="D221" s="994" t="s">
        <v>1035</v>
      </c>
      <c r="E221" s="919"/>
      <c r="F221" s="919"/>
      <c r="G221" s="1251"/>
      <c r="H221" s="920"/>
      <c r="I221" s="990">
        <f>SUM(J221:N221)</f>
        <v>0</v>
      </c>
      <c r="J221" s="143"/>
      <c r="K221" s="143"/>
      <c r="L221" s="143">
        <v>0</v>
      </c>
      <c r="M221" s="143"/>
      <c r="N221" s="144"/>
      <c r="P221" s="929"/>
    </row>
    <row r="222" spans="1:16" s="453" customFormat="1" ht="18" customHeight="1">
      <c r="A222" s="443">
        <v>214</v>
      </c>
      <c r="B222" s="131"/>
      <c r="C222" s="124"/>
      <c r="D222" s="338" t="s">
        <v>278</v>
      </c>
      <c r="E222" s="132">
        <v>1600</v>
      </c>
      <c r="F222" s="132">
        <v>1600</v>
      </c>
      <c r="G222" s="1248">
        <v>1600</v>
      </c>
      <c r="H222" s="446"/>
      <c r="I222" s="428"/>
      <c r="J222" s="133"/>
      <c r="K222" s="133"/>
      <c r="L222" s="133"/>
      <c r="M222" s="133"/>
      <c r="N222" s="134"/>
      <c r="P222" s="454"/>
    </row>
    <row r="223" spans="1:16" s="928" customFormat="1" ht="18" customHeight="1">
      <c r="A223" s="443">
        <v>215</v>
      </c>
      <c r="B223" s="917"/>
      <c r="C223" s="906"/>
      <c r="D223" s="926" t="s">
        <v>303</v>
      </c>
      <c r="E223" s="908"/>
      <c r="F223" s="919"/>
      <c r="G223" s="1251"/>
      <c r="H223" s="920"/>
      <c r="I223" s="903">
        <f>SUM(J223:N223)</f>
        <v>1360</v>
      </c>
      <c r="J223" s="921"/>
      <c r="K223" s="921"/>
      <c r="L223" s="921"/>
      <c r="M223" s="921"/>
      <c r="N223" s="922">
        <v>1360</v>
      </c>
      <c r="P223" s="929"/>
    </row>
    <row r="224" spans="1:16" s="928" customFormat="1" ht="18" customHeight="1">
      <c r="A224" s="443">
        <v>216</v>
      </c>
      <c r="B224" s="917"/>
      <c r="C224" s="906"/>
      <c r="D224" s="993" t="s">
        <v>994</v>
      </c>
      <c r="E224" s="908"/>
      <c r="F224" s="919"/>
      <c r="G224" s="1251"/>
      <c r="H224" s="920"/>
      <c r="I224" s="428">
        <f>SUM(J224:N224)</f>
        <v>0</v>
      </c>
      <c r="J224" s="921"/>
      <c r="K224" s="921"/>
      <c r="L224" s="921"/>
      <c r="M224" s="921"/>
      <c r="N224" s="992">
        <v>0</v>
      </c>
      <c r="P224" s="929"/>
    </row>
    <row r="225" spans="1:16" s="928" customFormat="1" ht="18" customHeight="1">
      <c r="A225" s="443">
        <v>217</v>
      </c>
      <c r="B225" s="917"/>
      <c r="C225" s="906"/>
      <c r="D225" s="994" t="s">
        <v>1035</v>
      </c>
      <c r="E225" s="908"/>
      <c r="F225" s="919"/>
      <c r="G225" s="1251"/>
      <c r="H225" s="920"/>
      <c r="I225" s="990">
        <f>SUM(J225:N225)</f>
        <v>0</v>
      </c>
      <c r="J225" s="143"/>
      <c r="K225" s="143"/>
      <c r="L225" s="143"/>
      <c r="M225" s="143"/>
      <c r="N225" s="144">
        <v>0</v>
      </c>
      <c r="P225" s="929"/>
    </row>
    <row r="226" spans="1:16" s="115" customFormat="1" ht="22.5" customHeight="1">
      <c r="A226" s="443">
        <v>218</v>
      </c>
      <c r="B226" s="439"/>
      <c r="C226" s="120">
        <v>43</v>
      </c>
      <c r="D226" s="437" t="s">
        <v>441</v>
      </c>
      <c r="E226" s="122">
        <v>4400</v>
      </c>
      <c r="F226" s="132">
        <v>5000</v>
      </c>
      <c r="G226" s="1248">
        <v>4667</v>
      </c>
      <c r="H226" s="445" t="s">
        <v>24</v>
      </c>
      <c r="I226" s="428"/>
      <c r="J226" s="143"/>
      <c r="K226" s="143"/>
      <c r="L226" s="143"/>
      <c r="M226" s="143"/>
      <c r="N226" s="144"/>
      <c r="P226" s="1448"/>
    </row>
    <row r="227" spans="1:16" s="923" customFormat="1" ht="18" customHeight="1">
      <c r="A227" s="443">
        <v>219</v>
      </c>
      <c r="B227" s="917"/>
      <c r="C227" s="906"/>
      <c r="D227" s="907" t="s">
        <v>303</v>
      </c>
      <c r="E227" s="908"/>
      <c r="F227" s="919"/>
      <c r="G227" s="1251"/>
      <c r="H227" s="920"/>
      <c r="I227" s="900">
        <f>SUM(J227:N227)</f>
        <v>4250</v>
      </c>
      <c r="J227" s="921"/>
      <c r="K227" s="921"/>
      <c r="L227" s="921"/>
      <c r="M227" s="921"/>
      <c r="N227" s="902">
        <v>4250</v>
      </c>
      <c r="P227" s="910"/>
    </row>
    <row r="228" spans="1:16" s="923" customFormat="1" ht="18" customHeight="1">
      <c r="A228" s="443">
        <v>220</v>
      </c>
      <c r="B228" s="917"/>
      <c r="C228" s="906"/>
      <c r="D228" s="436" t="s">
        <v>994</v>
      </c>
      <c r="E228" s="908"/>
      <c r="F228" s="919"/>
      <c r="G228" s="1251"/>
      <c r="H228" s="920"/>
      <c r="I228" s="426">
        <f>SUM(J228:N228)</f>
        <v>0</v>
      </c>
      <c r="J228" s="921"/>
      <c r="K228" s="921"/>
      <c r="L228" s="921"/>
      <c r="M228" s="921"/>
      <c r="N228" s="337">
        <v>0</v>
      </c>
      <c r="P228" s="910"/>
    </row>
    <row r="229" spans="1:16" s="923" customFormat="1" ht="18" customHeight="1">
      <c r="A229" s="443">
        <v>221</v>
      </c>
      <c r="B229" s="917"/>
      <c r="C229" s="906"/>
      <c r="D229" s="987" t="s">
        <v>1035</v>
      </c>
      <c r="E229" s="908"/>
      <c r="F229" s="919"/>
      <c r="G229" s="1251"/>
      <c r="H229" s="920"/>
      <c r="I229" s="990">
        <f>SUM(J229:N229)</f>
        <v>0</v>
      </c>
      <c r="J229" s="143"/>
      <c r="K229" s="143"/>
      <c r="L229" s="143"/>
      <c r="M229" s="143"/>
      <c r="N229" s="144">
        <v>0</v>
      </c>
      <c r="P229" s="910"/>
    </row>
    <row r="230" spans="1:16" s="1447" customFormat="1" ht="22.5" customHeight="1">
      <c r="A230" s="443">
        <v>222</v>
      </c>
      <c r="B230" s="438"/>
      <c r="C230" s="120">
        <v>44</v>
      </c>
      <c r="D230" s="437" t="s">
        <v>400</v>
      </c>
      <c r="E230" s="122">
        <v>1323</v>
      </c>
      <c r="F230" s="122">
        <v>2000</v>
      </c>
      <c r="G230" s="1245">
        <v>938</v>
      </c>
      <c r="H230" s="445" t="s">
        <v>23</v>
      </c>
      <c r="I230" s="428"/>
      <c r="J230" s="133"/>
      <c r="K230" s="133"/>
      <c r="L230" s="133"/>
      <c r="M230" s="133"/>
      <c r="N230" s="134"/>
      <c r="O230" s="1448"/>
      <c r="P230" s="1448"/>
    </row>
    <row r="231" spans="1:14" s="910" customFormat="1" ht="18" customHeight="1">
      <c r="A231" s="443">
        <v>223</v>
      </c>
      <c r="B231" s="905"/>
      <c r="C231" s="906"/>
      <c r="D231" s="907" t="s">
        <v>303</v>
      </c>
      <c r="E231" s="908"/>
      <c r="F231" s="908"/>
      <c r="G231" s="1247"/>
      <c r="H231" s="909"/>
      <c r="I231" s="900">
        <f>SUM(J231:N231)</f>
        <v>1700</v>
      </c>
      <c r="J231" s="901"/>
      <c r="K231" s="901"/>
      <c r="L231" s="901"/>
      <c r="M231" s="901">
        <v>1700</v>
      </c>
      <c r="N231" s="902"/>
    </row>
    <row r="232" spans="1:14" s="910" customFormat="1" ht="18" customHeight="1">
      <c r="A232" s="443">
        <v>224</v>
      </c>
      <c r="B232" s="905"/>
      <c r="C232" s="906"/>
      <c r="D232" s="436" t="s">
        <v>994</v>
      </c>
      <c r="E232" s="908"/>
      <c r="F232" s="908"/>
      <c r="G232" s="1247"/>
      <c r="H232" s="909"/>
      <c r="I232" s="426">
        <f>SUM(J232:N232)</f>
        <v>1700</v>
      </c>
      <c r="J232" s="901"/>
      <c r="K232" s="901"/>
      <c r="L232" s="901"/>
      <c r="M232" s="341">
        <v>1700</v>
      </c>
      <c r="N232" s="902"/>
    </row>
    <row r="233" spans="1:14" s="910" customFormat="1" ht="18" customHeight="1">
      <c r="A233" s="443">
        <v>225</v>
      </c>
      <c r="B233" s="905"/>
      <c r="C233" s="906"/>
      <c r="D233" s="987" t="s">
        <v>1036</v>
      </c>
      <c r="E233" s="908"/>
      <c r="F233" s="908"/>
      <c r="G233" s="1247"/>
      <c r="H233" s="909"/>
      <c r="I233" s="990">
        <f>SUM(J233:N233)</f>
        <v>829</v>
      </c>
      <c r="J233" s="143"/>
      <c r="K233" s="143"/>
      <c r="L233" s="143"/>
      <c r="M233" s="143">
        <v>829</v>
      </c>
      <c r="N233" s="144"/>
    </row>
    <row r="234" spans="1:16" s="1447" customFormat="1" ht="22.5" customHeight="1">
      <c r="A234" s="443">
        <v>226</v>
      </c>
      <c r="B234" s="438"/>
      <c r="C234" s="120">
        <v>45</v>
      </c>
      <c r="D234" s="437" t="s">
        <v>280</v>
      </c>
      <c r="E234" s="122"/>
      <c r="F234" s="122">
        <v>100</v>
      </c>
      <c r="G234" s="1245"/>
      <c r="H234" s="445" t="s">
        <v>23</v>
      </c>
      <c r="I234" s="426"/>
      <c r="J234" s="126"/>
      <c r="K234" s="126"/>
      <c r="L234" s="126"/>
      <c r="M234" s="126"/>
      <c r="N234" s="127"/>
      <c r="P234" s="1448"/>
    </row>
    <row r="235" spans="1:14" s="910" customFormat="1" ht="18" customHeight="1">
      <c r="A235" s="443">
        <v>227</v>
      </c>
      <c r="B235" s="905"/>
      <c r="C235" s="906"/>
      <c r="D235" s="907" t="s">
        <v>303</v>
      </c>
      <c r="E235" s="908"/>
      <c r="F235" s="908"/>
      <c r="G235" s="1247"/>
      <c r="H235" s="909"/>
      <c r="I235" s="900">
        <f>SUM(J235:N235)</f>
        <v>85</v>
      </c>
      <c r="J235" s="901"/>
      <c r="K235" s="901"/>
      <c r="L235" s="901"/>
      <c r="M235" s="901">
        <v>85</v>
      </c>
      <c r="N235" s="902"/>
    </row>
    <row r="236" spans="1:14" s="910" customFormat="1" ht="18" customHeight="1">
      <c r="A236" s="443">
        <v>228</v>
      </c>
      <c r="B236" s="905"/>
      <c r="C236" s="906"/>
      <c r="D236" s="436" t="s">
        <v>994</v>
      </c>
      <c r="E236" s="908"/>
      <c r="F236" s="908"/>
      <c r="G236" s="1247"/>
      <c r="H236" s="913"/>
      <c r="I236" s="426">
        <f>SUM(J236:N236)</f>
        <v>85</v>
      </c>
      <c r="J236" s="901"/>
      <c r="K236" s="901"/>
      <c r="L236" s="901"/>
      <c r="M236" s="341">
        <v>85</v>
      </c>
      <c r="N236" s="902"/>
    </row>
    <row r="237" spans="1:14" s="910" customFormat="1" ht="18" customHeight="1">
      <c r="A237" s="443">
        <v>229</v>
      </c>
      <c r="B237" s="905"/>
      <c r="C237" s="906"/>
      <c r="D237" s="987" t="s">
        <v>1036</v>
      </c>
      <c r="E237" s="908"/>
      <c r="F237" s="908"/>
      <c r="G237" s="1247"/>
      <c r="H237" s="913"/>
      <c r="I237" s="990">
        <f>SUM(J237:N237)</f>
        <v>0</v>
      </c>
      <c r="J237" s="143"/>
      <c r="K237" s="143"/>
      <c r="L237" s="143"/>
      <c r="M237" s="143">
        <v>0</v>
      </c>
      <c r="N237" s="144"/>
    </row>
    <row r="238" spans="1:14" s="1448" customFormat="1" ht="22.5" customHeight="1">
      <c r="A238" s="443">
        <v>230</v>
      </c>
      <c r="B238" s="435"/>
      <c r="C238" s="120">
        <v>46</v>
      </c>
      <c r="D238" s="436" t="s">
        <v>401</v>
      </c>
      <c r="E238" s="122"/>
      <c r="F238" s="122">
        <v>100</v>
      </c>
      <c r="G238" s="1245"/>
      <c r="H238" s="447" t="s">
        <v>23</v>
      </c>
      <c r="I238" s="426"/>
      <c r="J238" s="126"/>
      <c r="K238" s="126"/>
      <c r="L238" s="126"/>
      <c r="M238" s="126"/>
      <c r="N238" s="127"/>
    </row>
    <row r="239" spans="1:14" s="910" customFormat="1" ht="18" customHeight="1">
      <c r="A239" s="443">
        <v>231</v>
      </c>
      <c r="B239" s="905"/>
      <c r="C239" s="906"/>
      <c r="D239" s="907" t="s">
        <v>303</v>
      </c>
      <c r="E239" s="908"/>
      <c r="F239" s="908"/>
      <c r="G239" s="1247"/>
      <c r="H239" s="913"/>
      <c r="I239" s="900">
        <f>SUM(J239:N239)</f>
        <v>85</v>
      </c>
      <c r="J239" s="901"/>
      <c r="K239" s="901"/>
      <c r="L239" s="901">
        <v>85</v>
      </c>
      <c r="M239" s="901"/>
      <c r="N239" s="902"/>
    </row>
    <row r="240" spans="1:14" s="910" customFormat="1" ht="18" customHeight="1">
      <c r="A240" s="443">
        <v>232</v>
      </c>
      <c r="B240" s="905"/>
      <c r="C240" s="906"/>
      <c r="D240" s="436" t="s">
        <v>994</v>
      </c>
      <c r="E240" s="908"/>
      <c r="F240" s="908"/>
      <c r="G240" s="1247"/>
      <c r="H240" s="913"/>
      <c r="I240" s="426">
        <f>SUM(J240:N240)</f>
        <v>85</v>
      </c>
      <c r="J240" s="901"/>
      <c r="K240" s="901"/>
      <c r="L240" s="341">
        <v>85</v>
      </c>
      <c r="M240" s="901"/>
      <c r="N240" s="902"/>
    </row>
    <row r="241" spans="1:14" s="910" customFormat="1" ht="18" customHeight="1">
      <c r="A241" s="443">
        <v>233</v>
      </c>
      <c r="B241" s="905"/>
      <c r="C241" s="906"/>
      <c r="D241" s="987" t="s">
        <v>1036</v>
      </c>
      <c r="E241" s="908"/>
      <c r="F241" s="908"/>
      <c r="G241" s="1247"/>
      <c r="H241" s="913"/>
      <c r="I241" s="990">
        <f>SUM(J241:N241)</f>
        <v>0</v>
      </c>
      <c r="J241" s="143"/>
      <c r="K241" s="143"/>
      <c r="L241" s="143">
        <v>0</v>
      </c>
      <c r="M241" s="143"/>
      <c r="N241" s="144"/>
    </row>
    <row r="242" spans="1:16" s="1447" customFormat="1" ht="22.5" customHeight="1">
      <c r="A242" s="443">
        <v>234</v>
      </c>
      <c r="B242" s="438"/>
      <c r="C242" s="120">
        <v>47</v>
      </c>
      <c r="D242" s="437" t="s">
        <v>281</v>
      </c>
      <c r="E242" s="122">
        <f>SUM(E246,E257,E261,E265,E269,E273,E277,E281)</f>
        <v>10952</v>
      </c>
      <c r="F242" s="122">
        <f>SUM(F246,F257,F261,F265,F269,F273,F277,F281)+F253</f>
        <v>27650</v>
      </c>
      <c r="G242" s="1245">
        <f>SUM(G246,G257,G261,G265,G269,G273,G277,G281)+G253</f>
        <v>11293</v>
      </c>
      <c r="H242" s="445"/>
      <c r="I242" s="427"/>
      <c r="J242" s="129"/>
      <c r="K242" s="129"/>
      <c r="L242" s="129"/>
      <c r="M242" s="129"/>
      <c r="N242" s="130"/>
      <c r="O242" s="1448"/>
      <c r="P242" s="1448"/>
    </row>
    <row r="243" spans="1:14" s="910" customFormat="1" ht="18" customHeight="1">
      <c r="A243" s="443">
        <v>235</v>
      </c>
      <c r="B243" s="905"/>
      <c r="C243" s="906"/>
      <c r="D243" s="907" t="s">
        <v>303</v>
      </c>
      <c r="E243" s="908"/>
      <c r="F243" s="908"/>
      <c r="G243" s="1247"/>
      <c r="H243" s="909"/>
      <c r="I243" s="900">
        <f>SUM(J243:N243)</f>
        <v>17553</v>
      </c>
      <c r="J243" s="901">
        <f>SUM(J247,J258,J262,J266,J270,J274,J278,J282)</f>
        <v>0</v>
      </c>
      <c r="K243" s="901">
        <f>SUM(K247,K258,K262,K266,K270,K274,K278,K282)</f>
        <v>0</v>
      </c>
      <c r="L243" s="901">
        <f>SUM(L247,L258,L262,L266,L270,L274,L278,L282)</f>
        <v>0</v>
      </c>
      <c r="M243" s="901">
        <f>SUM(M247,M258,M262,M266,M270,M274,M278,M282)+M254</f>
        <v>17553</v>
      </c>
      <c r="N243" s="902">
        <f>SUM(N247,N258,N262,N266,N270,N274,N278,N282)</f>
        <v>0</v>
      </c>
    </row>
    <row r="244" spans="1:14" s="910" customFormat="1" ht="18" customHeight="1">
      <c r="A244" s="443">
        <v>236</v>
      </c>
      <c r="B244" s="905"/>
      <c r="C244" s="906"/>
      <c r="D244" s="436" t="s">
        <v>994</v>
      </c>
      <c r="E244" s="908"/>
      <c r="F244" s="908"/>
      <c r="G244" s="1247"/>
      <c r="H244" s="909"/>
      <c r="I244" s="426">
        <f>SUM(J244:N244)</f>
        <v>24293</v>
      </c>
      <c r="J244" s="341">
        <f>SUM(J248,J259,J263,J267,J271,J275,J279,J283)+J255+J251</f>
        <v>0</v>
      </c>
      <c r="K244" s="341">
        <f>SUM(K248,K259,K263,K267,K271,K275,K279,K283)+K255+K251</f>
        <v>0</v>
      </c>
      <c r="L244" s="341">
        <f>SUM(L248,L259,L263,L267,L271,L275,L279,L283)+L255+L251</f>
        <v>0</v>
      </c>
      <c r="M244" s="341">
        <f>SUM(M248,M259,M263,M267,M271,M275,M279,M283)+M255+M251</f>
        <v>24293</v>
      </c>
      <c r="N244" s="337">
        <f>SUM(N248,N259,N263,N267,N271,N275,N279,N283)+N255+N251</f>
        <v>0</v>
      </c>
    </row>
    <row r="245" spans="1:14" s="910" customFormat="1" ht="18" customHeight="1">
      <c r="A245" s="443">
        <v>237</v>
      </c>
      <c r="B245" s="905"/>
      <c r="C245" s="906"/>
      <c r="D245" s="987" t="s">
        <v>1036</v>
      </c>
      <c r="E245" s="908"/>
      <c r="F245" s="908"/>
      <c r="G245" s="1247"/>
      <c r="H245" s="909"/>
      <c r="I245" s="990">
        <f>SUM(J245:N245)</f>
        <v>14479</v>
      </c>
      <c r="J245" s="143">
        <f>J249+J256+J260+J264+J268+J272+J276+J280+J284+J252</f>
        <v>0</v>
      </c>
      <c r="K245" s="143">
        <f>K249+K256+K260+K264+K268+K272+K276+K280+K284+K252</f>
        <v>0</v>
      </c>
      <c r="L245" s="143">
        <f>L249+L256+L260+L264+L268+L272+L276+L280+L284+L252</f>
        <v>0</v>
      </c>
      <c r="M245" s="143">
        <f>M249+M256+M260+M264+M268+M272+M276+M280+M284+M252</f>
        <v>14479</v>
      </c>
      <c r="N245" s="144">
        <f>N249+N256+N260+N264+N268+N272+N276+N280+N284+N252</f>
        <v>0</v>
      </c>
    </row>
    <row r="246" spans="1:16" s="453" customFormat="1" ht="18" customHeight="1">
      <c r="A246" s="443">
        <v>238</v>
      </c>
      <c r="B246" s="131"/>
      <c r="C246" s="124"/>
      <c r="D246" s="338" t="s">
        <v>286</v>
      </c>
      <c r="E246" s="132">
        <v>2100</v>
      </c>
      <c r="F246" s="132">
        <v>2500</v>
      </c>
      <c r="G246" s="1248">
        <v>2021</v>
      </c>
      <c r="H246" s="446" t="s">
        <v>23</v>
      </c>
      <c r="I246" s="428"/>
      <c r="J246" s="143"/>
      <c r="K246" s="143"/>
      <c r="L246" s="143"/>
      <c r="M246" s="143"/>
      <c r="N246" s="144"/>
      <c r="P246" s="454"/>
    </row>
    <row r="247" spans="1:16" s="928" customFormat="1" ht="18" customHeight="1">
      <c r="A247" s="443">
        <v>239</v>
      </c>
      <c r="B247" s="917"/>
      <c r="C247" s="906"/>
      <c r="D247" s="926" t="s">
        <v>303</v>
      </c>
      <c r="E247" s="919"/>
      <c r="F247" s="919"/>
      <c r="G247" s="1251"/>
      <c r="H247" s="920"/>
      <c r="I247" s="903">
        <f>SUM(J247:N247)</f>
        <v>2125</v>
      </c>
      <c r="J247" s="921"/>
      <c r="K247" s="921"/>
      <c r="L247" s="921"/>
      <c r="M247" s="921">
        <v>2125</v>
      </c>
      <c r="N247" s="922"/>
      <c r="P247" s="929"/>
    </row>
    <row r="248" spans="1:16" s="928" customFormat="1" ht="18" customHeight="1">
      <c r="A248" s="443">
        <v>240</v>
      </c>
      <c r="B248" s="917"/>
      <c r="C248" s="906"/>
      <c r="D248" s="993" t="s">
        <v>994</v>
      </c>
      <c r="E248" s="919"/>
      <c r="F248" s="919"/>
      <c r="G248" s="1251"/>
      <c r="H248" s="920"/>
      <c r="I248" s="428">
        <f>SUM(J248:N248)</f>
        <v>2325</v>
      </c>
      <c r="J248" s="921"/>
      <c r="K248" s="921"/>
      <c r="L248" s="921"/>
      <c r="M248" s="991">
        <v>2325</v>
      </c>
      <c r="N248" s="922"/>
      <c r="P248" s="929"/>
    </row>
    <row r="249" spans="1:16" s="928" customFormat="1" ht="18" customHeight="1">
      <c r="A249" s="443">
        <v>241</v>
      </c>
      <c r="B249" s="917"/>
      <c r="C249" s="906"/>
      <c r="D249" s="994" t="s">
        <v>1040</v>
      </c>
      <c r="E249" s="919"/>
      <c r="F249" s="919"/>
      <c r="G249" s="1251"/>
      <c r="H249" s="920"/>
      <c r="I249" s="990">
        <f>SUM(J249:N249)</f>
        <v>2152</v>
      </c>
      <c r="J249" s="143"/>
      <c r="K249" s="143"/>
      <c r="L249" s="143"/>
      <c r="M249" s="143">
        <v>2152</v>
      </c>
      <c r="N249" s="144"/>
      <c r="P249" s="929"/>
    </row>
    <row r="250" spans="1:16" s="928" customFormat="1" ht="18" customHeight="1">
      <c r="A250" s="443">
        <v>242</v>
      </c>
      <c r="B250" s="917"/>
      <c r="C250" s="906"/>
      <c r="D250" s="339" t="s">
        <v>834</v>
      </c>
      <c r="E250" s="919"/>
      <c r="F250" s="919"/>
      <c r="G250" s="1251"/>
      <c r="H250" s="446" t="s">
        <v>24</v>
      </c>
      <c r="I250" s="428"/>
      <c r="J250" s="991"/>
      <c r="K250" s="991"/>
      <c r="L250" s="991"/>
      <c r="M250" s="991"/>
      <c r="N250" s="992"/>
      <c r="P250" s="929"/>
    </row>
    <row r="251" spans="1:16" s="928" customFormat="1" ht="18" customHeight="1">
      <c r="A251" s="443">
        <v>243</v>
      </c>
      <c r="B251" s="917"/>
      <c r="C251" s="906"/>
      <c r="D251" s="993" t="s">
        <v>994</v>
      </c>
      <c r="E251" s="919"/>
      <c r="F251" s="919"/>
      <c r="G251" s="1251"/>
      <c r="H251" s="446"/>
      <c r="I251" s="428">
        <f>SUM(J251:N251)</f>
        <v>8500</v>
      </c>
      <c r="J251" s="991"/>
      <c r="K251" s="991"/>
      <c r="L251" s="991"/>
      <c r="M251" s="991">
        <v>8500</v>
      </c>
      <c r="N251" s="992"/>
      <c r="P251" s="929"/>
    </row>
    <row r="252" spans="1:16" s="928" customFormat="1" ht="18" customHeight="1">
      <c r="A252" s="443">
        <v>244</v>
      </c>
      <c r="B252" s="917"/>
      <c r="C252" s="906"/>
      <c r="D252" s="994" t="s">
        <v>1035</v>
      </c>
      <c r="E252" s="919"/>
      <c r="F252" s="919"/>
      <c r="G252" s="1251"/>
      <c r="H252" s="920"/>
      <c r="I252" s="990">
        <f>SUM(J252:N252)</f>
        <v>3180</v>
      </c>
      <c r="J252" s="991"/>
      <c r="K252" s="991"/>
      <c r="L252" s="991"/>
      <c r="M252" s="126">
        <v>3180</v>
      </c>
      <c r="N252" s="992"/>
      <c r="P252" s="929"/>
    </row>
    <row r="253" spans="1:16" s="453" customFormat="1" ht="18" customHeight="1">
      <c r="A253" s="443">
        <v>245</v>
      </c>
      <c r="B253" s="131"/>
      <c r="C253" s="124"/>
      <c r="D253" s="339" t="s">
        <v>564</v>
      </c>
      <c r="E253" s="132"/>
      <c r="F253" s="132">
        <v>12500</v>
      </c>
      <c r="G253" s="1248">
        <v>302</v>
      </c>
      <c r="H253" s="446" t="s">
        <v>24</v>
      </c>
      <c r="I253" s="428"/>
      <c r="J253" s="143"/>
      <c r="K253" s="143"/>
      <c r="L253" s="143"/>
      <c r="M253" s="143"/>
      <c r="N253" s="144"/>
      <c r="P253" s="454"/>
    </row>
    <row r="254" spans="1:16" s="928" customFormat="1" ht="18" customHeight="1">
      <c r="A254" s="443">
        <v>246</v>
      </c>
      <c r="B254" s="917"/>
      <c r="C254" s="906"/>
      <c r="D254" s="926" t="s">
        <v>303</v>
      </c>
      <c r="E254" s="919"/>
      <c r="F254" s="919"/>
      <c r="G254" s="1251"/>
      <c r="H254" s="920"/>
      <c r="I254" s="903">
        <f>SUM(J254:N254)</f>
        <v>4675</v>
      </c>
      <c r="J254" s="921"/>
      <c r="K254" s="921"/>
      <c r="L254" s="921"/>
      <c r="M254" s="921">
        <v>4675</v>
      </c>
      <c r="N254" s="922"/>
      <c r="P254" s="929"/>
    </row>
    <row r="255" spans="1:16" s="928" customFormat="1" ht="18" customHeight="1">
      <c r="A255" s="443">
        <v>247</v>
      </c>
      <c r="B255" s="917"/>
      <c r="C255" s="906"/>
      <c r="D255" s="993" t="s">
        <v>994</v>
      </c>
      <c r="E255" s="919"/>
      <c r="F255" s="919"/>
      <c r="G255" s="1251"/>
      <c r="H255" s="920"/>
      <c r="I255" s="428">
        <f>SUM(J255:N255)</f>
        <v>2775</v>
      </c>
      <c r="J255" s="921"/>
      <c r="K255" s="921"/>
      <c r="L255" s="921"/>
      <c r="M255" s="991">
        <v>2775</v>
      </c>
      <c r="N255" s="922"/>
      <c r="P255" s="929"/>
    </row>
    <row r="256" spans="1:16" s="928" customFormat="1" ht="18" customHeight="1">
      <c r="A256" s="443">
        <v>248</v>
      </c>
      <c r="B256" s="917"/>
      <c r="C256" s="906"/>
      <c r="D256" s="994" t="s">
        <v>1040</v>
      </c>
      <c r="E256" s="919"/>
      <c r="F256" s="919"/>
      <c r="G256" s="1251"/>
      <c r="H256" s="920"/>
      <c r="I256" s="990">
        <f>SUM(J256:N256)</f>
        <v>256</v>
      </c>
      <c r="J256" s="143"/>
      <c r="K256" s="143"/>
      <c r="L256" s="143"/>
      <c r="M256" s="143">
        <v>256</v>
      </c>
      <c r="N256" s="144"/>
      <c r="P256" s="929"/>
    </row>
    <row r="257" spans="1:16" s="453" customFormat="1" ht="18" customHeight="1">
      <c r="A257" s="443">
        <v>249</v>
      </c>
      <c r="B257" s="131"/>
      <c r="C257" s="124"/>
      <c r="D257" s="339" t="s">
        <v>402</v>
      </c>
      <c r="E257" s="132">
        <v>6360</v>
      </c>
      <c r="F257" s="132">
        <v>8000</v>
      </c>
      <c r="G257" s="1248">
        <v>6288</v>
      </c>
      <c r="H257" s="446" t="s">
        <v>24</v>
      </c>
      <c r="I257" s="429"/>
      <c r="J257" s="133"/>
      <c r="K257" s="133"/>
      <c r="L257" s="133"/>
      <c r="M257" s="133"/>
      <c r="N257" s="134"/>
      <c r="P257" s="454"/>
    </row>
    <row r="258" spans="1:16" s="928" customFormat="1" ht="18" customHeight="1">
      <c r="A258" s="443">
        <v>250</v>
      </c>
      <c r="B258" s="917"/>
      <c r="C258" s="906"/>
      <c r="D258" s="926" t="s">
        <v>303</v>
      </c>
      <c r="E258" s="919"/>
      <c r="F258" s="919"/>
      <c r="G258" s="1251"/>
      <c r="H258" s="920"/>
      <c r="I258" s="903">
        <f>SUM(J258:N258)</f>
        <v>6800</v>
      </c>
      <c r="J258" s="921"/>
      <c r="K258" s="921"/>
      <c r="L258" s="921"/>
      <c r="M258" s="921">
        <v>6800</v>
      </c>
      <c r="N258" s="922"/>
      <c r="P258" s="929"/>
    </row>
    <row r="259" spans="1:16" s="928" customFormat="1" ht="18" customHeight="1">
      <c r="A259" s="443">
        <v>251</v>
      </c>
      <c r="B259" s="917"/>
      <c r="C259" s="906"/>
      <c r="D259" s="993" t="s">
        <v>994</v>
      </c>
      <c r="E259" s="919"/>
      <c r="F259" s="919"/>
      <c r="G259" s="1251"/>
      <c r="H259" s="920"/>
      <c r="I259" s="428">
        <f>SUM(J259:N259)</f>
        <v>6940</v>
      </c>
      <c r="J259" s="921"/>
      <c r="K259" s="921"/>
      <c r="L259" s="921"/>
      <c r="M259" s="991">
        <v>6940</v>
      </c>
      <c r="N259" s="922"/>
      <c r="P259" s="929"/>
    </row>
    <row r="260" spans="1:16" s="928" customFormat="1" ht="18" customHeight="1">
      <c r="A260" s="443">
        <v>252</v>
      </c>
      <c r="B260" s="917"/>
      <c r="C260" s="906"/>
      <c r="D260" s="994" t="s">
        <v>1040</v>
      </c>
      <c r="E260" s="919"/>
      <c r="F260" s="919"/>
      <c r="G260" s="1251"/>
      <c r="H260" s="920"/>
      <c r="I260" s="990">
        <f>SUM(J260:N260)</f>
        <v>6639</v>
      </c>
      <c r="J260" s="143"/>
      <c r="K260" s="143"/>
      <c r="L260" s="143"/>
      <c r="M260" s="143">
        <v>6639</v>
      </c>
      <c r="N260" s="144"/>
      <c r="P260" s="929"/>
    </row>
    <row r="261" spans="1:16" s="453" customFormat="1" ht="18" customHeight="1">
      <c r="A261" s="443">
        <v>253</v>
      </c>
      <c r="B261" s="131"/>
      <c r="C261" s="124"/>
      <c r="D261" s="339" t="s">
        <v>403</v>
      </c>
      <c r="E261" s="132"/>
      <c r="F261" s="132">
        <v>100</v>
      </c>
      <c r="G261" s="1248"/>
      <c r="H261" s="446" t="s">
        <v>24</v>
      </c>
      <c r="I261" s="429"/>
      <c r="J261" s="133"/>
      <c r="K261" s="133"/>
      <c r="L261" s="133"/>
      <c r="M261" s="133"/>
      <c r="N261" s="134"/>
      <c r="P261" s="454"/>
    </row>
    <row r="262" spans="1:16" s="928" customFormat="1" ht="18" customHeight="1">
      <c r="A262" s="443">
        <v>254</v>
      </c>
      <c r="B262" s="917"/>
      <c r="C262" s="906"/>
      <c r="D262" s="926" t="s">
        <v>303</v>
      </c>
      <c r="E262" s="919"/>
      <c r="F262" s="919"/>
      <c r="G262" s="1251"/>
      <c r="H262" s="920"/>
      <c r="I262" s="903">
        <f>SUM(J262:N262)</f>
        <v>85</v>
      </c>
      <c r="J262" s="921"/>
      <c r="K262" s="921"/>
      <c r="L262" s="921"/>
      <c r="M262" s="921">
        <v>85</v>
      </c>
      <c r="N262" s="922"/>
      <c r="P262" s="929"/>
    </row>
    <row r="263" spans="1:16" s="928" customFormat="1" ht="18" customHeight="1">
      <c r="A263" s="443">
        <v>255</v>
      </c>
      <c r="B263" s="917"/>
      <c r="C263" s="906"/>
      <c r="D263" s="993" t="s">
        <v>994</v>
      </c>
      <c r="E263" s="919"/>
      <c r="F263" s="919"/>
      <c r="G263" s="1251"/>
      <c r="H263" s="920"/>
      <c r="I263" s="428">
        <f>SUM(J263:N263)</f>
        <v>85</v>
      </c>
      <c r="J263" s="921"/>
      <c r="K263" s="921"/>
      <c r="L263" s="921"/>
      <c r="M263" s="991">
        <v>85</v>
      </c>
      <c r="N263" s="922"/>
      <c r="P263" s="929"/>
    </row>
    <row r="264" spans="1:16" s="928" customFormat="1" ht="18" customHeight="1">
      <c r="A264" s="443">
        <v>256</v>
      </c>
      <c r="B264" s="917"/>
      <c r="C264" s="906"/>
      <c r="D264" s="994" t="s">
        <v>1036</v>
      </c>
      <c r="E264" s="919"/>
      <c r="F264" s="919"/>
      <c r="G264" s="1251"/>
      <c r="H264" s="920"/>
      <c r="I264" s="990">
        <f>SUM(J264:N264)</f>
        <v>0</v>
      </c>
      <c r="J264" s="143"/>
      <c r="K264" s="143"/>
      <c r="L264" s="143"/>
      <c r="M264" s="143">
        <v>0</v>
      </c>
      <c r="N264" s="144"/>
      <c r="P264" s="929"/>
    </row>
    <row r="265" spans="1:16" s="453" customFormat="1" ht="18" customHeight="1">
      <c r="A265" s="443">
        <v>257</v>
      </c>
      <c r="B265" s="131"/>
      <c r="C265" s="124"/>
      <c r="D265" s="339" t="s">
        <v>404</v>
      </c>
      <c r="E265" s="132">
        <v>1215</v>
      </c>
      <c r="F265" s="132">
        <v>2000</v>
      </c>
      <c r="G265" s="1248">
        <v>1320</v>
      </c>
      <c r="H265" s="446" t="s">
        <v>24</v>
      </c>
      <c r="I265" s="429"/>
      <c r="J265" s="133"/>
      <c r="K265" s="133"/>
      <c r="L265" s="133"/>
      <c r="M265" s="133"/>
      <c r="N265" s="134"/>
      <c r="P265" s="454"/>
    </row>
    <row r="266" spans="1:16" s="928" customFormat="1" ht="18" customHeight="1">
      <c r="A266" s="443">
        <v>258</v>
      </c>
      <c r="B266" s="917"/>
      <c r="C266" s="906"/>
      <c r="D266" s="926" t="s">
        <v>303</v>
      </c>
      <c r="E266" s="919"/>
      <c r="F266" s="919"/>
      <c r="G266" s="1251"/>
      <c r="H266" s="920"/>
      <c r="I266" s="903">
        <f>SUM(J266:N266)</f>
        <v>1700</v>
      </c>
      <c r="J266" s="921"/>
      <c r="K266" s="921"/>
      <c r="L266" s="921"/>
      <c r="M266" s="921">
        <v>1700</v>
      </c>
      <c r="N266" s="922"/>
      <c r="P266" s="929"/>
    </row>
    <row r="267" spans="1:16" s="928" customFormat="1" ht="18" customHeight="1">
      <c r="A267" s="443">
        <v>259</v>
      </c>
      <c r="B267" s="917"/>
      <c r="C267" s="906"/>
      <c r="D267" s="993" t="s">
        <v>994</v>
      </c>
      <c r="E267" s="919"/>
      <c r="F267" s="919"/>
      <c r="G267" s="1251"/>
      <c r="H267" s="920"/>
      <c r="I267" s="428">
        <f>SUM(J267:N267)</f>
        <v>1300</v>
      </c>
      <c r="J267" s="921"/>
      <c r="K267" s="921"/>
      <c r="L267" s="921"/>
      <c r="M267" s="991">
        <v>1300</v>
      </c>
      <c r="N267" s="922"/>
      <c r="P267" s="929"/>
    </row>
    <row r="268" spans="1:16" s="928" customFormat="1" ht="18" customHeight="1">
      <c r="A268" s="443">
        <v>260</v>
      </c>
      <c r="B268" s="917"/>
      <c r="C268" s="906"/>
      <c r="D268" s="994" t="s">
        <v>1040</v>
      </c>
      <c r="E268" s="919"/>
      <c r="F268" s="919"/>
      <c r="G268" s="1251"/>
      <c r="H268" s="920"/>
      <c r="I268" s="990">
        <f>SUM(J268:N268)</f>
        <v>855</v>
      </c>
      <c r="J268" s="143"/>
      <c r="K268" s="143"/>
      <c r="L268" s="143"/>
      <c r="M268" s="143">
        <v>855</v>
      </c>
      <c r="N268" s="144"/>
      <c r="P268" s="929"/>
    </row>
    <row r="269" spans="1:16" s="453" customFormat="1" ht="18" customHeight="1">
      <c r="A269" s="443">
        <v>261</v>
      </c>
      <c r="B269" s="131"/>
      <c r="C269" s="124"/>
      <c r="D269" s="339" t="s">
        <v>405</v>
      </c>
      <c r="E269" s="132"/>
      <c r="F269" s="132">
        <v>50</v>
      </c>
      <c r="G269" s="1248"/>
      <c r="H269" s="446" t="s">
        <v>24</v>
      </c>
      <c r="I269" s="429"/>
      <c r="J269" s="133"/>
      <c r="K269" s="133"/>
      <c r="L269" s="133"/>
      <c r="M269" s="133"/>
      <c r="N269" s="134"/>
      <c r="P269" s="454"/>
    </row>
    <row r="270" spans="1:16" s="928" customFormat="1" ht="18" customHeight="1">
      <c r="A270" s="443">
        <v>262</v>
      </c>
      <c r="B270" s="917"/>
      <c r="C270" s="906"/>
      <c r="D270" s="926" t="s">
        <v>303</v>
      </c>
      <c r="E270" s="919"/>
      <c r="F270" s="919"/>
      <c r="G270" s="1251"/>
      <c r="H270" s="920"/>
      <c r="I270" s="903">
        <f>SUM(J270:N270)</f>
        <v>43</v>
      </c>
      <c r="J270" s="921"/>
      <c r="K270" s="921"/>
      <c r="L270" s="921"/>
      <c r="M270" s="921">
        <v>43</v>
      </c>
      <c r="N270" s="922"/>
      <c r="P270" s="929"/>
    </row>
    <row r="271" spans="1:16" s="928" customFormat="1" ht="18" customHeight="1">
      <c r="A271" s="443">
        <v>263</v>
      </c>
      <c r="B271" s="917"/>
      <c r="C271" s="906"/>
      <c r="D271" s="993" t="s">
        <v>994</v>
      </c>
      <c r="E271" s="919"/>
      <c r="F271" s="919"/>
      <c r="G271" s="1251"/>
      <c r="H271" s="920"/>
      <c r="I271" s="428">
        <f>SUM(J271:N271)</f>
        <v>43</v>
      </c>
      <c r="J271" s="921"/>
      <c r="K271" s="921"/>
      <c r="L271" s="921"/>
      <c r="M271" s="991">
        <v>43</v>
      </c>
      <c r="N271" s="922"/>
      <c r="P271" s="929"/>
    </row>
    <row r="272" spans="1:16" s="928" customFormat="1" ht="18" customHeight="1">
      <c r="A272" s="443">
        <v>264</v>
      </c>
      <c r="B272" s="917"/>
      <c r="C272" s="906"/>
      <c r="D272" s="994" t="s">
        <v>1036</v>
      </c>
      <c r="E272" s="919"/>
      <c r="F272" s="919"/>
      <c r="G272" s="1251"/>
      <c r="H272" s="920"/>
      <c r="I272" s="990">
        <f>SUM(J272:N272)</f>
        <v>0</v>
      </c>
      <c r="J272" s="143"/>
      <c r="K272" s="143"/>
      <c r="L272" s="143"/>
      <c r="M272" s="143">
        <v>0</v>
      </c>
      <c r="N272" s="144"/>
      <c r="P272" s="929"/>
    </row>
    <row r="273" spans="1:16" s="453" customFormat="1" ht="18" customHeight="1">
      <c r="A273" s="443">
        <v>265</v>
      </c>
      <c r="B273" s="131"/>
      <c r="C273" s="124"/>
      <c r="D273" s="339" t="s">
        <v>406</v>
      </c>
      <c r="E273" s="132">
        <v>1080</v>
      </c>
      <c r="F273" s="132">
        <v>1500</v>
      </c>
      <c r="G273" s="1248">
        <v>1320</v>
      </c>
      <c r="H273" s="446" t="s">
        <v>24</v>
      </c>
      <c r="I273" s="429"/>
      <c r="J273" s="133"/>
      <c r="K273" s="133"/>
      <c r="L273" s="133"/>
      <c r="M273" s="133"/>
      <c r="N273" s="134"/>
      <c r="P273" s="454"/>
    </row>
    <row r="274" spans="1:16" s="928" customFormat="1" ht="18" customHeight="1">
      <c r="A274" s="443">
        <v>266</v>
      </c>
      <c r="B274" s="917"/>
      <c r="C274" s="906"/>
      <c r="D274" s="926" t="s">
        <v>303</v>
      </c>
      <c r="E274" s="919"/>
      <c r="F274" s="919"/>
      <c r="G274" s="1251"/>
      <c r="H274" s="920"/>
      <c r="I274" s="903">
        <f>SUM(J274:N274)</f>
        <v>1275</v>
      </c>
      <c r="J274" s="921"/>
      <c r="K274" s="921"/>
      <c r="L274" s="921"/>
      <c r="M274" s="921">
        <v>1275</v>
      </c>
      <c r="N274" s="922"/>
      <c r="P274" s="929"/>
    </row>
    <row r="275" spans="1:16" s="928" customFormat="1" ht="18" customHeight="1">
      <c r="A275" s="443">
        <v>267</v>
      </c>
      <c r="B275" s="917"/>
      <c r="C275" s="906"/>
      <c r="D275" s="993" t="s">
        <v>994</v>
      </c>
      <c r="E275" s="919"/>
      <c r="F275" s="919"/>
      <c r="G275" s="1251"/>
      <c r="H275" s="920"/>
      <c r="I275" s="428">
        <f>SUM(J275:N275)</f>
        <v>1475</v>
      </c>
      <c r="J275" s="921"/>
      <c r="K275" s="921"/>
      <c r="L275" s="921"/>
      <c r="M275" s="991">
        <v>1475</v>
      </c>
      <c r="N275" s="922"/>
      <c r="P275" s="929"/>
    </row>
    <row r="276" spans="1:16" s="928" customFormat="1" ht="18" customHeight="1">
      <c r="A276" s="443">
        <v>268</v>
      </c>
      <c r="B276" s="917"/>
      <c r="C276" s="906"/>
      <c r="D276" s="994" t="s">
        <v>1040</v>
      </c>
      <c r="E276" s="919"/>
      <c r="F276" s="919"/>
      <c r="G276" s="1251"/>
      <c r="H276" s="920"/>
      <c r="I276" s="990">
        <f>SUM(J276:N276)</f>
        <v>1365</v>
      </c>
      <c r="J276" s="143"/>
      <c r="K276" s="143"/>
      <c r="L276" s="143"/>
      <c r="M276" s="143">
        <v>1365</v>
      </c>
      <c r="N276" s="144"/>
      <c r="P276" s="929"/>
    </row>
    <row r="277" spans="1:16" s="453" customFormat="1" ht="18" customHeight="1">
      <c r="A277" s="443">
        <v>269</v>
      </c>
      <c r="B277" s="131"/>
      <c r="C277" s="124"/>
      <c r="D277" s="339" t="s">
        <v>407</v>
      </c>
      <c r="E277" s="132"/>
      <c r="F277" s="132">
        <v>400</v>
      </c>
      <c r="G277" s="1248"/>
      <c r="H277" s="446" t="s">
        <v>24</v>
      </c>
      <c r="I277" s="429"/>
      <c r="J277" s="133"/>
      <c r="K277" s="133"/>
      <c r="L277" s="133"/>
      <c r="M277" s="133"/>
      <c r="N277" s="134"/>
      <c r="P277" s="454"/>
    </row>
    <row r="278" spans="1:16" s="928" customFormat="1" ht="18" customHeight="1">
      <c r="A278" s="443">
        <v>270</v>
      </c>
      <c r="B278" s="917"/>
      <c r="C278" s="906"/>
      <c r="D278" s="926" t="s">
        <v>303</v>
      </c>
      <c r="E278" s="908"/>
      <c r="F278" s="919"/>
      <c r="G278" s="1251"/>
      <c r="H278" s="920"/>
      <c r="I278" s="903">
        <f>SUM(J278:N278)</f>
        <v>340</v>
      </c>
      <c r="J278" s="921"/>
      <c r="K278" s="921"/>
      <c r="L278" s="921"/>
      <c r="M278" s="921">
        <v>340</v>
      </c>
      <c r="N278" s="922"/>
      <c r="P278" s="929"/>
    </row>
    <row r="279" spans="1:16" s="928" customFormat="1" ht="18" customHeight="1">
      <c r="A279" s="443">
        <v>271</v>
      </c>
      <c r="B279" s="917"/>
      <c r="C279" s="906"/>
      <c r="D279" s="993" t="s">
        <v>994</v>
      </c>
      <c r="E279" s="908"/>
      <c r="F279" s="919"/>
      <c r="G279" s="1251"/>
      <c r="H279" s="920"/>
      <c r="I279" s="428">
        <f>SUM(J279:N279)</f>
        <v>340</v>
      </c>
      <c r="J279" s="921"/>
      <c r="K279" s="921"/>
      <c r="L279" s="921"/>
      <c r="M279" s="991">
        <v>340</v>
      </c>
      <c r="N279" s="922"/>
      <c r="P279" s="929"/>
    </row>
    <row r="280" spans="1:16" s="928" customFormat="1" ht="18" customHeight="1">
      <c r="A280" s="443">
        <v>272</v>
      </c>
      <c r="B280" s="917"/>
      <c r="C280" s="906"/>
      <c r="D280" s="994" t="s">
        <v>1036</v>
      </c>
      <c r="E280" s="908"/>
      <c r="F280" s="919"/>
      <c r="G280" s="1251"/>
      <c r="H280" s="920"/>
      <c r="I280" s="990">
        <f>SUM(J280:N280)</f>
        <v>0</v>
      </c>
      <c r="J280" s="143"/>
      <c r="K280" s="143"/>
      <c r="L280" s="143"/>
      <c r="M280" s="143">
        <v>0</v>
      </c>
      <c r="N280" s="144"/>
      <c r="P280" s="929"/>
    </row>
    <row r="281" spans="1:16" s="453" customFormat="1" ht="18" customHeight="1">
      <c r="A281" s="443">
        <v>273</v>
      </c>
      <c r="B281" s="131"/>
      <c r="C281" s="124"/>
      <c r="D281" s="339" t="s">
        <v>408</v>
      </c>
      <c r="E281" s="122">
        <v>197</v>
      </c>
      <c r="F281" s="132">
        <v>600</v>
      </c>
      <c r="G281" s="1248">
        <v>42</v>
      </c>
      <c r="H281" s="446" t="s">
        <v>24</v>
      </c>
      <c r="I281" s="428"/>
      <c r="J281" s="143"/>
      <c r="K281" s="143"/>
      <c r="L281" s="143"/>
      <c r="M281" s="143"/>
      <c r="N281" s="144"/>
      <c r="P281" s="454"/>
    </row>
    <row r="282" spans="1:16" s="928" customFormat="1" ht="18" customHeight="1">
      <c r="A282" s="443">
        <v>274</v>
      </c>
      <c r="B282" s="917"/>
      <c r="C282" s="906"/>
      <c r="D282" s="926" t="s">
        <v>303</v>
      </c>
      <c r="E282" s="908"/>
      <c r="F282" s="919"/>
      <c r="G282" s="1251"/>
      <c r="H282" s="920"/>
      <c r="I282" s="903">
        <f>SUM(J282:N282)</f>
        <v>510</v>
      </c>
      <c r="J282" s="921"/>
      <c r="K282" s="921"/>
      <c r="L282" s="921"/>
      <c r="M282" s="921">
        <v>510</v>
      </c>
      <c r="N282" s="922"/>
      <c r="P282" s="929"/>
    </row>
    <row r="283" spans="1:16" s="928" customFormat="1" ht="18" customHeight="1">
      <c r="A283" s="443">
        <v>275</v>
      </c>
      <c r="B283" s="917"/>
      <c r="C283" s="906"/>
      <c r="D283" s="993" t="s">
        <v>994</v>
      </c>
      <c r="E283" s="908"/>
      <c r="F283" s="919"/>
      <c r="G283" s="1251"/>
      <c r="H283" s="920"/>
      <c r="I283" s="428">
        <f>SUM(J283:N283)</f>
        <v>510</v>
      </c>
      <c r="J283" s="921"/>
      <c r="K283" s="921"/>
      <c r="L283" s="921"/>
      <c r="M283" s="991">
        <v>510</v>
      </c>
      <c r="N283" s="922"/>
      <c r="P283" s="929"/>
    </row>
    <row r="284" spans="1:16" s="928" customFormat="1" ht="18" customHeight="1">
      <c r="A284" s="443">
        <v>276</v>
      </c>
      <c r="B284" s="917"/>
      <c r="C284" s="906"/>
      <c r="D284" s="994" t="s">
        <v>1036</v>
      </c>
      <c r="E284" s="908"/>
      <c r="F284" s="919"/>
      <c r="G284" s="1251"/>
      <c r="H284" s="920"/>
      <c r="I284" s="990">
        <f>SUM(J284:N284)</f>
        <v>32</v>
      </c>
      <c r="J284" s="143"/>
      <c r="K284" s="143"/>
      <c r="L284" s="143"/>
      <c r="M284" s="143">
        <v>32</v>
      </c>
      <c r="N284" s="144"/>
      <c r="P284" s="929"/>
    </row>
    <row r="285" spans="1:16" s="3" customFormat="1" ht="22.5" customHeight="1">
      <c r="A285" s="443">
        <v>277</v>
      </c>
      <c r="B285" s="119"/>
      <c r="C285" s="120">
        <v>48</v>
      </c>
      <c r="D285" s="437" t="s">
        <v>74</v>
      </c>
      <c r="E285" s="122">
        <v>4045</v>
      </c>
      <c r="F285" s="122">
        <v>4500</v>
      </c>
      <c r="G285" s="1245">
        <v>2941</v>
      </c>
      <c r="H285" s="445" t="s">
        <v>23</v>
      </c>
      <c r="I285" s="426"/>
      <c r="J285" s="126"/>
      <c r="K285" s="126"/>
      <c r="L285" s="126"/>
      <c r="M285" s="126"/>
      <c r="N285" s="127"/>
      <c r="P285" s="8"/>
    </row>
    <row r="286" spans="1:14" s="910" customFormat="1" ht="18" customHeight="1">
      <c r="A286" s="443">
        <v>278</v>
      </c>
      <c r="B286" s="905"/>
      <c r="C286" s="906"/>
      <c r="D286" s="907" t="s">
        <v>303</v>
      </c>
      <c r="E286" s="908"/>
      <c r="F286" s="908"/>
      <c r="G286" s="1247"/>
      <c r="H286" s="909"/>
      <c r="I286" s="900">
        <f>SUM(J286:N286)</f>
        <v>3825</v>
      </c>
      <c r="J286" s="901"/>
      <c r="K286" s="901"/>
      <c r="L286" s="901"/>
      <c r="M286" s="901">
        <v>3825</v>
      </c>
      <c r="N286" s="902"/>
    </row>
    <row r="287" spans="1:14" s="910" customFormat="1" ht="18" customHeight="1">
      <c r="A287" s="443">
        <v>279</v>
      </c>
      <c r="B287" s="905"/>
      <c r="C287" s="906"/>
      <c r="D287" s="436" t="s">
        <v>994</v>
      </c>
      <c r="E287" s="908"/>
      <c r="F287" s="908"/>
      <c r="G287" s="1247"/>
      <c r="H287" s="909"/>
      <c r="I287" s="426">
        <f>SUM(J287:N287)</f>
        <v>6175</v>
      </c>
      <c r="J287" s="901"/>
      <c r="K287" s="901"/>
      <c r="L287" s="901"/>
      <c r="M287" s="341">
        <v>6175</v>
      </c>
      <c r="N287" s="902"/>
    </row>
    <row r="288" spans="1:14" s="910" customFormat="1" ht="18" customHeight="1">
      <c r="A288" s="443">
        <v>280</v>
      </c>
      <c r="B288" s="905"/>
      <c r="C288" s="906"/>
      <c r="D288" s="987" t="s">
        <v>1035</v>
      </c>
      <c r="E288" s="908"/>
      <c r="F288" s="908"/>
      <c r="G288" s="1247"/>
      <c r="H288" s="909"/>
      <c r="I288" s="990">
        <f>SUM(J288:N288)</f>
        <v>4817</v>
      </c>
      <c r="J288" s="143"/>
      <c r="K288" s="143"/>
      <c r="L288" s="143"/>
      <c r="M288" s="143">
        <v>4817</v>
      </c>
      <c r="N288" s="144"/>
    </row>
    <row r="289" spans="1:16" s="1447" customFormat="1" ht="22.5" customHeight="1">
      <c r="A289" s="443">
        <v>281</v>
      </c>
      <c r="B289" s="438"/>
      <c r="C289" s="120">
        <v>49</v>
      </c>
      <c r="D289" s="437" t="s">
        <v>75</v>
      </c>
      <c r="E289" s="122">
        <v>8951</v>
      </c>
      <c r="F289" s="122">
        <v>11447</v>
      </c>
      <c r="G289" s="1245">
        <v>9164</v>
      </c>
      <c r="H289" s="445" t="s">
        <v>24</v>
      </c>
      <c r="I289" s="426"/>
      <c r="J289" s="126"/>
      <c r="K289" s="126"/>
      <c r="L289" s="126"/>
      <c r="M289" s="126"/>
      <c r="N289" s="127"/>
      <c r="P289" s="1448"/>
    </row>
    <row r="290" spans="1:14" s="910" customFormat="1" ht="18" customHeight="1">
      <c r="A290" s="443">
        <v>282</v>
      </c>
      <c r="B290" s="905"/>
      <c r="C290" s="906"/>
      <c r="D290" s="907" t="s">
        <v>303</v>
      </c>
      <c r="E290" s="908"/>
      <c r="F290" s="908"/>
      <c r="G290" s="1247"/>
      <c r="H290" s="909"/>
      <c r="I290" s="900">
        <f>SUM(J290:N290)</f>
        <v>7650</v>
      </c>
      <c r="J290" s="901">
        <v>6565</v>
      </c>
      <c r="K290" s="901">
        <v>938</v>
      </c>
      <c r="L290" s="901">
        <v>147</v>
      </c>
      <c r="M290" s="901"/>
      <c r="N290" s="902"/>
    </row>
    <row r="291" spans="1:14" s="910" customFormat="1" ht="18" customHeight="1">
      <c r="A291" s="443">
        <v>283</v>
      </c>
      <c r="B291" s="905"/>
      <c r="C291" s="906"/>
      <c r="D291" s="436" t="s">
        <v>994</v>
      </c>
      <c r="E291" s="908"/>
      <c r="F291" s="908"/>
      <c r="G291" s="1247"/>
      <c r="H291" s="909"/>
      <c r="I291" s="426">
        <f>SUM(J291:N291)</f>
        <v>8099</v>
      </c>
      <c r="J291" s="341">
        <v>6565</v>
      </c>
      <c r="K291" s="341">
        <v>938</v>
      </c>
      <c r="L291" s="341">
        <v>147</v>
      </c>
      <c r="M291" s="341"/>
      <c r="N291" s="337">
        <v>449</v>
      </c>
    </row>
    <row r="292" spans="1:14" s="910" customFormat="1" ht="18" customHeight="1">
      <c r="A292" s="443">
        <v>284</v>
      </c>
      <c r="B292" s="905"/>
      <c r="C292" s="906"/>
      <c r="D292" s="987" t="s">
        <v>1035</v>
      </c>
      <c r="E292" s="908"/>
      <c r="F292" s="908"/>
      <c r="G292" s="1247"/>
      <c r="H292" s="909"/>
      <c r="I292" s="990">
        <f>SUM(J292:N292)</f>
        <v>2001</v>
      </c>
      <c r="J292" s="143">
        <v>1410</v>
      </c>
      <c r="K292" s="143">
        <v>142</v>
      </c>
      <c r="L292" s="143">
        <v>0</v>
      </c>
      <c r="M292" s="143"/>
      <c r="N292" s="144">
        <v>449</v>
      </c>
    </row>
    <row r="293" spans="1:16" s="1447" customFormat="1" ht="22.5" customHeight="1">
      <c r="A293" s="443">
        <v>285</v>
      </c>
      <c r="B293" s="438"/>
      <c r="C293" s="120">
        <v>50</v>
      </c>
      <c r="D293" s="437" t="s">
        <v>266</v>
      </c>
      <c r="E293" s="122">
        <v>1129</v>
      </c>
      <c r="F293" s="122">
        <v>1560</v>
      </c>
      <c r="G293" s="1245">
        <v>753</v>
      </c>
      <c r="H293" s="445" t="s">
        <v>24</v>
      </c>
      <c r="I293" s="426"/>
      <c r="J293" s="126"/>
      <c r="K293" s="126"/>
      <c r="L293" s="126"/>
      <c r="M293" s="126"/>
      <c r="N293" s="127"/>
      <c r="P293" s="1448"/>
    </row>
    <row r="294" spans="1:14" s="910" customFormat="1" ht="18" customHeight="1">
      <c r="A294" s="443">
        <v>286</v>
      </c>
      <c r="B294" s="905"/>
      <c r="C294" s="906"/>
      <c r="D294" s="907" t="s">
        <v>303</v>
      </c>
      <c r="E294" s="908"/>
      <c r="F294" s="908"/>
      <c r="G294" s="1247"/>
      <c r="H294" s="909"/>
      <c r="I294" s="900">
        <f>SUM(J294:N294)</f>
        <v>1560</v>
      </c>
      <c r="J294" s="901">
        <v>1365</v>
      </c>
      <c r="K294" s="901">
        <v>195</v>
      </c>
      <c r="L294" s="901"/>
      <c r="M294" s="901"/>
      <c r="N294" s="902"/>
    </row>
    <row r="295" spans="1:14" s="910" customFormat="1" ht="18" customHeight="1">
      <c r="A295" s="443">
        <v>287</v>
      </c>
      <c r="B295" s="905"/>
      <c r="C295" s="906"/>
      <c r="D295" s="436" t="s">
        <v>994</v>
      </c>
      <c r="E295" s="908"/>
      <c r="F295" s="908"/>
      <c r="G295" s="1247"/>
      <c r="H295" s="909"/>
      <c r="I295" s="426">
        <f>SUM(J295:N295)</f>
        <v>1560</v>
      </c>
      <c r="J295" s="341">
        <v>1365</v>
      </c>
      <c r="K295" s="341">
        <v>195</v>
      </c>
      <c r="L295" s="901"/>
      <c r="M295" s="901"/>
      <c r="N295" s="902"/>
    </row>
    <row r="296" spans="1:14" s="910" customFormat="1" ht="18" customHeight="1">
      <c r="A296" s="443">
        <v>288</v>
      </c>
      <c r="B296" s="905"/>
      <c r="C296" s="906"/>
      <c r="D296" s="987" t="s">
        <v>1036</v>
      </c>
      <c r="E296" s="908"/>
      <c r="F296" s="908"/>
      <c r="G296" s="1247"/>
      <c r="H296" s="909"/>
      <c r="I296" s="990">
        <f>SUM(J296:N296)</f>
        <v>1117</v>
      </c>
      <c r="J296" s="143">
        <v>967</v>
      </c>
      <c r="K296" s="143">
        <v>150</v>
      </c>
      <c r="L296" s="143"/>
      <c r="M296" s="143"/>
      <c r="N296" s="144"/>
    </row>
    <row r="297" spans="1:16" s="1447" customFormat="1" ht="22.5" customHeight="1">
      <c r="A297" s="443">
        <v>289</v>
      </c>
      <c r="B297" s="438"/>
      <c r="C297" s="120">
        <v>51</v>
      </c>
      <c r="D297" s="437" t="s">
        <v>76</v>
      </c>
      <c r="E297" s="122">
        <v>2</v>
      </c>
      <c r="F297" s="122">
        <v>100</v>
      </c>
      <c r="G297" s="1245"/>
      <c r="H297" s="445" t="s">
        <v>24</v>
      </c>
      <c r="I297" s="426"/>
      <c r="J297" s="126"/>
      <c r="K297" s="126"/>
      <c r="L297" s="126"/>
      <c r="M297" s="126"/>
      <c r="N297" s="127"/>
      <c r="P297" s="1448"/>
    </row>
    <row r="298" spans="1:14" s="910" customFormat="1" ht="18" customHeight="1">
      <c r="A298" s="443">
        <v>290</v>
      </c>
      <c r="B298" s="905"/>
      <c r="C298" s="906"/>
      <c r="D298" s="907" t="s">
        <v>303</v>
      </c>
      <c r="E298" s="908"/>
      <c r="F298" s="908"/>
      <c r="G298" s="1247"/>
      <c r="H298" s="909"/>
      <c r="I298" s="900">
        <f>SUM(J298:N298)</f>
        <v>85</v>
      </c>
      <c r="J298" s="901"/>
      <c r="K298" s="901"/>
      <c r="L298" s="901"/>
      <c r="M298" s="901">
        <v>85</v>
      </c>
      <c r="N298" s="902"/>
    </row>
    <row r="299" spans="1:14" s="910" customFormat="1" ht="18" customHeight="1">
      <c r="A299" s="443">
        <v>291</v>
      </c>
      <c r="B299" s="905"/>
      <c r="C299" s="906"/>
      <c r="D299" s="436" t="s">
        <v>994</v>
      </c>
      <c r="E299" s="908"/>
      <c r="F299" s="908"/>
      <c r="G299" s="1247"/>
      <c r="H299" s="909"/>
      <c r="I299" s="426">
        <f>SUM(J299:N299)</f>
        <v>85</v>
      </c>
      <c r="J299" s="901"/>
      <c r="K299" s="901"/>
      <c r="L299" s="901"/>
      <c r="M299" s="341">
        <v>85</v>
      </c>
      <c r="N299" s="902"/>
    </row>
    <row r="300" spans="1:14" s="910" customFormat="1" ht="18" customHeight="1">
      <c r="A300" s="443">
        <v>292</v>
      </c>
      <c r="B300" s="905"/>
      <c r="C300" s="906"/>
      <c r="D300" s="987" t="s">
        <v>1036</v>
      </c>
      <c r="E300" s="908"/>
      <c r="F300" s="908"/>
      <c r="G300" s="1247"/>
      <c r="H300" s="909"/>
      <c r="I300" s="990">
        <f>SUM(J300:N300)</f>
        <v>0</v>
      </c>
      <c r="J300" s="143"/>
      <c r="K300" s="143"/>
      <c r="L300" s="143"/>
      <c r="M300" s="143">
        <v>0</v>
      </c>
      <c r="N300" s="144"/>
    </row>
    <row r="301" spans="1:16" s="1447" customFormat="1" ht="22.5" customHeight="1">
      <c r="A301" s="443">
        <v>293</v>
      </c>
      <c r="B301" s="438"/>
      <c r="C301" s="120">
        <v>52</v>
      </c>
      <c r="D301" s="437" t="s">
        <v>287</v>
      </c>
      <c r="E301" s="122">
        <v>6000</v>
      </c>
      <c r="F301" s="122">
        <v>6000</v>
      </c>
      <c r="G301" s="1245">
        <v>6000</v>
      </c>
      <c r="H301" s="445" t="s">
        <v>23</v>
      </c>
      <c r="I301" s="426"/>
      <c r="J301" s="126"/>
      <c r="K301" s="126"/>
      <c r="L301" s="126"/>
      <c r="M301" s="126"/>
      <c r="N301" s="127"/>
      <c r="P301" s="1448"/>
    </row>
    <row r="302" spans="1:14" s="910" customFormat="1" ht="18" customHeight="1">
      <c r="A302" s="443">
        <v>294</v>
      </c>
      <c r="B302" s="905"/>
      <c r="C302" s="906"/>
      <c r="D302" s="907" t="s">
        <v>303</v>
      </c>
      <c r="E302" s="908"/>
      <c r="F302" s="908"/>
      <c r="G302" s="1247"/>
      <c r="H302" s="909"/>
      <c r="I302" s="900">
        <f>SUM(J302:N302)</f>
        <v>5100</v>
      </c>
      <c r="J302" s="901"/>
      <c r="K302" s="901"/>
      <c r="L302" s="901">
        <v>5100</v>
      </c>
      <c r="M302" s="901"/>
      <c r="N302" s="902"/>
    </row>
    <row r="303" spans="1:14" s="910" customFormat="1" ht="18" customHeight="1">
      <c r="A303" s="443">
        <v>295</v>
      </c>
      <c r="B303" s="905"/>
      <c r="C303" s="906"/>
      <c r="D303" s="436" t="s">
        <v>994</v>
      </c>
      <c r="E303" s="908"/>
      <c r="F303" s="908"/>
      <c r="G303" s="1247"/>
      <c r="H303" s="909"/>
      <c r="I303" s="426">
        <f>SUM(J303:N303)</f>
        <v>6000</v>
      </c>
      <c r="J303" s="901"/>
      <c r="K303" s="901"/>
      <c r="L303" s="341">
        <v>6000</v>
      </c>
      <c r="M303" s="901"/>
      <c r="N303" s="902"/>
    </row>
    <row r="304" spans="1:14" s="910" customFormat="1" ht="18" customHeight="1">
      <c r="A304" s="443">
        <v>296</v>
      </c>
      <c r="B304" s="905"/>
      <c r="C304" s="906"/>
      <c r="D304" s="987" t="s">
        <v>1035</v>
      </c>
      <c r="E304" s="908"/>
      <c r="F304" s="908"/>
      <c r="G304" s="1247"/>
      <c r="H304" s="909"/>
      <c r="I304" s="990">
        <f>SUM(J304:N304)</f>
        <v>6000</v>
      </c>
      <c r="J304" s="143"/>
      <c r="K304" s="143"/>
      <c r="L304" s="143">
        <v>6000</v>
      </c>
      <c r="M304" s="143"/>
      <c r="N304" s="144"/>
    </row>
    <row r="305" spans="1:16" s="1447" customFormat="1" ht="22.5" customHeight="1">
      <c r="A305" s="443">
        <v>297</v>
      </c>
      <c r="B305" s="438"/>
      <c r="C305" s="120">
        <v>53</v>
      </c>
      <c r="D305" s="437" t="s">
        <v>301</v>
      </c>
      <c r="E305" s="122">
        <v>12000</v>
      </c>
      <c r="F305" s="122">
        <v>12000</v>
      </c>
      <c r="G305" s="1245">
        <v>12000</v>
      </c>
      <c r="H305" s="445" t="s">
        <v>23</v>
      </c>
      <c r="I305" s="426"/>
      <c r="J305" s="126"/>
      <c r="K305" s="126"/>
      <c r="L305" s="126"/>
      <c r="M305" s="126"/>
      <c r="N305" s="127"/>
      <c r="P305" s="1448"/>
    </row>
    <row r="306" spans="1:14" s="910" customFormat="1" ht="18" customHeight="1">
      <c r="A306" s="443">
        <v>298</v>
      </c>
      <c r="B306" s="905"/>
      <c r="C306" s="906"/>
      <c r="D306" s="907" t="s">
        <v>303</v>
      </c>
      <c r="E306" s="908"/>
      <c r="F306" s="908"/>
      <c r="G306" s="1247"/>
      <c r="H306" s="909"/>
      <c r="I306" s="900">
        <f>SUM(J306:N306)</f>
        <v>10200</v>
      </c>
      <c r="J306" s="901"/>
      <c r="K306" s="901"/>
      <c r="L306" s="901"/>
      <c r="M306" s="901"/>
      <c r="N306" s="902">
        <v>10200</v>
      </c>
    </row>
    <row r="307" spans="1:14" s="910" customFormat="1" ht="18" customHeight="1">
      <c r="A307" s="443">
        <v>299</v>
      </c>
      <c r="B307" s="905"/>
      <c r="C307" s="906"/>
      <c r="D307" s="436" t="s">
        <v>994</v>
      </c>
      <c r="E307" s="908"/>
      <c r="F307" s="908"/>
      <c r="G307" s="1247"/>
      <c r="H307" s="909"/>
      <c r="I307" s="426">
        <f>SUM(J307:N307)</f>
        <v>10200</v>
      </c>
      <c r="J307" s="901"/>
      <c r="K307" s="901"/>
      <c r="L307" s="901"/>
      <c r="M307" s="901"/>
      <c r="N307" s="337">
        <v>10200</v>
      </c>
    </row>
    <row r="308" spans="1:14" s="910" customFormat="1" ht="18" customHeight="1">
      <c r="A308" s="443">
        <v>300</v>
      </c>
      <c r="B308" s="905"/>
      <c r="C308" s="906"/>
      <c r="D308" s="987" t="s">
        <v>1036</v>
      </c>
      <c r="E308" s="908"/>
      <c r="F308" s="908"/>
      <c r="G308" s="1247"/>
      <c r="H308" s="909"/>
      <c r="I308" s="990">
        <f>SUM(J308:N308)</f>
        <v>10200</v>
      </c>
      <c r="J308" s="143"/>
      <c r="K308" s="143"/>
      <c r="L308" s="143"/>
      <c r="M308" s="143"/>
      <c r="N308" s="144">
        <v>10200</v>
      </c>
    </row>
    <row r="309" spans="1:16" s="1447" customFormat="1" ht="22.5" customHeight="1">
      <c r="A309" s="443">
        <v>301</v>
      </c>
      <c r="B309" s="438"/>
      <c r="C309" s="120">
        <v>54</v>
      </c>
      <c r="D309" s="437" t="s">
        <v>78</v>
      </c>
      <c r="E309" s="122">
        <v>60000</v>
      </c>
      <c r="F309" s="122">
        <v>60000</v>
      </c>
      <c r="G309" s="1245">
        <v>60000</v>
      </c>
      <c r="H309" s="445" t="s">
        <v>23</v>
      </c>
      <c r="I309" s="426"/>
      <c r="J309" s="126"/>
      <c r="K309" s="126"/>
      <c r="L309" s="126"/>
      <c r="M309" s="126"/>
      <c r="N309" s="127"/>
      <c r="P309" s="1448"/>
    </row>
    <row r="310" spans="1:14" s="910" customFormat="1" ht="18" customHeight="1">
      <c r="A310" s="443">
        <v>302</v>
      </c>
      <c r="B310" s="905"/>
      <c r="C310" s="906"/>
      <c r="D310" s="907" t="s">
        <v>303</v>
      </c>
      <c r="E310" s="908"/>
      <c r="F310" s="908"/>
      <c r="G310" s="1247"/>
      <c r="H310" s="909"/>
      <c r="I310" s="900">
        <f>SUM(J310:N310)</f>
        <v>60000</v>
      </c>
      <c r="J310" s="901"/>
      <c r="K310" s="901"/>
      <c r="L310" s="901"/>
      <c r="M310" s="901"/>
      <c r="N310" s="902">
        <v>60000</v>
      </c>
    </row>
    <row r="311" spans="1:14" s="910" customFormat="1" ht="18" customHeight="1">
      <c r="A311" s="443">
        <v>303</v>
      </c>
      <c r="B311" s="905"/>
      <c r="C311" s="906"/>
      <c r="D311" s="436" t="s">
        <v>994</v>
      </c>
      <c r="E311" s="908"/>
      <c r="F311" s="908"/>
      <c r="G311" s="1247"/>
      <c r="H311" s="909"/>
      <c r="I311" s="426">
        <f>SUM(J311:N311)</f>
        <v>60000</v>
      </c>
      <c r="J311" s="901"/>
      <c r="K311" s="901"/>
      <c r="L311" s="901"/>
      <c r="M311" s="901"/>
      <c r="N311" s="337">
        <v>60000</v>
      </c>
    </row>
    <row r="312" spans="1:14" s="910" customFormat="1" ht="18" customHeight="1">
      <c r="A312" s="443">
        <v>304</v>
      </c>
      <c r="B312" s="905"/>
      <c r="C312" s="906"/>
      <c r="D312" s="987" t="s">
        <v>1036</v>
      </c>
      <c r="E312" s="908"/>
      <c r="F312" s="908"/>
      <c r="G312" s="1247"/>
      <c r="H312" s="909"/>
      <c r="I312" s="990">
        <f>SUM(J312:N312)</f>
        <v>60000</v>
      </c>
      <c r="J312" s="143"/>
      <c r="K312" s="143"/>
      <c r="L312" s="143"/>
      <c r="M312" s="143"/>
      <c r="N312" s="144">
        <v>60000</v>
      </c>
    </row>
    <row r="313" spans="1:16" s="1447" customFormat="1" ht="22.5" customHeight="1">
      <c r="A313" s="443">
        <v>305</v>
      </c>
      <c r="B313" s="438"/>
      <c r="C313" s="120">
        <v>55</v>
      </c>
      <c r="D313" s="437" t="s">
        <v>477</v>
      </c>
      <c r="E313" s="122">
        <v>411191</v>
      </c>
      <c r="F313" s="122">
        <v>401644</v>
      </c>
      <c r="G313" s="1245">
        <v>458587</v>
      </c>
      <c r="H313" s="445" t="s">
        <v>23</v>
      </c>
      <c r="I313" s="426"/>
      <c r="J313" s="126"/>
      <c r="K313" s="126"/>
      <c r="L313" s="126"/>
      <c r="M313" s="126"/>
      <c r="N313" s="127"/>
      <c r="P313" s="1448"/>
    </row>
    <row r="314" spans="1:14" s="910" customFormat="1" ht="18" customHeight="1">
      <c r="A314" s="443">
        <v>306</v>
      </c>
      <c r="B314" s="905"/>
      <c r="C314" s="906"/>
      <c r="D314" s="907" t="s">
        <v>303</v>
      </c>
      <c r="E314" s="908"/>
      <c r="F314" s="908"/>
      <c r="G314" s="1247"/>
      <c r="H314" s="909"/>
      <c r="I314" s="900">
        <f>SUM(J314:N314)</f>
        <v>454892</v>
      </c>
      <c r="J314" s="901"/>
      <c r="K314" s="901"/>
      <c r="L314" s="901"/>
      <c r="M314" s="901"/>
      <c r="N314" s="902">
        <v>454892</v>
      </c>
    </row>
    <row r="315" spans="1:14" s="910" customFormat="1" ht="18" customHeight="1">
      <c r="A315" s="443">
        <v>307</v>
      </c>
      <c r="B315" s="905"/>
      <c r="C315" s="906"/>
      <c r="D315" s="436" t="s">
        <v>994</v>
      </c>
      <c r="E315" s="908"/>
      <c r="F315" s="908"/>
      <c r="G315" s="1247"/>
      <c r="H315" s="909"/>
      <c r="I315" s="426">
        <f>SUM(J315:N315)</f>
        <v>569176</v>
      </c>
      <c r="J315" s="901"/>
      <c r="K315" s="901"/>
      <c r="L315" s="901"/>
      <c r="M315" s="901"/>
      <c r="N315" s="337">
        <v>569176</v>
      </c>
    </row>
    <row r="316" spans="1:14" s="910" customFormat="1" ht="18" customHeight="1">
      <c r="A316" s="443">
        <v>308</v>
      </c>
      <c r="B316" s="905"/>
      <c r="C316" s="906"/>
      <c r="D316" s="1020" t="s">
        <v>1035</v>
      </c>
      <c r="E316" s="908"/>
      <c r="F316" s="908"/>
      <c r="G316" s="1247"/>
      <c r="H316" s="909"/>
      <c r="I316" s="990">
        <f>SUM(J316:N316)</f>
        <v>569174</v>
      </c>
      <c r="J316" s="143"/>
      <c r="K316" s="143"/>
      <c r="L316" s="143"/>
      <c r="M316" s="143"/>
      <c r="N316" s="144">
        <v>569174</v>
      </c>
    </row>
    <row r="317" spans="1:16" s="1447" customFormat="1" ht="22.5" customHeight="1">
      <c r="A317" s="443">
        <v>309</v>
      </c>
      <c r="B317" s="438"/>
      <c r="C317" s="120">
        <v>56</v>
      </c>
      <c r="D317" s="437" t="s">
        <v>356</v>
      </c>
      <c r="E317" s="122">
        <v>47940</v>
      </c>
      <c r="F317" s="122">
        <v>68578</v>
      </c>
      <c r="G317" s="1245">
        <v>68585</v>
      </c>
      <c r="H317" s="445" t="s">
        <v>23</v>
      </c>
      <c r="I317" s="426"/>
      <c r="J317" s="126"/>
      <c r="K317" s="126"/>
      <c r="L317" s="126"/>
      <c r="M317" s="126"/>
      <c r="N317" s="127"/>
      <c r="P317" s="1448"/>
    </row>
    <row r="318" spans="1:14" s="910" customFormat="1" ht="18" customHeight="1">
      <c r="A318" s="443">
        <v>310</v>
      </c>
      <c r="B318" s="905"/>
      <c r="C318" s="906"/>
      <c r="D318" s="907" t="s">
        <v>303</v>
      </c>
      <c r="E318" s="908"/>
      <c r="F318" s="908"/>
      <c r="G318" s="1247"/>
      <c r="H318" s="909"/>
      <c r="I318" s="900">
        <f>SUM(J318:N318)</f>
        <v>98406</v>
      </c>
      <c r="J318" s="901"/>
      <c r="K318" s="901"/>
      <c r="L318" s="901">
        <f>80578+17828</f>
        <v>98406</v>
      </c>
      <c r="M318" s="901"/>
      <c r="N318" s="902"/>
    </row>
    <row r="319" spans="1:14" s="910" customFormat="1" ht="18" customHeight="1">
      <c r="A319" s="443">
        <v>311</v>
      </c>
      <c r="B319" s="905"/>
      <c r="C319" s="906"/>
      <c r="D319" s="436" t="s">
        <v>994</v>
      </c>
      <c r="E319" s="908"/>
      <c r="F319" s="908"/>
      <c r="G319" s="1247"/>
      <c r="H319" s="909"/>
      <c r="I319" s="426">
        <f>SUM(J319:N319)</f>
        <v>98406</v>
      </c>
      <c r="J319" s="901"/>
      <c r="K319" s="901"/>
      <c r="L319" s="341">
        <v>98406</v>
      </c>
      <c r="M319" s="901"/>
      <c r="N319" s="902"/>
    </row>
    <row r="320" spans="1:14" s="910" customFormat="1" ht="18" customHeight="1">
      <c r="A320" s="443">
        <v>312</v>
      </c>
      <c r="B320" s="905"/>
      <c r="C320" s="906"/>
      <c r="D320" s="987" t="s">
        <v>1035</v>
      </c>
      <c r="E320" s="908"/>
      <c r="F320" s="908"/>
      <c r="G320" s="1247"/>
      <c r="H320" s="909"/>
      <c r="I320" s="990">
        <f>SUM(J320:N320)</f>
        <v>90437</v>
      </c>
      <c r="J320" s="143"/>
      <c r="K320" s="143"/>
      <c r="L320" s="143">
        <v>90437</v>
      </c>
      <c r="M320" s="143"/>
      <c r="N320" s="144"/>
    </row>
    <row r="321" spans="1:14" s="8" customFormat="1" ht="22.5" customHeight="1">
      <c r="A321" s="443">
        <v>313</v>
      </c>
      <c r="B321" s="123"/>
      <c r="C321" s="120">
        <v>57</v>
      </c>
      <c r="D321" s="436" t="s">
        <v>437</v>
      </c>
      <c r="E321" s="122">
        <v>937</v>
      </c>
      <c r="F321" s="122">
        <v>3840</v>
      </c>
      <c r="G321" s="1245">
        <v>2180</v>
      </c>
      <c r="H321" s="445" t="s">
        <v>24</v>
      </c>
      <c r="I321" s="426"/>
      <c r="J321" s="126"/>
      <c r="K321" s="126"/>
      <c r="L321" s="126"/>
      <c r="M321" s="126"/>
      <c r="N321" s="127"/>
    </row>
    <row r="322" spans="1:14" s="910" customFormat="1" ht="18" customHeight="1">
      <c r="A322" s="443">
        <v>314</v>
      </c>
      <c r="B322" s="905"/>
      <c r="C322" s="906"/>
      <c r="D322" s="907" t="s">
        <v>303</v>
      </c>
      <c r="E322" s="908"/>
      <c r="F322" s="908"/>
      <c r="G322" s="1247"/>
      <c r="H322" s="909"/>
      <c r="I322" s="900">
        <f>SUM(J322:N322)</f>
        <v>3264</v>
      </c>
      <c r="J322" s="901"/>
      <c r="K322" s="901"/>
      <c r="L322" s="901"/>
      <c r="M322" s="901"/>
      <c r="N322" s="902">
        <v>3264</v>
      </c>
    </row>
    <row r="323" spans="1:14" s="910" customFormat="1" ht="18" customHeight="1">
      <c r="A323" s="443">
        <v>315</v>
      </c>
      <c r="B323" s="905"/>
      <c r="C323" s="906"/>
      <c r="D323" s="436" t="s">
        <v>994</v>
      </c>
      <c r="E323" s="908"/>
      <c r="F323" s="908"/>
      <c r="G323" s="1247"/>
      <c r="H323" s="909"/>
      <c r="I323" s="426">
        <f>SUM(J323:N323)</f>
        <v>3264</v>
      </c>
      <c r="J323" s="901"/>
      <c r="K323" s="901"/>
      <c r="L323" s="341">
        <v>3264</v>
      </c>
      <c r="M323" s="341"/>
      <c r="N323" s="337"/>
    </row>
    <row r="324" spans="1:14" s="910" customFormat="1" ht="18" customHeight="1">
      <c r="A324" s="443">
        <v>316</v>
      </c>
      <c r="B324" s="905"/>
      <c r="C324" s="906"/>
      <c r="D324" s="987" t="s">
        <v>1035</v>
      </c>
      <c r="E324" s="908"/>
      <c r="F324" s="908"/>
      <c r="G324" s="1247"/>
      <c r="H324" s="909"/>
      <c r="I324" s="990">
        <f>SUM(J324:N324)</f>
        <v>2348</v>
      </c>
      <c r="J324" s="143"/>
      <c r="K324" s="143"/>
      <c r="L324" s="143">
        <v>2348</v>
      </c>
      <c r="M324" s="143"/>
      <c r="N324" s="144"/>
    </row>
    <row r="325" spans="1:14" s="8" customFormat="1" ht="22.5" customHeight="1">
      <c r="A325" s="443">
        <v>317</v>
      </c>
      <c r="B325" s="123"/>
      <c r="C325" s="120">
        <v>58</v>
      </c>
      <c r="D325" s="436" t="s">
        <v>438</v>
      </c>
      <c r="E325" s="122">
        <v>2448</v>
      </c>
      <c r="F325" s="122">
        <v>4000</v>
      </c>
      <c r="G325" s="1245"/>
      <c r="H325" s="445" t="s">
        <v>24</v>
      </c>
      <c r="I325" s="426"/>
      <c r="J325" s="126"/>
      <c r="K325" s="126"/>
      <c r="L325" s="126"/>
      <c r="M325" s="126"/>
      <c r="N325" s="127"/>
    </row>
    <row r="326" spans="1:14" s="910" customFormat="1" ht="18" customHeight="1">
      <c r="A326" s="443">
        <v>318</v>
      </c>
      <c r="B326" s="905"/>
      <c r="C326" s="906"/>
      <c r="D326" s="907" t="s">
        <v>303</v>
      </c>
      <c r="E326" s="908"/>
      <c r="F326" s="908"/>
      <c r="G326" s="1247"/>
      <c r="H326" s="909"/>
      <c r="I326" s="900">
        <f>SUM(J326:N326)</f>
        <v>3400</v>
      </c>
      <c r="J326" s="901"/>
      <c r="K326" s="901"/>
      <c r="L326" s="901"/>
      <c r="M326" s="901"/>
      <c r="N326" s="902">
        <v>3400</v>
      </c>
    </row>
    <row r="327" spans="1:14" s="910" customFormat="1" ht="18" customHeight="1">
      <c r="A327" s="443">
        <v>319</v>
      </c>
      <c r="B327" s="905"/>
      <c r="C327" s="906"/>
      <c r="D327" s="436" t="s">
        <v>994</v>
      </c>
      <c r="E327" s="908"/>
      <c r="F327" s="908"/>
      <c r="G327" s="1247"/>
      <c r="H327" s="909"/>
      <c r="I327" s="426">
        <f>SUM(J327:N327)</f>
        <v>0</v>
      </c>
      <c r="J327" s="901"/>
      <c r="K327" s="901"/>
      <c r="L327" s="901"/>
      <c r="M327" s="901"/>
      <c r="N327" s="337">
        <v>0</v>
      </c>
    </row>
    <row r="328" spans="1:14" s="910" customFormat="1" ht="18" customHeight="1">
      <c r="A328" s="443">
        <v>320</v>
      </c>
      <c r="B328" s="905"/>
      <c r="C328" s="906"/>
      <c r="D328" s="987" t="s">
        <v>1035</v>
      </c>
      <c r="E328" s="908"/>
      <c r="F328" s="908"/>
      <c r="G328" s="1247"/>
      <c r="H328" s="909"/>
      <c r="I328" s="990">
        <f>SUM(J328:N328)</f>
        <v>0</v>
      </c>
      <c r="J328" s="143"/>
      <c r="K328" s="143"/>
      <c r="L328" s="143"/>
      <c r="M328" s="143"/>
      <c r="N328" s="144">
        <v>0</v>
      </c>
    </row>
    <row r="329" spans="1:16" s="3" customFormat="1" ht="22.5" customHeight="1">
      <c r="A329" s="443">
        <v>321</v>
      </c>
      <c r="B329" s="119"/>
      <c r="C329" s="120">
        <v>59</v>
      </c>
      <c r="D329" s="437" t="s">
        <v>80</v>
      </c>
      <c r="E329" s="122">
        <v>1700</v>
      </c>
      <c r="F329" s="122">
        <v>1700</v>
      </c>
      <c r="G329" s="1245">
        <v>1700</v>
      </c>
      <c r="H329" s="445" t="s">
        <v>24</v>
      </c>
      <c r="I329" s="426"/>
      <c r="J329" s="126"/>
      <c r="K329" s="126"/>
      <c r="L329" s="126"/>
      <c r="M329" s="126"/>
      <c r="N329" s="127"/>
      <c r="P329" s="8"/>
    </row>
    <row r="330" spans="1:14" s="910" customFormat="1" ht="18" customHeight="1">
      <c r="A330" s="443">
        <v>322</v>
      </c>
      <c r="B330" s="905"/>
      <c r="C330" s="906"/>
      <c r="D330" s="907" t="s">
        <v>303</v>
      </c>
      <c r="E330" s="908"/>
      <c r="F330" s="908"/>
      <c r="G330" s="1247"/>
      <c r="H330" s="909"/>
      <c r="I330" s="900">
        <f>SUM(J330:N330)</f>
        <v>1445</v>
      </c>
      <c r="J330" s="901"/>
      <c r="K330" s="901"/>
      <c r="L330" s="901">
        <v>1445</v>
      </c>
      <c r="M330" s="901"/>
      <c r="N330" s="902"/>
    </row>
    <row r="331" spans="1:14" s="910" customFormat="1" ht="18" customHeight="1">
      <c r="A331" s="443">
        <v>323</v>
      </c>
      <c r="B331" s="905"/>
      <c r="C331" s="906"/>
      <c r="D331" s="436" t="s">
        <v>994</v>
      </c>
      <c r="E331" s="908"/>
      <c r="F331" s="908"/>
      <c r="G331" s="1247"/>
      <c r="H331" s="909"/>
      <c r="I331" s="426">
        <f>SUM(J331:N331)</f>
        <v>1445</v>
      </c>
      <c r="J331" s="901"/>
      <c r="K331" s="901"/>
      <c r="L331" s="341">
        <v>1445</v>
      </c>
      <c r="M331" s="901"/>
      <c r="N331" s="902"/>
    </row>
    <row r="332" spans="1:14" s="910" customFormat="1" ht="18" customHeight="1">
      <c r="A332" s="443">
        <v>324</v>
      </c>
      <c r="B332" s="905"/>
      <c r="C332" s="906"/>
      <c r="D332" s="987" t="s">
        <v>1036</v>
      </c>
      <c r="E332" s="908"/>
      <c r="F332" s="908"/>
      <c r="G332" s="1247"/>
      <c r="H332" s="909"/>
      <c r="I332" s="990">
        <f>SUM(J332:N332)</f>
        <v>1445</v>
      </c>
      <c r="J332" s="143"/>
      <c r="K332" s="143"/>
      <c r="L332" s="143">
        <v>1445</v>
      </c>
      <c r="M332" s="143"/>
      <c r="N332" s="144"/>
    </row>
    <row r="333" spans="1:16" s="3" customFormat="1" ht="22.5" customHeight="1">
      <c r="A333" s="443">
        <v>325</v>
      </c>
      <c r="B333" s="119"/>
      <c r="C333" s="120">
        <v>60</v>
      </c>
      <c r="D333" s="437" t="s">
        <v>409</v>
      </c>
      <c r="E333" s="122"/>
      <c r="F333" s="122">
        <v>1000</v>
      </c>
      <c r="G333" s="1245"/>
      <c r="H333" s="445" t="s">
        <v>24</v>
      </c>
      <c r="I333" s="426"/>
      <c r="J333" s="126"/>
      <c r="K333" s="126"/>
      <c r="L333" s="126"/>
      <c r="M333" s="126"/>
      <c r="N333" s="127"/>
      <c r="P333" s="8"/>
    </row>
    <row r="334" spans="1:14" s="910" customFormat="1" ht="18" customHeight="1">
      <c r="A334" s="443">
        <v>326</v>
      </c>
      <c r="B334" s="905"/>
      <c r="C334" s="906"/>
      <c r="D334" s="907" t="s">
        <v>303</v>
      </c>
      <c r="E334" s="908"/>
      <c r="F334" s="908"/>
      <c r="G334" s="1247"/>
      <c r="H334" s="909"/>
      <c r="I334" s="900">
        <f>SUM(J334:N334)</f>
        <v>850</v>
      </c>
      <c r="J334" s="901"/>
      <c r="K334" s="901"/>
      <c r="L334" s="901">
        <v>850</v>
      </c>
      <c r="M334" s="901"/>
      <c r="N334" s="902"/>
    </row>
    <row r="335" spans="1:14" s="910" customFormat="1" ht="18" customHeight="1">
      <c r="A335" s="443">
        <v>327</v>
      </c>
      <c r="B335" s="905"/>
      <c r="C335" s="906"/>
      <c r="D335" s="436" t="s">
        <v>994</v>
      </c>
      <c r="E335" s="908"/>
      <c r="F335" s="908"/>
      <c r="G335" s="1247"/>
      <c r="H335" s="909"/>
      <c r="I335" s="426">
        <f>SUM(J335:N335)</f>
        <v>0</v>
      </c>
      <c r="J335" s="901"/>
      <c r="K335" s="901"/>
      <c r="L335" s="341">
        <v>0</v>
      </c>
      <c r="M335" s="901"/>
      <c r="N335" s="902"/>
    </row>
    <row r="336" spans="1:14" s="910" customFormat="1" ht="18" customHeight="1">
      <c r="A336" s="443">
        <v>328</v>
      </c>
      <c r="B336" s="905"/>
      <c r="C336" s="906"/>
      <c r="D336" s="987" t="s">
        <v>1035</v>
      </c>
      <c r="E336" s="908"/>
      <c r="F336" s="908"/>
      <c r="G336" s="1247"/>
      <c r="H336" s="909"/>
      <c r="I336" s="990">
        <f>SUM(J336:N336)</f>
        <v>0</v>
      </c>
      <c r="J336" s="143"/>
      <c r="K336" s="143"/>
      <c r="L336" s="143">
        <v>0</v>
      </c>
      <c r="M336" s="143"/>
      <c r="N336" s="144"/>
    </row>
    <row r="337" spans="1:16" s="3" customFormat="1" ht="22.5" customHeight="1">
      <c r="A337" s="443">
        <v>329</v>
      </c>
      <c r="B337" s="119"/>
      <c r="C337" s="120">
        <v>61</v>
      </c>
      <c r="D337" s="437" t="s">
        <v>81</v>
      </c>
      <c r="E337" s="122">
        <v>1000</v>
      </c>
      <c r="F337" s="122">
        <v>1000</v>
      </c>
      <c r="G337" s="1245">
        <v>1000</v>
      </c>
      <c r="H337" s="445" t="s">
        <v>24</v>
      </c>
      <c r="I337" s="426"/>
      <c r="J337" s="126"/>
      <c r="K337" s="126"/>
      <c r="L337" s="126"/>
      <c r="M337" s="126"/>
      <c r="N337" s="127"/>
      <c r="P337" s="8"/>
    </row>
    <row r="338" spans="1:14" s="910" customFormat="1" ht="18" customHeight="1">
      <c r="A338" s="443">
        <v>330</v>
      </c>
      <c r="B338" s="905"/>
      <c r="C338" s="906"/>
      <c r="D338" s="907" t="s">
        <v>303</v>
      </c>
      <c r="E338" s="908"/>
      <c r="F338" s="908"/>
      <c r="G338" s="1247"/>
      <c r="H338" s="909"/>
      <c r="I338" s="900">
        <f>SUM(J338:N338)</f>
        <v>850</v>
      </c>
      <c r="J338" s="901"/>
      <c r="K338" s="901"/>
      <c r="L338" s="901">
        <v>850</v>
      </c>
      <c r="M338" s="901"/>
      <c r="N338" s="902"/>
    </row>
    <row r="339" spans="1:14" s="910" customFormat="1" ht="18" customHeight="1">
      <c r="A339" s="443">
        <v>331</v>
      </c>
      <c r="B339" s="905"/>
      <c r="C339" s="906"/>
      <c r="D339" s="436" t="s">
        <v>994</v>
      </c>
      <c r="E339" s="908"/>
      <c r="F339" s="908"/>
      <c r="G339" s="1247"/>
      <c r="H339" s="909"/>
      <c r="I339" s="426">
        <f>SUM(J339:N339)</f>
        <v>710</v>
      </c>
      <c r="J339" s="901"/>
      <c r="K339" s="901"/>
      <c r="L339" s="341">
        <v>710</v>
      </c>
      <c r="M339" s="901"/>
      <c r="N339" s="902"/>
    </row>
    <row r="340" spans="1:14" s="910" customFormat="1" ht="18" customHeight="1">
      <c r="A340" s="443">
        <v>332</v>
      </c>
      <c r="B340" s="905"/>
      <c r="C340" s="906"/>
      <c r="D340" s="987" t="s">
        <v>1035</v>
      </c>
      <c r="E340" s="908"/>
      <c r="F340" s="908"/>
      <c r="G340" s="1247"/>
      <c r="H340" s="909"/>
      <c r="I340" s="990">
        <f>SUM(J340:N340)</f>
        <v>710</v>
      </c>
      <c r="J340" s="143"/>
      <c r="K340" s="143"/>
      <c r="L340" s="143">
        <v>710</v>
      </c>
      <c r="M340" s="143"/>
      <c r="N340" s="144"/>
    </row>
    <row r="341" spans="1:14" s="8" customFormat="1" ht="22.5" customHeight="1">
      <c r="A341" s="443">
        <v>333</v>
      </c>
      <c r="B341" s="123"/>
      <c r="C341" s="120">
        <v>62</v>
      </c>
      <c r="D341" s="437" t="s">
        <v>744</v>
      </c>
      <c r="E341" s="122"/>
      <c r="F341" s="122"/>
      <c r="G341" s="1245"/>
      <c r="H341" s="445" t="s">
        <v>24</v>
      </c>
      <c r="I341" s="426"/>
      <c r="J341" s="126"/>
      <c r="K341" s="126"/>
      <c r="L341" s="126"/>
      <c r="M341" s="126"/>
      <c r="N341" s="127"/>
    </row>
    <row r="342" spans="1:14" s="910" customFormat="1" ht="18" customHeight="1">
      <c r="A342" s="443">
        <v>334</v>
      </c>
      <c r="B342" s="905"/>
      <c r="C342" s="906"/>
      <c r="D342" s="907" t="s">
        <v>303</v>
      </c>
      <c r="E342" s="908"/>
      <c r="F342" s="908"/>
      <c r="G342" s="1247"/>
      <c r="H342" s="909"/>
      <c r="I342" s="900">
        <f>SUM(J342:N342)</f>
        <v>1275</v>
      </c>
      <c r="J342" s="901"/>
      <c r="K342" s="901"/>
      <c r="L342" s="901"/>
      <c r="M342" s="901"/>
      <c r="N342" s="902">
        <v>1275</v>
      </c>
    </row>
    <row r="343" spans="1:14" s="910" customFormat="1" ht="18" customHeight="1">
      <c r="A343" s="443">
        <v>335</v>
      </c>
      <c r="B343" s="905"/>
      <c r="C343" s="906"/>
      <c r="D343" s="436" t="s">
        <v>994</v>
      </c>
      <c r="E343" s="908"/>
      <c r="F343" s="908"/>
      <c r="G343" s="1247"/>
      <c r="H343" s="909"/>
      <c r="I343" s="426">
        <f>SUM(J343:N343)</f>
        <v>1275</v>
      </c>
      <c r="J343" s="901"/>
      <c r="K343" s="901"/>
      <c r="L343" s="901"/>
      <c r="M343" s="901"/>
      <c r="N343" s="337">
        <v>1275</v>
      </c>
    </row>
    <row r="344" spans="1:14" s="910" customFormat="1" ht="18" customHeight="1">
      <c r="A344" s="443">
        <v>336</v>
      </c>
      <c r="B344" s="905"/>
      <c r="C344" s="906"/>
      <c r="D344" s="987" t="s">
        <v>1036</v>
      </c>
      <c r="E344" s="908"/>
      <c r="F344" s="908"/>
      <c r="G344" s="1247"/>
      <c r="H344" s="909"/>
      <c r="I344" s="990">
        <f>SUM(J344:N344)</f>
        <v>1275</v>
      </c>
      <c r="J344" s="143"/>
      <c r="K344" s="143"/>
      <c r="L344" s="143"/>
      <c r="M344" s="143"/>
      <c r="N344" s="144">
        <v>1275</v>
      </c>
    </row>
    <row r="345" spans="1:16" s="3" customFormat="1" ht="22.5" customHeight="1">
      <c r="A345" s="443">
        <v>337</v>
      </c>
      <c r="B345" s="119"/>
      <c r="C345" s="120">
        <v>63</v>
      </c>
      <c r="D345" s="437" t="s">
        <v>82</v>
      </c>
      <c r="E345" s="122">
        <v>4958</v>
      </c>
      <c r="F345" s="122">
        <v>5500</v>
      </c>
      <c r="G345" s="1245">
        <v>5500</v>
      </c>
      <c r="H345" s="445" t="s">
        <v>23</v>
      </c>
      <c r="I345" s="426"/>
      <c r="J345" s="126"/>
      <c r="K345" s="126"/>
      <c r="L345" s="126"/>
      <c r="M345" s="126"/>
      <c r="N345" s="127"/>
      <c r="P345" s="8"/>
    </row>
    <row r="346" spans="1:14" s="910" customFormat="1" ht="18" customHeight="1">
      <c r="A346" s="443">
        <v>338</v>
      </c>
      <c r="B346" s="905"/>
      <c r="C346" s="906"/>
      <c r="D346" s="907" t="s">
        <v>303</v>
      </c>
      <c r="E346" s="908"/>
      <c r="F346" s="908"/>
      <c r="G346" s="1247"/>
      <c r="H346" s="909"/>
      <c r="I346" s="900">
        <f>SUM(J346:N346)</f>
        <v>5500</v>
      </c>
      <c r="J346" s="901"/>
      <c r="K346" s="901"/>
      <c r="L346" s="901">
        <v>5500</v>
      </c>
      <c r="M346" s="901"/>
      <c r="N346" s="902"/>
    </row>
    <row r="347" spans="1:14" s="910" customFormat="1" ht="18" customHeight="1">
      <c r="A347" s="443">
        <v>339</v>
      </c>
      <c r="B347" s="905"/>
      <c r="C347" s="906"/>
      <c r="D347" s="436" t="s">
        <v>994</v>
      </c>
      <c r="E347" s="908"/>
      <c r="F347" s="908"/>
      <c r="G347" s="1247"/>
      <c r="H347" s="909"/>
      <c r="I347" s="426">
        <f>SUM(J347:N347)</f>
        <v>5500</v>
      </c>
      <c r="J347" s="901"/>
      <c r="K347" s="901"/>
      <c r="L347" s="341">
        <v>5500</v>
      </c>
      <c r="M347" s="901"/>
      <c r="N347" s="902"/>
    </row>
    <row r="348" spans="1:14" s="910" customFormat="1" ht="18" customHeight="1">
      <c r="A348" s="443">
        <v>340</v>
      </c>
      <c r="B348" s="905"/>
      <c r="C348" s="906"/>
      <c r="D348" s="987" t="s">
        <v>1036</v>
      </c>
      <c r="E348" s="908"/>
      <c r="F348" s="908"/>
      <c r="G348" s="1247"/>
      <c r="H348" s="909"/>
      <c r="I348" s="990">
        <f>SUM(J348:N348)</f>
        <v>5500</v>
      </c>
      <c r="J348" s="143"/>
      <c r="K348" s="143"/>
      <c r="L348" s="143">
        <v>5500</v>
      </c>
      <c r="M348" s="143"/>
      <c r="N348" s="144"/>
    </row>
    <row r="349" spans="1:16" s="3" customFormat="1" ht="22.5" customHeight="1">
      <c r="A349" s="443">
        <v>341</v>
      </c>
      <c r="B349" s="119"/>
      <c r="C349" s="120">
        <v>64</v>
      </c>
      <c r="D349" s="437" t="s">
        <v>83</v>
      </c>
      <c r="E349" s="122">
        <v>4500</v>
      </c>
      <c r="F349" s="122">
        <v>4800</v>
      </c>
      <c r="G349" s="1245">
        <v>4800</v>
      </c>
      <c r="H349" s="445" t="s">
        <v>23</v>
      </c>
      <c r="I349" s="426"/>
      <c r="J349" s="126"/>
      <c r="K349" s="126"/>
      <c r="L349" s="126"/>
      <c r="M349" s="126"/>
      <c r="N349" s="127"/>
      <c r="P349" s="8"/>
    </row>
    <row r="350" spans="1:14" s="910" customFormat="1" ht="18" customHeight="1">
      <c r="A350" s="443">
        <v>342</v>
      </c>
      <c r="B350" s="905"/>
      <c r="C350" s="906"/>
      <c r="D350" s="907" t="s">
        <v>303</v>
      </c>
      <c r="E350" s="908"/>
      <c r="F350" s="908"/>
      <c r="G350" s="1247"/>
      <c r="H350" s="909"/>
      <c r="I350" s="900">
        <f>SUM(J350:N350)</f>
        <v>5200</v>
      </c>
      <c r="J350" s="901"/>
      <c r="K350" s="901"/>
      <c r="L350" s="901">
        <v>5200</v>
      </c>
      <c r="M350" s="901"/>
      <c r="N350" s="902"/>
    </row>
    <row r="351" spans="1:14" s="910" customFormat="1" ht="18" customHeight="1">
      <c r="A351" s="443">
        <v>343</v>
      </c>
      <c r="B351" s="905"/>
      <c r="C351" s="906"/>
      <c r="D351" s="436" t="s">
        <v>994</v>
      </c>
      <c r="E351" s="908"/>
      <c r="F351" s="908"/>
      <c r="G351" s="1247"/>
      <c r="H351" s="909"/>
      <c r="I351" s="426">
        <f>SUM(J351:N351)</f>
        <v>5200</v>
      </c>
      <c r="J351" s="901"/>
      <c r="K351" s="901"/>
      <c r="L351" s="341">
        <v>5200</v>
      </c>
      <c r="M351" s="901"/>
      <c r="N351" s="902"/>
    </row>
    <row r="352" spans="1:14" s="910" customFormat="1" ht="18" customHeight="1">
      <c r="A352" s="443">
        <v>344</v>
      </c>
      <c r="B352" s="905"/>
      <c r="C352" s="906"/>
      <c r="D352" s="987" t="s">
        <v>1036</v>
      </c>
      <c r="E352" s="908"/>
      <c r="F352" s="908"/>
      <c r="G352" s="1247"/>
      <c r="H352" s="909"/>
      <c r="I352" s="990">
        <f>SUM(J352:N352)</f>
        <v>5160</v>
      </c>
      <c r="J352" s="143"/>
      <c r="K352" s="143"/>
      <c r="L352" s="143">
        <v>5160</v>
      </c>
      <c r="M352" s="143"/>
      <c r="N352" s="144"/>
    </row>
    <row r="353" spans="1:16" s="3" customFormat="1" ht="22.5" customHeight="1">
      <c r="A353" s="443">
        <v>345</v>
      </c>
      <c r="B353" s="119"/>
      <c r="C353" s="120">
        <v>65</v>
      </c>
      <c r="D353" s="437" t="s">
        <v>84</v>
      </c>
      <c r="E353" s="122">
        <v>1391</v>
      </c>
      <c r="F353" s="122">
        <v>2845</v>
      </c>
      <c r="G353" s="1245">
        <v>1763</v>
      </c>
      <c r="H353" s="445" t="s">
        <v>24</v>
      </c>
      <c r="I353" s="426"/>
      <c r="J353" s="126"/>
      <c r="K353" s="126"/>
      <c r="L353" s="126"/>
      <c r="M353" s="126"/>
      <c r="N353" s="127"/>
      <c r="P353" s="8"/>
    </row>
    <row r="354" spans="1:14" s="910" customFormat="1" ht="18" customHeight="1">
      <c r="A354" s="443">
        <v>346</v>
      </c>
      <c r="B354" s="905"/>
      <c r="C354" s="906"/>
      <c r="D354" s="907" t="s">
        <v>303</v>
      </c>
      <c r="E354" s="908"/>
      <c r="F354" s="908"/>
      <c r="G354" s="1247"/>
      <c r="H354" s="909"/>
      <c r="I354" s="900">
        <f>SUM(J354:N354)</f>
        <v>2418</v>
      </c>
      <c r="J354" s="901"/>
      <c r="K354" s="901"/>
      <c r="L354" s="901">
        <v>2418</v>
      </c>
      <c r="M354" s="901"/>
      <c r="N354" s="902"/>
    </row>
    <row r="355" spans="1:14" s="910" customFormat="1" ht="18" customHeight="1">
      <c r="A355" s="443">
        <v>347</v>
      </c>
      <c r="B355" s="905"/>
      <c r="C355" s="906"/>
      <c r="D355" s="436" t="s">
        <v>994</v>
      </c>
      <c r="E355" s="908"/>
      <c r="F355" s="908"/>
      <c r="G355" s="1247"/>
      <c r="H355" s="909"/>
      <c r="I355" s="426">
        <f>SUM(J355:N355)</f>
        <v>5918</v>
      </c>
      <c r="J355" s="901"/>
      <c r="K355" s="901"/>
      <c r="L355" s="341">
        <v>5918</v>
      </c>
      <c r="M355" s="901"/>
      <c r="N355" s="902"/>
    </row>
    <row r="356" spans="1:14" s="910" customFormat="1" ht="18" customHeight="1">
      <c r="A356" s="443">
        <v>348</v>
      </c>
      <c r="B356" s="905"/>
      <c r="C356" s="906"/>
      <c r="D356" s="987" t="s">
        <v>1035</v>
      </c>
      <c r="E356" s="908"/>
      <c r="F356" s="908"/>
      <c r="G356" s="1247"/>
      <c r="H356" s="909"/>
      <c r="I356" s="990">
        <f>SUM(J356:N356)</f>
        <v>5177</v>
      </c>
      <c r="J356" s="143"/>
      <c r="K356" s="143"/>
      <c r="L356" s="143">
        <v>5177</v>
      </c>
      <c r="M356" s="143"/>
      <c r="N356" s="144"/>
    </row>
    <row r="357" spans="1:16" s="3" customFormat="1" ht="22.5" customHeight="1">
      <c r="A357" s="443">
        <v>349</v>
      </c>
      <c r="B357" s="119"/>
      <c r="C357" s="120">
        <v>66</v>
      </c>
      <c r="D357" s="437" t="s">
        <v>85</v>
      </c>
      <c r="E357" s="122">
        <v>189681</v>
      </c>
      <c r="F357" s="122">
        <v>218519</v>
      </c>
      <c r="G357" s="1245">
        <v>197049</v>
      </c>
      <c r="H357" s="445" t="s">
        <v>23</v>
      </c>
      <c r="I357" s="426"/>
      <c r="J357" s="126"/>
      <c r="K357" s="126"/>
      <c r="L357" s="126"/>
      <c r="M357" s="126"/>
      <c r="N357" s="127"/>
      <c r="P357" s="8"/>
    </row>
    <row r="358" spans="1:14" s="910" customFormat="1" ht="18" customHeight="1">
      <c r="A358" s="443">
        <v>350</v>
      </c>
      <c r="B358" s="905"/>
      <c r="C358" s="906"/>
      <c r="D358" s="907" t="s">
        <v>303</v>
      </c>
      <c r="E358" s="908"/>
      <c r="F358" s="908"/>
      <c r="G358" s="1247"/>
      <c r="H358" s="909"/>
      <c r="I358" s="900">
        <f>SUM(J358:N358)</f>
        <v>255180</v>
      </c>
      <c r="J358" s="901">
        <v>153862</v>
      </c>
      <c r="K358" s="901">
        <v>26611</v>
      </c>
      <c r="L358" s="901">
        <f>77707-3000</f>
        <v>74707</v>
      </c>
      <c r="M358" s="901"/>
      <c r="N358" s="902"/>
    </row>
    <row r="359" spans="1:14" s="910" customFormat="1" ht="18" customHeight="1">
      <c r="A359" s="443">
        <v>351</v>
      </c>
      <c r="B359" s="905"/>
      <c r="C359" s="906"/>
      <c r="D359" s="436" t="s">
        <v>994</v>
      </c>
      <c r="E359" s="908"/>
      <c r="F359" s="908"/>
      <c r="G359" s="1247"/>
      <c r="H359" s="909"/>
      <c r="I359" s="426">
        <f>SUM(J359:N359)</f>
        <v>263624</v>
      </c>
      <c r="J359" s="341">
        <v>158536</v>
      </c>
      <c r="K359" s="341">
        <v>30817</v>
      </c>
      <c r="L359" s="341">
        <v>74271</v>
      </c>
      <c r="M359" s="901"/>
      <c r="N359" s="902"/>
    </row>
    <row r="360" spans="1:14" s="910" customFormat="1" ht="18" customHeight="1">
      <c r="A360" s="443">
        <v>352</v>
      </c>
      <c r="B360" s="905"/>
      <c r="C360" s="906"/>
      <c r="D360" s="987" t="s">
        <v>1035</v>
      </c>
      <c r="E360" s="908"/>
      <c r="F360" s="908"/>
      <c r="G360" s="1247"/>
      <c r="H360" s="909"/>
      <c r="I360" s="990">
        <f>SUM(J360:N360)</f>
        <v>202279</v>
      </c>
      <c r="J360" s="143">
        <v>120096</v>
      </c>
      <c r="K360" s="143">
        <v>18136</v>
      </c>
      <c r="L360" s="143">
        <v>64047</v>
      </c>
      <c r="M360" s="143"/>
      <c r="N360" s="144"/>
    </row>
    <row r="361" spans="1:14" s="8" customFormat="1" ht="22.5" customHeight="1">
      <c r="A361" s="443">
        <v>353</v>
      </c>
      <c r="B361" s="123"/>
      <c r="C361" s="120">
        <v>67</v>
      </c>
      <c r="D361" s="436" t="s">
        <v>410</v>
      </c>
      <c r="E361" s="122">
        <v>180</v>
      </c>
      <c r="F361" s="122">
        <v>180</v>
      </c>
      <c r="G361" s="1245">
        <v>180</v>
      </c>
      <c r="H361" s="445" t="s">
        <v>23</v>
      </c>
      <c r="I361" s="426"/>
      <c r="J361" s="126"/>
      <c r="K361" s="126"/>
      <c r="L361" s="126"/>
      <c r="M361" s="126"/>
      <c r="N361" s="127"/>
    </row>
    <row r="362" spans="1:14" s="910" customFormat="1" ht="18" customHeight="1">
      <c r="A362" s="443">
        <v>354</v>
      </c>
      <c r="B362" s="905"/>
      <c r="C362" s="906"/>
      <c r="D362" s="907" t="s">
        <v>303</v>
      </c>
      <c r="E362" s="908"/>
      <c r="F362" s="908"/>
      <c r="G362" s="1247"/>
      <c r="H362" s="909"/>
      <c r="I362" s="900">
        <f>SUM(J362:N362)</f>
        <v>180</v>
      </c>
      <c r="J362" s="901"/>
      <c r="K362" s="901"/>
      <c r="L362" s="901">
        <v>180</v>
      </c>
      <c r="M362" s="901"/>
      <c r="N362" s="902"/>
    </row>
    <row r="363" spans="1:14" s="910" customFormat="1" ht="18" customHeight="1">
      <c r="A363" s="443">
        <v>355</v>
      </c>
      <c r="B363" s="905"/>
      <c r="C363" s="906"/>
      <c r="D363" s="436" t="s">
        <v>994</v>
      </c>
      <c r="E363" s="908"/>
      <c r="F363" s="908"/>
      <c r="G363" s="1247"/>
      <c r="H363" s="909"/>
      <c r="I363" s="426">
        <f>SUM(J363:N363)</f>
        <v>180</v>
      </c>
      <c r="J363" s="901"/>
      <c r="K363" s="901"/>
      <c r="L363" s="341">
        <v>180</v>
      </c>
      <c r="M363" s="901"/>
      <c r="N363" s="902"/>
    </row>
    <row r="364" spans="1:14" s="910" customFormat="1" ht="18" customHeight="1">
      <c r="A364" s="443">
        <v>356</v>
      </c>
      <c r="B364" s="905"/>
      <c r="C364" s="906"/>
      <c r="D364" s="987" t="s">
        <v>1036</v>
      </c>
      <c r="E364" s="908"/>
      <c r="F364" s="908"/>
      <c r="G364" s="1247"/>
      <c r="H364" s="909"/>
      <c r="I364" s="990">
        <f>SUM(J364:N364)</f>
        <v>180</v>
      </c>
      <c r="J364" s="143"/>
      <c r="K364" s="143"/>
      <c r="L364" s="143">
        <v>180</v>
      </c>
      <c r="M364" s="143"/>
      <c r="N364" s="144"/>
    </row>
    <row r="365" spans="1:16" s="3" customFormat="1" ht="22.5" customHeight="1">
      <c r="A365" s="443">
        <v>357</v>
      </c>
      <c r="B365" s="119"/>
      <c r="C365" s="120">
        <v>68</v>
      </c>
      <c r="D365" s="437" t="s">
        <v>86</v>
      </c>
      <c r="E365" s="122">
        <v>7276</v>
      </c>
      <c r="F365" s="122">
        <v>25000</v>
      </c>
      <c r="G365" s="1245">
        <v>14161</v>
      </c>
      <c r="H365" s="445" t="s">
        <v>23</v>
      </c>
      <c r="I365" s="426"/>
      <c r="J365" s="126"/>
      <c r="K365" s="126"/>
      <c r="L365" s="126"/>
      <c r="M365" s="126"/>
      <c r="N365" s="127"/>
      <c r="P365" s="8"/>
    </row>
    <row r="366" spans="1:14" s="910" customFormat="1" ht="18" customHeight="1">
      <c r="A366" s="443">
        <v>358</v>
      </c>
      <c r="B366" s="927"/>
      <c r="C366" s="906"/>
      <c r="D366" s="907" t="s">
        <v>303</v>
      </c>
      <c r="E366" s="912"/>
      <c r="F366" s="912"/>
      <c r="G366" s="1250"/>
      <c r="H366" s="913"/>
      <c r="I366" s="900">
        <f>SUM(J366:N366)</f>
        <v>54536</v>
      </c>
      <c r="J366" s="914"/>
      <c r="K366" s="914"/>
      <c r="L366" s="914"/>
      <c r="M366" s="914"/>
      <c r="N366" s="915">
        <f>54541-5</f>
        <v>54536</v>
      </c>
    </row>
    <row r="367" spans="1:14" s="910" customFormat="1" ht="18" customHeight="1">
      <c r="A367" s="443">
        <v>359</v>
      </c>
      <c r="B367" s="927"/>
      <c r="C367" s="906"/>
      <c r="D367" s="436" t="s">
        <v>994</v>
      </c>
      <c r="E367" s="912"/>
      <c r="F367" s="912"/>
      <c r="G367" s="1250"/>
      <c r="H367" s="913"/>
      <c r="I367" s="426">
        <f>SUM(J367:N367)</f>
        <v>324748</v>
      </c>
      <c r="J367" s="914"/>
      <c r="K367" s="914"/>
      <c r="L367" s="988">
        <v>2293</v>
      </c>
      <c r="M367" s="914"/>
      <c r="N367" s="989">
        <v>322455</v>
      </c>
    </row>
    <row r="368" spans="1:14" s="910" customFormat="1" ht="18" customHeight="1">
      <c r="A368" s="443">
        <v>360</v>
      </c>
      <c r="B368" s="927"/>
      <c r="C368" s="906"/>
      <c r="D368" s="987" t="s">
        <v>1035</v>
      </c>
      <c r="E368" s="912"/>
      <c r="F368" s="912"/>
      <c r="G368" s="1250"/>
      <c r="H368" s="913"/>
      <c r="I368" s="990">
        <f>SUM(J368:N368)</f>
        <v>16203</v>
      </c>
      <c r="J368" s="458"/>
      <c r="K368" s="458"/>
      <c r="L368" s="458">
        <v>2293</v>
      </c>
      <c r="M368" s="458"/>
      <c r="N368" s="459">
        <v>13910</v>
      </c>
    </row>
    <row r="369" spans="1:16" s="3" customFormat="1" ht="22.5" customHeight="1">
      <c r="A369" s="443">
        <v>361</v>
      </c>
      <c r="B369" s="119"/>
      <c r="C369" s="120">
        <v>69</v>
      </c>
      <c r="D369" s="437" t="s">
        <v>87</v>
      </c>
      <c r="E369" s="122">
        <v>121137</v>
      </c>
      <c r="F369" s="122">
        <v>136877</v>
      </c>
      <c r="G369" s="1245">
        <v>164182</v>
      </c>
      <c r="H369" s="445" t="s">
        <v>23</v>
      </c>
      <c r="I369" s="426"/>
      <c r="J369" s="126"/>
      <c r="K369" s="126"/>
      <c r="L369" s="126"/>
      <c r="M369" s="126"/>
      <c r="N369" s="127"/>
      <c r="P369" s="8"/>
    </row>
    <row r="370" spans="1:14" s="910" customFormat="1" ht="18" customHeight="1">
      <c r="A370" s="443">
        <v>362</v>
      </c>
      <c r="B370" s="905"/>
      <c r="C370" s="906"/>
      <c r="D370" s="907" t="s">
        <v>303</v>
      </c>
      <c r="E370" s="908"/>
      <c r="F370" s="908"/>
      <c r="G370" s="1247"/>
      <c r="H370" s="909"/>
      <c r="I370" s="900">
        <f>SUM(J370:N370)</f>
        <v>158489</v>
      </c>
      <c r="J370" s="901"/>
      <c r="K370" s="901"/>
      <c r="L370" s="901">
        <v>158489</v>
      </c>
      <c r="M370" s="901"/>
      <c r="N370" s="902"/>
    </row>
    <row r="371" spans="1:14" s="910" customFormat="1" ht="18" customHeight="1">
      <c r="A371" s="443">
        <v>363</v>
      </c>
      <c r="B371" s="905"/>
      <c r="C371" s="906"/>
      <c r="D371" s="436" t="s">
        <v>994</v>
      </c>
      <c r="E371" s="908"/>
      <c r="F371" s="908"/>
      <c r="G371" s="1247"/>
      <c r="H371" s="909"/>
      <c r="I371" s="426">
        <f>SUM(J371:N371)</f>
        <v>139930</v>
      </c>
      <c r="J371" s="901"/>
      <c r="K371" s="901"/>
      <c r="L371" s="341">
        <v>139930</v>
      </c>
      <c r="M371" s="901"/>
      <c r="N371" s="902"/>
    </row>
    <row r="372" spans="1:14" s="910" customFormat="1" ht="18" customHeight="1">
      <c r="A372" s="443">
        <v>364</v>
      </c>
      <c r="B372" s="905"/>
      <c r="C372" s="906"/>
      <c r="D372" s="987" t="s">
        <v>1035</v>
      </c>
      <c r="E372" s="908"/>
      <c r="F372" s="908"/>
      <c r="G372" s="1247"/>
      <c r="H372" s="909"/>
      <c r="I372" s="990">
        <f>SUM(J372:N372)</f>
        <v>119740</v>
      </c>
      <c r="J372" s="143"/>
      <c r="K372" s="143"/>
      <c r="L372" s="143">
        <v>119740</v>
      </c>
      <c r="M372" s="143"/>
      <c r="N372" s="144"/>
    </row>
    <row r="373" spans="1:16" s="3" customFormat="1" ht="22.5" customHeight="1">
      <c r="A373" s="443">
        <v>365</v>
      </c>
      <c r="B373" s="119"/>
      <c r="C373" s="120">
        <v>70</v>
      </c>
      <c r="D373" s="437" t="s">
        <v>88</v>
      </c>
      <c r="E373" s="122">
        <v>15166</v>
      </c>
      <c r="F373" s="122">
        <v>16687</v>
      </c>
      <c r="G373" s="1245">
        <v>13955</v>
      </c>
      <c r="H373" s="445" t="s">
        <v>24</v>
      </c>
      <c r="I373" s="426"/>
      <c r="J373" s="126"/>
      <c r="K373" s="126"/>
      <c r="L373" s="126"/>
      <c r="M373" s="126"/>
      <c r="N373" s="127"/>
      <c r="P373" s="8"/>
    </row>
    <row r="374" spans="1:14" s="910" customFormat="1" ht="18" customHeight="1">
      <c r="A374" s="443">
        <v>366</v>
      </c>
      <c r="B374" s="905"/>
      <c r="C374" s="906"/>
      <c r="D374" s="907" t="s">
        <v>303</v>
      </c>
      <c r="E374" s="908"/>
      <c r="F374" s="908"/>
      <c r="G374" s="1247"/>
      <c r="H374" s="909"/>
      <c r="I374" s="900">
        <f>SUM(J374:N374)</f>
        <v>40583</v>
      </c>
      <c r="J374" s="901"/>
      <c r="K374" s="901"/>
      <c r="L374" s="901">
        <v>40583</v>
      </c>
      <c r="M374" s="901"/>
      <c r="N374" s="902"/>
    </row>
    <row r="375" spans="1:14" s="910" customFormat="1" ht="18" customHeight="1">
      <c r="A375" s="443">
        <v>367</v>
      </c>
      <c r="B375" s="905"/>
      <c r="C375" s="906"/>
      <c r="D375" s="436" t="s">
        <v>994</v>
      </c>
      <c r="E375" s="908"/>
      <c r="F375" s="908"/>
      <c r="G375" s="1247"/>
      <c r="H375" s="909"/>
      <c r="I375" s="426">
        <f>SUM(J375:N375)</f>
        <v>40583</v>
      </c>
      <c r="J375" s="901"/>
      <c r="K375" s="901"/>
      <c r="L375" s="341">
        <v>40583</v>
      </c>
      <c r="M375" s="901"/>
      <c r="N375" s="902"/>
    </row>
    <row r="376" spans="1:14" s="910" customFormat="1" ht="18" customHeight="1">
      <c r="A376" s="443">
        <v>368</v>
      </c>
      <c r="B376" s="905"/>
      <c r="C376" s="906"/>
      <c r="D376" s="987" t="s">
        <v>1036</v>
      </c>
      <c r="E376" s="908"/>
      <c r="F376" s="908"/>
      <c r="G376" s="1247"/>
      <c r="H376" s="909"/>
      <c r="I376" s="990">
        <f>SUM(J376:N376)</f>
        <v>14245</v>
      </c>
      <c r="J376" s="143"/>
      <c r="K376" s="143"/>
      <c r="L376" s="143">
        <v>14245</v>
      </c>
      <c r="M376" s="143"/>
      <c r="N376" s="144"/>
    </row>
    <row r="377" spans="1:14" s="8" customFormat="1" ht="22.5" customHeight="1">
      <c r="A377" s="443">
        <v>369</v>
      </c>
      <c r="B377" s="123"/>
      <c r="C377" s="120">
        <v>71</v>
      </c>
      <c r="D377" s="436" t="s">
        <v>411</v>
      </c>
      <c r="E377" s="122">
        <v>244205</v>
      </c>
      <c r="F377" s="122">
        <v>306766</v>
      </c>
      <c r="G377" s="1245">
        <v>306766</v>
      </c>
      <c r="H377" s="445" t="s">
        <v>23</v>
      </c>
      <c r="I377" s="426"/>
      <c r="J377" s="126"/>
      <c r="K377" s="126"/>
      <c r="L377" s="126"/>
      <c r="M377" s="126"/>
      <c r="N377" s="127"/>
    </row>
    <row r="378" spans="1:14" s="910" customFormat="1" ht="18" customHeight="1">
      <c r="A378" s="443">
        <v>370</v>
      </c>
      <c r="B378" s="905"/>
      <c r="C378" s="906"/>
      <c r="D378" s="907" t="s">
        <v>303</v>
      </c>
      <c r="E378" s="908"/>
      <c r="F378" s="908"/>
      <c r="G378" s="1247"/>
      <c r="H378" s="909"/>
      <c r="I378" s="900">
        <f>SUM(J378:N378)</f>
        <v>394879</v>
      </c>
      <c r="J378" s="901"/>
      <c r="K378" s="901"/>
      <c r="L378" s="901"/>
      <c r="M378" s="901"/>
      <c r="N378" s="902">
        <v>394879</v>
      </c>
    </row>
    <row r="379" spans="1:14" s="910" customFormat="1" ht="18" customHeight="1">
      <c r="A379" s="443">
        <v>371</v>
      </c>
      <c r="B379" s="905"/>
      <c r="C379" s="906"/>
      <c r="D379" s="436" t="s">
        <v>994</v>
      </c>
      <c r="E379" s="908"/>
      <c r="F379" s="908"/>
      <c r="G379" s="1247"/>
      <c r="H379" s="909"/>
      <c r="I379" s="426">
        <f>SUM(J379:N379)</f>
        <v>301689</v>
      </c>
      <c r="J379" s="901"/>
      <c r="K379" s="901"/>
      <c r="L379" s="901"/>
      <c r="M379" s="901"/>
      <c r="N379" s="337">
        <v>301689</v>
      </c>
    </row>
    <row r="380" spans="1:14" s="910" customFormat="1" ht="18" customHeight="1">
      <c r="A380" s="443">
        <v>372</v>
      </c>
      <c r="B380" s="905"/>
      <c r="C380" s="906"/>
      <c r="D380" s="987" t="s">
        <v>1035</v>
      </c>
      <c r="E380" s="908"/>
      <c r="F380" s="908"/>
      <c r="G380" s="1247"/>
      <c r="H380" s="909"/>
      <c r="I380" s="990">
        <f>SUM(J380:N380)</f>
        <v>301687</v>
      </c>
      <c r="J380" s="143"/>
      <c r="K380" s="143"/>
      <c r="L380" s="143"/>
      <c r="M380" s="143"/>
      <c r="N380" s="144">
        <v>301687</v>
      </c>
    </row>
    <row r="381" spans="1:16" s="3" customFormat="1" ht="22.5" customHeight="1">
      <c r="A381" s="443">
        <v>373</v>
      </c>
      <c r="B381" s="119"/>
      <c r="C381" s="120">
        <v>72</v>
      </c>
      <c r="D381" s="437" t="s">
        <v>90</v>
      </c>
      <c r="E381" s="122">
        <v>5300</v>
      </c>
      <c r="F381" s="122">
        <v>15000</v>
      </c>
      <c r="G381" s="1245">
        <v>15000</v>
      </c>
      <c r="H381" s="445" t="s">
        <v>24</v>
      </c>
      <c r="I381" s="426"/>
      <c r="J381" s="126"/>
      <c r="K381" s="126"/>
      <c r="L381" s="126"/>
      <c r="M381" s="126"/>
      <c r="N381" s="127"/>
      <c r="P381" s="8"/>
    </row>
    <row r="382" spans="1:14" s="910" customFormat="1" ht="18" customHeight="1">
      <c r="A382" s="443">
        <v>374</v>
      </c>
      <c r="B382" s="905"/>
      <c r="C382" s="906"/>
      <c r="D382" s="907" t="s">
        <v>303</v>
      </c>
      <c r="E382" s="908"/>
      <c r="F382" s="908"/>
      <c r="G382" s="1247"/>
      <c r="H382" s="909"/>
      <c r="I382" s="900">
        <f>SUM(J382:N382)</f>
        <v>12750</v>
      </c>
      <c r="J382" s="901"/>
      <c r="K382" s="901"/>
      <c r="L382" s="901"/>
      <c r="M382" s="901"/>
      <c r="N382" s="902">
        <v>12750</v>
      </c>
    </row>
    <row r="383" spans="1:14" s="910" customFormat="1" ht="18" customHeight="1">
      <c r="A383" s="443">
        <v>375</v>
      </c>
      <c r="B383" s="905"/>
      <c r="C383" s="906"/>
      <c r="D383" s="436" t="s">
        <v>994</v>
      </c>
      <c r="E383" s="908"/>
      <c r="F383" s="908"/>
      <c r="G383" s="1247"/>
      <c r="H383" s="909"/>
      <c r="I383" s="426">
        <f>SUM(J383:N383)</f>
        <v>12750</v>
      </c>
      <c r="J383" s="901"/>
      <c r="K383" s="901"/>
      <c r="L383" s="901"/>
      <c r="M383" s="901"/>
      <c r="N383" s="337">
        <v>12750</v>
      </c>
    </row>
    <row r="384" spans="1:14" s="910" customFormat="1" ht="18" customHeight="1">
      <c r="A384" s="443">
        <v>376</v>
      </c>
      <c r="B384" s="905"/>
      <c r="C384" s="906"/>
      <c r="D384" s="987" t="s">
        <v>1036</v>
      </c>
      <c r="E384" s="908"/>
      <c r="F384" s="908"/>
      <c r="G384" s="1247"/>
      <c r="H384" s="909"/>
      <c r="I384" s="990">
        <f>SUM(J384:N384)</f>
        <v>12750</v>
      </c>
      <c r="J384" s="341"/>
      <c r="K384" s="341"/>
      <c r="L384" s="341"/>
      <c r="M384" s="341"/>
      <c r="N384" s="144">
        <v>12750</v>
      </c>
    </row>
    <row r="385" spans="1:16" s="3" customFormat="1" ht="22.5" customHeight="1">
      <c r="A385" s="443">
        <v>377</v>
      </c>
      <c r="B385" s="119"/>
      <c r="C385" s="120">
        <v>73</v>
      </c>
      <c r="D385" s="440" t="s">
        <v>412</v>
      </c>
      <c r="E385" s="122">
        <v>305180</v>
      </c>
      <c r="F385" s="122">
        <v>160000</v>
      </c>
      <c r="G385" s="1245">
        <v>135683</v>
      </c>
      <c r="H385" s="445" t="s">
        <v>23</v>
      </c>
      <c r="I385" s="426"/>
      <c r="J385" s="126"/>
      <c r="K385" s="126"/>
      <c r="L385" s="126"/>
      <c r="M385" s="126"/>
      <c r="N385" s="127"/>
      <c r="P385" s="8"/>
    </row>
    <row r="386" spans="1:14" s="910" customFormat="1" ht="18" customHeight="1">
      <c r="A386" s="443">
        <v>378</v>
      </c>
      <c r="B386" s="905"/>
      <c r="C386" s="906"/>
      <c r="D386" s="907" t="s">
        <v>303</v>
      </c>
      <c r="E386" s="908"/>
      <c r="F386" s="908"/>
      <c r="G386" s="1247"/>
      <c r="H386" s="909"/>
      <c r="I386" s="900">
        <f>SUM(J386:N386)</f>
        <v>70760</v>
      </c>
      <c r="J386" s="901"/>
      <c r="K386" s="901"/>
      <c r="L386" s="901"/>
      <c r="M386" s="901"/>
      <c r="N386" s="902">
        <v>70760</v>
      </c>
    </row>
    <row r="387" spans="1:14" s="910" customFormat="1" ht="18" customHeight="1">
      <c r="A387" s="443">
        <v>379</v>
      </c>
      <c r="B387" s="905"/>
      <c r="C387" s="906"/>
      <c r="D387" s="436" t="s">
        <v>994</v>
      </c>
      <c r="E387" s="908"/>
      <c r="F387" s="908"/>
      <c r="G387" s="1247"/>
      <c r="H387" s="909"/>
      <c r="I387" s="426">
        <f>SUM(J387:N387)</f>
        <v>70760</v>
      </c>
      <c r="J387" s="901"/>
      <c r="K387" s="901"/>
      <c r="L387" s="901"/>
      <c r="M387" s="901"/>
      <c r="N387" s="337">
        <v>70760</v>
      </c>
    </row>
    <row r="388" spans="1:14" s="910" customFormat="1" ht="18" customHeight="1">
      <c r="A388" s="443">
        <v>380</v>
      </c>
      <c r="B388" s="905"/>
      <c r="C388" s="906"/>
      <c r="D388" s="987" t="s">
        <v>1036</v>
      </c>
      <c r="E388" s="908"/>
      <c r="F388" s="908"/>
      <c r="G388" s="1247"/>
      <c r="H388" s="909"/>
      <c r="I388" s="990">
        <f>SUM(J388:N388)</f>
        <v>70760</v>
      </c>
      <c r="J388" s="341"/>
      <c r="K388" s="341"/>
      <c r="L388" s="341"/>
      <c r="M388" s="341"/>
      <c r="N388" s="144">
        <v>70760</v>
      </c>
    </row>
    <row r="389" spans="1:16" s="3" customFormat="1" ht="22.5" customHeight="1">
      <c r="A389" s="443">
        <v>381</v>
      </c>
      <c r="B389" s="119"/>
      <c r="C389" s="120">
        <v>74</v>
      </c>
      <c r="D389" s="437" t="s">
        <v>93</v>
      </c>
      <c r="E389" s="122">
        <v>74000</v>
      </c>
      <c r="F389" s="122">
        <v>70000</v>
      </c>
      <c r="G389" s="1245">
        <v>70468</v>
      </c>
      <c r="H389" s="445" t="s">
        <v>24</v>
      </c>
      <c r="I389" s="426"/>
      <c r="J389" s="126"/>
      <c r="K389" s="126"/>
      <c r="L389" s="126"/>
      <c r="M389" s="126"/>
      <c r="N389" s="127"/>
      <c r="P389" s="8"/>
    </row>
    <row r="390" spans="1:14" s="910" customFormat="1" ht="18" customHeight="1">
      <c r="A390" s="443">
        <v>382</v>
      </c>
      <c r="B390" s="905"/>
      <c r="C390" s="906"/>
      <c r="D390" s="907" t="s">
        <v>303</v>
      </c>
      <c r="E390" s="908"/>
      <c r="F390" s="908"/>
      <c r="G390" s="1247"/>
      <c r="H390" s="909"/>
      <c r="I390" s="900">
        <f>SUM(J390:N390)</f>
        <v>29500</v>
      </c>
      <c r="J390" s="901"/>
      <c r="K390" s="901"/>
      <c r="L390" s="901"/>
      <c r="M390" s="901"/>
      <c r="N390" s="902">
        <v>29500</v>
      </c>
    </row>
    <row r="391" spans="1:14" s="910" customFormat="1" ht="18" customHeight="1">
      <c r="A391" s="443">
        <v>383</v>
      </c>
      <c r="B391" s="905"/>
      <c r="C391" s="906"/>
      <c r="D391" s="436" t="s">
        <v>994</v>
      </c>
      <c r="E391" s="908"/>
      <c r="F391" s="908"/>
      <c r="G391" s="1247"/>
      <c r="H391" s="909"/>
      <c r="I391" s="426">
        <f>SUM(J391:N391)</f>
        <v>58150</v>
      </c>
      <c r="J391" s="901"/>
      <c r="K391" s="901"/>
      <c r="L391" s="901"/>
      <c r="M391" s="901"/>
      <c r="N391" s="337">
        <v>58150</v>
      </c>
    </row>
    <row r="392" spans="1:14" s="910" customFormat="1" ht="18" customHeight="1">
      <c r="A392" s="443">
        <v>384</v>
      </c>
      <c r="B392" s="905"/>
      <c r="C392" s="906"/>
      <c r="D392" s="987" t="s">
        <v>1035</v>
      </c>
      <c r="E392" s="908"/>
      <c r="F392" s="908"/>
      <c r="G392" s="1247"/>
      <c r="H392" s="909"/>
      <c r="I392" s="990">
        <f>SUM(J392:N392)</f>
        <v>58150</v>
      </c>
      <c r="J392" s="341"/>
      <c r="K392" s="341"/>
      <c r="L392" s="341"/>
      <c r="M392" s="341"/>
      <c r="N392" s="144">
        <v>58150</v>
      </c>
    </row>
    <row r="393" spans="1:16" s="3" customFormat="1" ht="22.5" customHeight="1">
      <c r="A393" s="443">
        <v>385</v>
      </c>
      <c r="B393" s="119"/>
      <c r="C393" s="120">
        <v>75</v>
      </c>
      <c r="D393" s="437" t="s">
        <v>94</v>
      </c>
      <c r="E393" s="122">
        <v>100000</v>
      </c>
      <c r="F393" s="122">
        <v>128000</v>
      </c>
      <c r="G393" s="1245">
        <v>128000</v>
      </c>
      <c r="H393" s="445" t="s">
        <v>24</v>
      </c>
      <c r="I393" s="426"/>
      <c r="J393" s="126"/>
      <c r="K393" s="126"/>
      <c r="L393" s="126"/>
      <c r="M393" s="126"/>
      <c r="N393" s="127"/>
      <c r="P393" s="8"/>
    </row>
    <row r="394" spans="1:14" s="910" customFormat="1" ht="18" customHeight="1">
      <c r="A394" s="443">
        <v>386</v>
      </c>
      <c r="B394" s="905"/>
      <c r="C394" s="906"/>
      <c r="D394" s="907" t="s">
        <v>303</v>
      </c>
      <c r="E394" s="908"/>
      <c r="F394" s="908"/>
      <c r="G394" s="1247"/>
      <c r="H394" s="909"/>
      <c r="I394" s="900">
        <f>SUM(J394:N394)</f>
        <v>103000</v>
      </c>
      <c r="J394" s="901"/>
      <c r="K394" s="901"/>
      <c r="L394" s="901"/>
      <c r="M394" s="901"/>
      <c r="N394" s="902">
        <v>103000</v>
      </c>
    </row>
    <row r="395" spans="1:14" s="910" customFormat="1" ht="18" customHeight="1">
      <c r="A395" s="443">
        <v>387</v>
      </c>
      <c r="B395" s="905"/>
      <c r="C395" s="906"/>
      <c r="D395" s="436" t="s">
        <v>994</v>
      </c>
      <c r="E395" s="908"/>
      <c r="F395" s="908"/>
      <c r="G395" s="1247"/>
      <c r="H395" s="909"/>
      <c r="I395" s="426">
        <f>SUM(J395:N395)</f>
        <v>103000</v>
      </c>
      <c r="J395" s="901"/>
      <c r="K395" s="901"/>
      <c r="L395" s="901"/>
      <c r="M395" s="901"/>
      <c r="N395" s="337">
        <v>103000</v>
      </c>
    </row>
    <row r="396" spans="1:14" s="910" customFormat="1" ht="18" customHeight="1">
      <c r="A396" s="443">
        <v>388</v>
      </c>
      <c r="B396" s="905"/>
      <c r="C396" s="906"/>
      <c r="D396" s="987" t="s">
        <v>1036</v>
      </c>
      <c r="E396" s="908"/>
      <c r="F396" s="908"/>
      <c r="G396" s="1247"/>
      <c r="H396" s="909"/>
      <c r="I396" s="990">
        <f>SUM(J396:N396)</f>
        <v>103000</v>
      </c>
      <c r="J396" s="341"/>
      <c r="K396" s="341"/>
      <c r="L396" s="341"/>
      <c r="M396" s="341"/>
      <c r="N396" s="144">
        <v>103000</v>
      </c>
    </row>
    <row r="397" spans="1:16" s="3" customFormat="1" ht="22.5" customHeight="1">
      <c r="A397" s="443">
        <v>389</v>
      </c>
      <c r="B397" s="119"/>
      <c r="C397" s="120">
        <v>76</v>
      </c>
      <c r="D397" s="437" t="s">
        <v>95</v>
      </c>
      <c r="E397" s="122"/>
      <c r="F397" s="122"/>
      <c r="G397" s="1245"/>
      <c r="H397" s="445" t="s">
        <v>24</v>
      </c>
      <c r="I397" s="426"/>
      <c r="J397" s="126"/>
      <c r="K397" s="126"/>
      <c r="L397" s="126"/>
      <c r="M397" s="126"/>
      <c r="N397" s="127"/>
      <c r="P397" s="8"/>
    </row>
    <row r="398" spans="1:14" s="910" customFormat="1" ht="18" customHeight="1">
      <c r="A398" s="443">
        <v>390</v>
      </c>
      <c r="B398" s="905"/>
      <c r="C398" s="906"/>
      <c r="D398" s="907" t="s">
        <v>303</v>
      </c>
      <c r="E398" s="908"/>
      <c r="F398" s="908"/>
      <c r="G398" s="1247"/>
      <c r="H398" s="909"/>
      <c r="I398" s="900">
        <f>SUM(J398:N398)</f>
        <v>174944</v>
      </c>
      <c r="J398" s="901"/>
      <c r="K398" s="901"/>
      <c r="L398" s="901">
        <f>224944-32172-17828</f>
        <v>174944</v>
      </c>
      <c r="M398" s="901"/>
      <c r="N398" s="902"/>
    </row>
    <row r="399" spans="1:14" s="910" customFormat="1" ht="18" customHeight="1">
      <c r="A399" s="443">
        <v>391</v>
      </c>
      <c r="B399" s="905"/>
      <c r="C399" s="906"/>
      <c r="D399" s="436" t="s">
        <v>994</v>
      </c>
      <c r="E399" s="908"/>
      <c r="F399" s="908"/>
      <c r="G399" s="1247"/>
      <c r="H399" s="909"/>
      <c r="I399" s="426">
        <f>SUM(J399:N399)</f>
        <v>0</v>
      </c>
      <c r="J399" s="901"/>
      <c r="K399" s="901"/>
      <c r="L399" s="341">
        <v>0</v>
      </c>
      <c r="M399" s="901"/>
      <c r="N399" s="902"/>
    </row>
    <row r="400" spans="1:14" s="910" customFormat="1" ht="18" customHeight="1">
      <c r="A400" s="443">
        <v>392</v>
      </c>
      <c r="B400" s="905"/>
      <c r="C400" s="906"/>
      <c r="D400" s="987" t="s">
        <v>1036</v>
      </c>
      <c r="E400" s="908"/>
      <c r="F400" s="908"/>
      <c r="G400" s="1247"/>
      <c r="H400" s="909"/>
      <c r="I400" s="990">
        <f>SUM(J400:N400)</f>
        <v>0</v>
      </c>
      <c r="J400" s="341"/>
      <c r="K400" s="341"/>
      <c r="L400" s="143">
        <v>0</v>
      </c>
      <c r="M400" s="341"/>
      <c r="N400" s="337"/>
    </row>
    <row r="401" spans="1:16" s="3" customFormat="1" ht="22.5" customHeight="1">
      <c r="A401" s="443">
        <v>393</v>
      </c>
      <c r="B401" s="119"/>
      <c r="C401" s="120">
        <v>77</v>
      </c>
      <c r="D401" s="437" t="s">
        <v>96</v>
      </c>
      <c r="E401" s="122">
        <v>22339</v>
      </c>
      <c r="F401" s="122">
        <v>22000</v>
      </c>
      <c r="G401" s="1245">
        <v>22000</v>
      </c>
      <c r="H401" s="445" t="s">
        <v>24</v>
      </c>
      <c r="I401" s="426"/>
      <c r="J401" s="126"/>
      <c r="K401" s="126"/>
      <c r="L401" s="126"/>
      <c r="M401" s="126"/>
      <c r="N401" s="127"/>
      <c r="P401" s="8"/>
    </row>
    <row r="402" spans="1:14" s="910" customFormat="1" ht="18" customHeight="1">
      <c r="A402" s="443">
        <v>394</v>
      </c>
      <c r="B402" s="905"/>
      <c r="C402" s="906"/>
      <c r="D402" s="907" t="s">
        <v>303</v>
      </c>
      <c r="E402" s="908"/>
      <c r="F402" s="908"/>
      <c r="G402" s="1247"/>
      <c r="H402" s="909"/>
      <c r="I402" s="900">
        <f>SUM(J402:N402)</f>
        <v>22000</v>
      </c>
      <c r="J402" s="901"/>
      <c r="K402" s="901"/>
      <c r="L402" s="901">
        <v>22000</v>
      </c>
      <c r="M402" s="901"/>
      <c r="N402" s="902"/>
    </row>
    <row r="403" spans="1:14" s="910" customFormat="1" ht="18" customHeight="1">
      <c r="A403" s="443">
        <v>395</v>
      </c>
      <c r="B403" s="905"/>
      <c r="C403" s="906"/>
      <c r="D403" s="436" t="s">
        <v>994</v>
      </c>
      <c r="E403" s="908"/>
      <c r="F403" s="908"/>
      <c r="G403" s="1247"/>
      <c r="H403" s="909"/>
      <c r="I403" s="426">
        <f>SUM(J403:N403)</f>
        <v>22000</v>
      </c>
      <c r="J403" s="901"/>
      <c r="K403" s="901"/>
      <c r="L403" s="341">
        <v>22000</v>
      </c>
      <c r="M403" s="901"/>
      <c r="N403" s="902"/>
    </row>
    <row r="404" spans="1:14" s="910" customFormat="1" ht="18" customHeight="1">
      <c r="A404" s="443">
        <v>396</v>
      </c>
      <c r="B404" s="905"/>
      <c r="C404" s="906"/>
      <c r="D404" s="987" t="s">
        <v>1036</v>
      </c>
      <c r="E404" s="908"/>
      <c r="F404" s="908"/>
      <c r="G404" s="1247"/>
      <c r="H404" s="909"/>
      <c r="I404" s="990">
        <f>SUM(J404:N404)</f>
        <v>22000</v>
      </c>
      <c r="J404" s="341"/>
      <c r="K404" s="341"/>
      <c r="L404" s="143">
        <v>22000</v>
      </c>
      <c r="M404" s="901"/>
      <c r="N404" s="902"/>
    </row>
    <row r="405" spans="1:16" s="3" customFormat="1" ht="22.5" customHeight="1">
      <c r="A405" s="443">
        <v>397</v>
      </c>
      <c r="B405" s="119"/>
      <c r="C405" s="120">
        <v>78</v>
      </c>
      <c r="D405" s="437" t="s">
        <v>97</v>
      </c>
      <c r="E405" s="122">
        <v>38110</v>
      </c>
      <c r="F405" s="122">
        <v>19000</v>
      </c>
      <c r="G405" s="1245">
        <v>21950</v>
      </c>
      <c r="H405" s="445" t="s">
        <v>24</v>
      </c>
      <c r="I405" s="426"/>
      <c r="J405" s="126"/>
      <c r="K405" s="126"/>
      <c r="L405" s="126"/>
      <c r="M405" s="126"/>
      <c r="N405" s="127"/>
      <c r="P405" s="8"/>
    </row>
    <row r="406" spans="1:14" s="8" customFormat="1" ht="22.5" customHeight="1">
      <c r="A406" s="443">
        <v>398</v>
      </c>
      <c r="B406" s="123"/>
      <c r="C406" s="120">
        <v>79</v>
      </c>
      <c r="D406" s="436" t="s">
        <v>439</v>
      </c>
      <c r="E406" s="122"/>
      <c r="F406" s="122"/>
      <c r="G406" s="1245"/>
      <c r="H406" s="445" t="s">
        <v>24</v>
      </c>
      <c r="I406" s="426"/>
      <c r="J406" s="126"/>
      <c r="K406" s="126"/>
      <c r="L406" s="126"/>
      <c r="M406" s="126"/>
      <c r="N406" s="127"/>
    </row>
    <row r="407" spans="1:16" s="3" customFormat="1" ht="22.5" customHeight="1">
      <c r="A407" s="443">
        <v>399</v>
      </c>
      <c r="B407" s="119"/>
      <c r="C407" s="120">
        <v>80</v>
      </c>
      <c r="D407" s="437" t="s">
        <v>252</v>
      </c>
      <c r="E407" s="122">
        <v>38100</v>
      </c>
      <c r="F407" s="122">
        <v>38100</v>
      </c>
      <c r="G407" s="1245">
        <v>38100</v>
      </c>
      <c r="H407" s="445" t="s">
        <v>24</v>
      </c>
      <c r="I407" s="426"/>
      <c r="J407" s="126"/>
      <c r="K407" s="126"/>
      <c r="L407" s="126"/>
      <c r="M407" s="126"/>
      <c r="N407" s="127"/>
      <c r="P407" s="8"/>
    </row>
    <row r="408" spans="1:14" s="910" customFormat="1" ht="18" customHeight="1">
      <c r="A408" s="443">
        <v>400</v>
      </c>
      <c r="B408" s="905"/>
      <c r="C408" s="906"/>
      <c r="D408" s="907" t="s">
        <v>303</v>
      </c>
      <c r="E408" s="908"/>
      <c r="F408" s="908"/>
      <c r="G408" s="1247"/>
      <c r="H408" s="909"/>
      <c r="I408" s="900">
        <f>SUM(J408:N408)</f>
        <v>38100</v>
      </c>
      <c r="J408" s="901"/>
      <c r="K408" s="901"/>
      <c r="L408" s="901">
        <v>38100</v>
      </c>
      <c r="M408" s="901"/>
      <c r="N408" s="902"/>
    </row>
    <row r="409" spans="1:14" s="910" customFormat="1" ht="18" customHeight="1">
      <c r="A409" s="443">
        <v>401</v>
      </c>
      <c r="B409" s="905"/>
      <c r="C409" s="906"/>
      <c r="D409" s="436" t="s">
        <v>994</v>
      </c>
      <c r="E409" s="908"/>
      <c r="F409" s="908"/>
      <c r="G409" s="1247"/>
      <c r="H409" s="909"/>
      <c r="I409" s="426">
        <f>SUM(J409:N409)</f>
        <v>38100</v>
      </c>
      <c r="J409" s="901"/>
      <c r="K409" s="901"/>
      <c r="L409" s="341">
        <v>38100</v>
      </c>
      <c r="M409" s="901"/>
      <c r="N409" s="902"/>
    </row>
    <row r="410" spans="1:14" s="910" customFormat="1" ht="18" customHeight="1">
      <c r="A410" s="443">
        <v>402</v>
      </c>
      <c r="B410" s="905"/>
      <c r="C410" s="906"/>
      <c r="D410" s="987" t="s">
        <v>1036</v>
      </c>
      <c r="E410" s="908"/>
      <c r="F410" s="908"/>
      <c r="G410" s="1247"/>
      <c r="H410" s="909"/>
      <c r="I410" s="990">
        <f>SUM(J410:N410)</f>
        <v>38100</v>
      </c>
      <c r="J410" s="341"/>
      <c r="K410" s="341"/>
      <c r="L410" s="143">
        <v>38100</v>
      </c>
      <c r="M410" s="901"/>
      <c r="N410" s="902"/>
    </row>
    <row r="411" spans="1:16" s="3" customFormat="1" ht="22.5" customHeight="1">
      <c r="A411" s="443">
        <v>403</v>
      </c>
      <c r="B411" s="119"/>
      <c r="C411" s="120">
        <v>81</v>
      </c>
      <c r="D411" s="437" t="s">
        <v>98</v>
      </c>
      <c r="E411" s="122">
        <v>61200</v>
      </c>
      <c r="F411" s="122">
        <v>78055</v>
      </c>
      <c r="G411" s="1245">
        <v>38000</v>
      </c>
      <c r="H411" s="445" t="s">
        <v>24</v>
      </c>
      <c r="I411" s="426"/>
      <c r="J411" s="126"/>
      <c r="K411" s="126"/>
      <c r="L411" s="126"/>
      <c r="M411" s="126"/>
      <c r="N411" s="127"/>
      <c r="P411" s="8"/>
    </row>
    <row r="412" spans="1:16" s="3" customFormat="1" ht="22.5" customHeight="1">
      <c r="A412" s="443">
        <v>404</v>
      </c>
      <c r="B412" s="119"/>
      <c r="C412" s="120"/>
      <c r="D412" s="436" t="s">
        <v>994</v>
      </c>
      <c r="E412" s="122"/>
      <c r="F412" s="122"/>
      <c r="G412" s="1245"/>
      <c r="H412" s="445"/>
      <c r="I412" s="426">
        <f>SUM(J412:N412)</f>
        <v>2503</v>
      </c>
      <c r="J412" s="126"/>
      <c r="K412" s="126"/>
      <c r="L412" s="341">
        <v>2503</v>
      </c>
      <c r="M412" s="126"/>
      <c r="N412" s="127"/>
      <c r="P412" s="8"/>
    </row>
    <row r="413" spans="1:14" s="8" customFormat="1" ht="18" customHeight="1">
      <c r="A413" s="443">
        <v>405</v>
      </c>
      <c r="B413" s="123"/>
      <c r="C413" s="124"/>
      <c r="D413" s="987" t="s">
        <v>1035</v>
      </c>
      <c r="E413" s="122"/>
      <c r="F413" s="122"/>
      <c r="G413" s="1245"/>
      <c r="H413" s="445"/>
      <c r="I413" s="990">
        <f>SUM(J413:N413)</f>
        <v>2503</v>
      </c>
      <c r="J413" s="126"/>
      <c r="K413" s="126"/>
      <c r="L413" s="143">
        <v>2503</v>
      </c>
      <c r="M413" s="126"/>
      <c r="N413" s="127"/>
    </row>
    <row r="414" spans="1:16" s="3" customFormat="1" ht="22.5" customHeight="1">
      <c r="A414" s="443">
        <v>406</v>
      </c>
      <c r="B414" s="119"/>
      <c r="C414" s="120">
        <v>82</v>
      </c>
      <c r="D414" s="437" t="s">
        <v>99</v>
      </c>
      <c r="E414" s="122">
        <v>34150</v>
      </c>
      <c r="F414" s="122">
        <v>38847</v>
      </c>
      <c r="G414" s="1245">
        <v>45874</v>
      </c>
      <c r="H414" s="445" t="s">
        <v>24</v>
      </c>
      <c r="I414" s="426"/>
      <c r="J414" s="126"/>
      <c r="K414" s="126"/>
      <c r="L414" s="126"/>
      <c r="M414" s="126"/>
      <c r="N414" s="127"/>
      <c r="P414" s="8"/>
    </row>
    <row r="415" spans="1:14" s="910" customFormat="1" ht="18" customHeight="1">
      <c r="A415" s="443">
        <v>407</v>
      </c>
      <c r="B415" s="905"/>
      <c r="C415" s="906"/>
      <c r="D415" s="907" t="s">
        <v>303</v>
      </c>
      <c r="E415" s="908"/>
      <c r="F415" s="908"/>
      <c r="G415" s="1247"/>
      <c r="H415" s="909"/>
      <c r="I415" s="900">
        <f>SUM(J415:N415)</f>
        <v>34150</v>
      </c>
      <c r="J415" s="901"/>
      <c r="K415" s="901"/>
      <c r="L415" s="901">
        <v>34150</v>
      </c>
      <c r="M415" s="901"/>
      <c r="N415" s="902"/>
    </row>
    <row r="416" spans="1:14" s="910" customFormat="1" ht="18" customHeight="1">
      <c r="A416" s="443">
        <v>408</v>
      </c>
      <c r="B416" s="905"/>
      <c r="C416" s="906"/>
      <c r="D416" s="436" t="s">
        <v>994</v>
      </c>
      <c r="E416" s="908"/>
      <c r="F416" s="908"/>
      <c r="G416" s="1247"/>
      <c r="H416" s="909"/>
      <c r="I416" s="426">
        <f>SUM(J416:N416)</f>
        <v>29882</v>
      </c>
      <c r="J416" s="901"/>
      <c r="K416" s="901"/>
      <c r="L416" s="341">
        <v>29882</v>
      </c>
      <c r="M416" s="901"/>
      <c r="N416" s="902"/>
    </row>
    <row r="417" spans="1:14" s="910" customFormat="1" ht="18" customHeight="1">
      <c r="A417" s="443">
        <v>409</v>
      </c>
      <c r="B417" s="905"/>
      <c r="C417" s="906"/>
      <c r="D417" s="987" t="s">
        <v>1035</v>
      </c>
      <c r="E417" s="908"/>
      <c r="F417" s="908"/>
      <c r="G417" s="1247"/>
      <c r="H417" s="909"/>
      <c r="I417" s="990">
        <f>SUM(J417:N417)</f>
        <v>29882</v>
      </c>
      <c r="J417" s="901"/>
      <c r="K417" s="901"/>
      <c r="L417" s="143">
        <v>29882</v>
      </c>
      <c r="M417" s="901"/>
      <c r="N417" s="902"/>
    </row>
    <row r="418" spans="1:16" s="3" customFormat="1" ht="22.5" customHeight="1">
      <c r="A418" s="443">
        <v>410</v>
      </c>
      <c r="B418" s="119"/>
      <c r="C418" s="120">
        <v>83</v>
      </c>
      <c r="D418" s="1272" t="s">
        <v>315</v>
      </c>
      <c r="E418" s="122">
        <v>2139</v>
      </c>
      <c r="F418" s="122">
        <v>7500</v>
      </c>
      <c r="G418" s="1245">
        <v>3738</v>
      </c>
      <c r="H418" s="445" t="s">
        <v>24</v>
      </c>
      <c r="I418" s="426"/>
      <c r="J418" s="126"/>
      <c r="K418" s="126"/>
      <c r="L418" s="126"/>
      <c r="M418" s="126"/>
      <c r="N418" s="127"/>
      <c r="P418" s="8"/>
    </row>
    <row r="419" spans="1:14" s="910" customFormat="1" ht="18" customHeight="1">
      <c r="A419" s="443">
        <v>411</v>
      </c>
      <c r="B419" s="905"/>
      <c r="C419" s="906"/>
      <c r="D419" s="907" t="s">
        <v>303</v>
      </c>
      <c r="E419" s="908"/>
      <c r="F419" s="908"/>
      <c r="G419" s="1247"/>
      <c r="H419" s="909"/>
      <c r="I419" s="900">
        <f>SUM(J419:N419)</f>
        <v>5100</v>
      </c>
      <c r="J419" s="901"/>
      <c r="K419" s="901"/>
      <c r="L419" s="901">
        <v>5100</v>
      </c>
      <c r="M419" s="901"/>
      <c r="N419" s="902"/>
    </row>
    <row r="420" spans="1:14" s="910" customFormat="1" ht="18" customHeight="1">
      <c r="A420" s="443">
        <v>412</v>
      </c>
      <c r="B420" s="905"/>
      <c r="C420" s="906"/>
      <c r="D420" s="436" t="s">
        <v>994</v>
      </c>
      <c r="E420" s="908"/>
      <c r="F420" s="908"/>
      <c r="G420" s="1247"/>
      <c r="H420" s="909"/>
      <c r="I420" s="426">
        <f>SUM(J420:N420)</f>
        <v>5100</v>
      </c>
      <c r="J420" s="901"/>
      <c r="K420" s="901"/>
      <c r="L420" s="341">
        <v>5100</v>
      </c>
      <c r="M420" s="901"/>
      <c r="N420" s="902"/>
    </row>
    <row r="421" spans="1:14" s="910" customFormat="1" ht="18" customHeight="1">
      <c r="A421" s="443">
        <v>413</v>
      </c>
      <c r="B421" s="905"/>
      <c r="C421" s="906"/>
      <c r="D421" s="987" t="s">
        <v>1035</v>
      </c>
      <c r="E421" s="908"/>
      <c r="F421" s="908"/>
      <c r="G421" s="1247"/>
      <c r="H421" s="909"/>
      <c r="I421" s="990">
        <f>SUM(J421:N421)</f>
        <v>2153</v>
      </c>
      <c r="J421" s="341"/>
      <c r="K421" s="341"/>
      <c r="L421" s="143">
        <v>2153</v>
      </c>
      <c r="M421" s="341"/>
      <c r="N421" s="337"/>
    </row>
    <row r="422" spans="1:14" s="8" customFormat="1" ht="22.5" customHeight="1">
      <c r="A422" s="443">
        <v>414</v>
      </c>
      <c r="B422" s="123"/>
      <c r="C422" s="120">
        <v>84</v>
      </c>
      <c r="D422" s="436" t="s">
        <v>442</v>
      </c>
      <c r="E422" s="122">
        <v>2555</v>
      </c>
      <c r="F422" s="122"/>
      <c r="G422" s="1245"/>
      <c r="H422" s="445" t="s">
        <v>24</v>
      </c>
      <c r="I422" s="426"/>
      <c r="J422" s="126"/>
      <c r="K422" s="126"/>
      <c r="L422" s="126"/>
      <c r="M422" s="126"/>
      <c r="N422" s="127"/>
    </row>
    <row r="423" spans="1:14" s="910" customFormat="1" ht="18" customHeight="1">
      <c r="A423" s="443">
        <v>415</v>
      </c>
      <c r="B423" s="905"/>
      <c r="C423" s="906"/>
      <c r="D423" s="907" t="s">
        <v>303</v>
      </c>
      <c r="E423" s="908"/>
      <c r="F423" s="908"/>
      <c r="G423" s="1247"/>
      <c r="H423" s="909"/>
      <c r="I423" s="900">
        <f>SUM(J423:N423)</f>
        <v>3000</v>
      </c>
      <c r="J423" s="901"/>
      <c r="K423" s="901"/>
      <c r="L423" s="901"/>
      <c r="M423" s="901"/>
      <c r="N423" s="902">
        <v>3000</v>
      </c>
    </row>
    <row r="424" spans="1:14" s="910" customFormat="1" ht="18" customHeight="1">
      <c r="A424" s="443">
        <v>416</v>
      </c>
      <c r="B424" s="905"/>
      <c r="C424" s="906"/>
      <c r="D424" s="436" t="s">
        <v>994</v>
      </c>
      <c r="E424" s="908"/>
      <c r="F424" s="908"/>
      <c r="G424" s="1247"/>
      <c r="H424" s="913"/>
      <c r="I424" s="426">
        <v>0</v>
      </c>
      <c r="J424" s="341"/>
      <c r="K424" s="341"/>
      <c r="L424" s="341"/>
      <c r="M424" s="341"/>
      <c r="N424" s="337">
        <v>0</v>
      </c>
    </row>
    <row r="425" spans="1:14" s="910" customFormat="1" ht="18" customHeight="1">
      <c r="A425" s="443">
        <v>417</v>
      </c>
      <c r="B425" s="905"/>
      <c r="C425" s="906"/>
      <c r="D425" s="987" t="s">
        <v>1035</v>
      </c>
      <c r="E425" s="908"/>
      <c r="F425" s="908"/>
      <c r="G425" s="1247"/>
      <c r="H425" s="913"/>
      <c r="I425" s="990">
        <f>SUM(J425:N425)</f>
        <v>0</v>
      </c>
      <c r="J425" s="341"/>
      <c r="K425" s="341"/>
      <c r="L425" s="341"/>
      <c r="M425" s="341"/>
      <c r="N425" s="144">
        <v>0</v>
      </c>
    </row>
    <row r="426" spans="1:14" s="8" customFormat="1" ht="22.5" customHeight="1">
      <c r="A426" s="443">
        <v>418</v>
      </c>
      <c r="B426" s="123"/>
      <c r="C426" s="120">
        <v>85</v>
      </c>
      <c r="D426" s="437" t="s">
        <v>65</v>
      </c>
      <c r="E426" s="122">
        <v>1785</v>
      </c>
      <c r="F426" s="122">
        <v>4000</v>
      </c>
      <c r="G426" s="1245">
        <v>4249</v>
      </c>
      <c r="H426" s="447" t="s">
        <v>24</v>
      </c>
      <c r="I426" s="427"/>
      <c r="J426" s="129"/>
      <c r="K426" s="129"/>
      <c r="L426" s="129"/>
      <c r="M426" s="129"/>
      <c r="N426" s="130"/>
    </row>
    <row r="427" spans="1:14" s="910" customFormat="1" ht="18" customHeight="1">
      <c r="A427" s="443">
        <v>419</v>
      </c>
      <c r="B427" s="905"/>
      <c r="C427" s="906"/>
      <c r="D427" s="907" t="s">
        <v>303</v>
      </c>
      <c r="E427" s="908"/>
      <c r="F427" s="908"/>
      <c r="G427" s="1247"/>
      <c r="H427" s="909"/>
      <c r="I427" s="900">
        <f>SUM(J427:N427)</f>
        <v>4000</v>
      </c>
      <c r="J427" s="901"/>
      <c r="K427" s="901"/>
      <c r="L427" s="901"/>
      <c r="M427" s="901"/>
      <c r="N427" s="902">
        <v>4000</v>
      </c>
    </row>
    <row r="428" spans="1:14" s="910" customFormat="1" ht="18" customHeight="1">
      <c r="A428" s="443">
        <v>420</v>
      </c>
      <c r="B428" s="905"/>
      <c r="C428" s="906"/>
      <c r="D428" s="436" t="s">
        <v>994</v>
      </c>
      <c r="E428" s="908"/>
      <c r="F428" s="908"/>
      <c r="G428" s="1247"/>
      <c r="H428" s="909"/>
      <c r="I428" s="426">
        <f>SUM(J428:N428)</f>
        <v>0</v>
      </c>
      <c r="J428" s="901"/>
      <c r="K428" s="901"/>
      <c r="L428" s="901"/>
      <c r="M428" s="901"/>
      <c r="N428" s="337">
        <v>0</v>
      </c>
    </row>
    <row r="429" spans="1:14" s="910" customFormat="1" ht="18" customHeight="1">
      <c r="A429" s="443">
        <v>421</v>
      </c>
      <c r="B429" s="905"/>
      <c r="C429" s="906"/>
      <c r="D429" s="987" t="s">
        <v>1035</v>
      </c>
      <c r="E429" s="908"/>
      <c r="F429" s="908"/>
      <c r="G429" s="1247"/>
      <c r="H429" s="909"/>
      <c r="I429" s="990">
        <f>SUM(J429:N429)</f>
        <v>0</v>
      </c>
      <c r="J429" s="341"/>
      <c r="K429" s="341"/>
      <c r="L429" s="341"/>
      <c r="M429" s="341"/>
      <c r="N429" s="144">
        <v>0</v>
      </c>
    </row>
    <row r="430" spans="1:16" s="3" customFormat="1" ht="22.5" customHeight="1">
      <c r="A430" s="443">
        <v>422</v>
      </c>
      <c r="B430" s="119"/>
      <c r="C430" s="120">
        <v>86</v>
      </c>
      <c r="D430" s="437" t="s">
        <v>101</v>
      </c>
      <c r="E430" s="122"/>
      <c r="F430" s="122">
        <v>500</v>
      </c>
      <c r="G430" s="1245"/>
      <c r="H430" s="445" t="s">
        <v>23</v>
      </c>
      <c r="I430" s="426"/>
      <c r="J430" s="126"/>
      <c r="K430" s="126"/>
      <c r="L430" s="126"/>
      <c r="M430" s="126"/>
      <c r="N430" s="127"/>
      <c r="P430" s="8"/>
    </row>
    <row r="431" spans="1:16" s="3" customFormat="1" ht="22.5" customHeight="1">
      <c r="A431" s="443">
        <v>423</v>
      </c>
      <c r="B431" s="119"/>
      <c r="C431" s="120">
        <v>87</v>
      </c>
      <c r="D431" s="437" t="s">
        <v>102</v>
      </c>
      <c r="E431" s="122">
        <v>1461</v>
      </c>
      <c r="F431" s="122">
        <v>2100</v>
      </c>
      <c r="G431" s="1245">
        <v>989</v>
      </c>
      <c r="H431" s="445" t="s">
        <v>23</v>
      </c>
      <c r="I431" s="426"/>
      <c r="J431" s="126"/>
      <c r="K431" s="126"/>
      <c r="L431" s="126"/>
      <c r="M431" s="126"/>
      <c r="N431" s="127"/>
      <c r="P431" s="8"/>
    </row>
    <row r="432" spans="1:14" s="910" customFormat="1" ht="18" customHeight="1">
      <c r="A432" s="443">
        <v>424</v>
      </c>
      <c r="B432" s="905"/>
      <c r="C432" s="906"/>
      <c r="D432" s="907" t="s">
        <v>303</v>
      </c>
      <c r="E432" s="908"/>
      <c r="F432" s="908"/>
      <c r="G432" s="1247"/>
      <c r="H432" s="909"/>
      <c r="I432" s="900">
        <f>SUM(J432:N432)</f>
        <v>1785</v>
      </c>
      <c r="J432" s="901"/>
      <c r="K432" s="901"/>
      <c r="L432" s="901">
        <v>1785</v>
      </c>
      <c r="M432" s="901"/>
      <c r="N432" s="902"/>
    </row>
    <row r="433" spans="1:14" s="910" customFormat="1" ht="18" customHeight="1">
      <c r="A433" s="443">
        <v>425</v>
      </c>
      <c r="B433" s="905"/>
      <c r="C433" s="906"/>
      <c r="D433" s="436" t="s">
        <v>994</v>
      </c>
      <c r="E433" s="908"/>
      <c r="F433" s="908"/>
      <c r="G433" s="1247"/>
      <c r="H433" s="909"/>
      <c r="I433" s="426">
        <f>SUM(J433:N433)</f>
        <v>1520</v>
      </c>
      <c r="J433" s="341">
        <v>20</v>
      </c>
      <c r="K433" s="341">
        <v>120</v>
      </c>
      <c r="L433" s="341">
        <v>1380</v>
      </c>
      <c r="M433" s="901"/>
      <c r="N433" s="902"/>
    </row>
    <row r="434" spans="1:14" s="910" customFormat="1" ht="18" customHeight="1">
      <c r="A434" s="443">
        <v>426</v>
      </c>
      <c r="B434" s="905"/>
      <c r="C434" s="906"/>
      <c r="D434" s="987" t="s">
        <v>1035</v>
      </c>
      <c r="E434" s="908"/>
      <c r="F434" s="908"/>
      <c r="G434" s="1247"/>
      <c r="H434" s="909"/>
      <c r="I434" s="990">
        <f>SUM(J434:N434)</f>
        <v>1342</v>
      </c>
      <c r="J434" s="143">
        <v>0</v>
      </c>
      <c r="K434" s="143">
        <v>18</v>
      </c>
      <c r="L434" s="143">
        <v>1324</v>
      </c>
      <c r="M434" s="341"/>
      <c r="N434" s="337"/>
    </row>
    <row r="435" spans="1:14" s="8" customFormat="1" ht="22.5" customHeight="1">
      <c r="A435" s="443">
        <v>427</v>
      </c>
      <c r="B435" s="123"/>
      <c r="C435" s="120">
        <v>88</v>
      </c>
      <c r="D435" s="436" t="s">
        <v>443</v>
      </c>
      <c r="E435" s="122">
        <v>54</v>
      </c>
      <c r="F435" s="122"/>
      <c r="G435" s="1245">
        <v>156</v>
      </c>
      <c r="H435" s="445" t="s">
        <v>24</v>
      </c>
      <c r="I435" s="426"/>
      <c r="J435" s="126"/>
      <c r="K435" s="126"/>
      <c r="L435" s="126"/>
      <c r="M435" s="126"/>
      <c r="N435" s="127"/>
    </row>
    <row r="436" spans="1:14" s="910" customFormat="1" ht="18" customHeight="1">
      <c r="A436" s="443">
        <v>428</v>
      </c>
      <c r="B436" s="905"/>
      <c r="C436" s="906"/>
      <c r="D436" s="907" t="s">
        <v>303</v>
      </c>
      <c r="E436" s="908"/>
      <c r="F436" s="908"/>
      <c r="G436" s="1247"/>
      <c r="H436" s="909"/>
      <c r="I436" s="900">
        <f>SUM(J436:N436)</f>
        <v>840</v>
      </c>
      <c r="J436" s="901"/>
      <c r="K436" s="901"/>
      <c r="L436" s="901">
        <v>840</v>
      </c>
      <c r="M436" s="901"/>
      <c r="N436" s="902"/>
    </row>
    <row r="437" spans="1:14" s="910" customFormat="1" ht="18" customHeight="1">
      <c r="A437" s="443">
        <v>429</v>
      </c>
      <c r="B437" s="905"/>
      <c r="C437" s="906"/>
      <c r="D437" s="436" t="s">
        <v>994</v>
      </c>
      <c r="E437" s="908"/>
      <c r="F437" s="908"/>
      <c r="G437" s="1247"/>
      <c r="H437" s="909"/>
      <c r="I437" s="426">
        <f>SUM(J437:N437)</f>
        <v>840</v>
      </c>
      <c r="J437" s="901"/>
      <c r="K437" s="901"/>
      <c r="L437" s="341">
        <v>840</v>
      </c>
      <c r="M437" s="901"/>
      <c r="N437" s="902"/>
    </row>
    <row r="438" spans="1:14" s="910" customFormat="1" ht="18" customHeight="1">
      <c r="A438" s="443">
        <v>430</v>
      </c>
      <c r="B438" s="905"/>
      <c r="C438" s="906"/>
      <c r="D438" s="987" t="s">
        <v>1036</v>
      </c>
      <c r="E438" s="908"/>
      <c r="F438" s="908"/>
      <c r="G438" s="1247"/>
      <c r="H438" s="909"/>
      <c r="I438" s="990">
        <f>SUM(J438:N438)</f>
        <v>812</v>
      </c>
      <c r="J438" s="341"/>
      <c r="K438" s="341"/>
      <c r="L438" s="143">
        <v>812</v>
      </c>
      <c r="M438" s="341"/>
      <c r="N438" s="337"/>
    </row>
    <row r="439" spans="1:16" s="3" customFormat="1" ht="22.5" customHeight="1">
      <c r="A439" s="443">
        <v>431</v>
      </c>
      <c r="B439" s="119"/>
      <c r="C439" s="120">
        <v>89</v>
      </c>
      <c r="D439" s="437" t="s">
        <v>478</v>
      </c>
      <c r="E439" s="122">
        <v>140310</v>
      </c>
      <c r="F439" s="122">
        <v>160000</v>
      </c>
      <c r="G439" s="1245">
        <v>146828</v>
      </c>
      <c r="H439" s="445" t="s">
        <v>23</v>
      </c>
      <c r="I439" s="426"/>
      <c r="J439" s="126"/>
      <c r="K439" s="126"/>
      <c r="L439" s="126"/>
      <c r="M439" s="126"/>
      <c r="N439" s="127"/>
      <c r="P439" s="8"/>
    </row>
    <row r="440" spans="1:14" s="910" customFormat="1" ht="18" customHeight="1">
      <c r="A440" s="443">
        <v>432</v>
      </c>
      <c r="B440" s="905"/>
      <c r="C440" s="906"/>
      <c r="D440" s="907" t="s">
        <v>303</v>
      </c>
      <c r="E440" s="908"/>
      <c r="F440" s="908"/>
      <c r="G440" s="1247"/>
      <c r="H440" s="909"/>
      <c r="I440" s="900">
        <f>SUM(J440:N440)</f>
        <v>136000</v>
      </c>
      <c r="J440" s="901"/>
      <c r="K440" s="901"/>
      <c r="L440" s="901">
        <v>136000</v>
      </c>
      <c r="M440" s="901"/>
      <c r="N440" s="902"/>
    </row>
    <row r="441" spans="1:14" s="910" customFormat="1" ht="18" customHeight="1">
      <c r="A441" s="443">
        <v>433</v>
      </c>
      <c r="B441" s="905"/>
      <c r="C441" s="906"/>
      <c r="D441" s="436" t="s">
        <v>994</v>
      </c>
      <c r="E441" s="908"/>
      <c r="F441" s="908"/>
      <c r="G441" s="1247"/>
      <c r="H441" s="909"/>
      <c r="I441" s="426">
        <f>SUM(J441:N441)</f>
        <v>181910</v>
      </c>
      <c r="J441" s="901"/>
      <c r="K441" s="901"/>
      <c r="L441" s="341">
        <v>181910</v>
      </c>
      <c r="M441" s="901"/>
      <c r="N441" s="902"/>
    </row>
    <row r="442" spans="1:14" s="910" customFormat="1" ht="18" customHeight="1">
      <c r="A442" s="443">
        <v>434</v>
      </c>
      <c r="B442" s="905"/>
      <c r="C442" s="906"/>
      <c r="D442" s="987" t="s">
        <v>1035</v>
      </c>
      <c r="E442" s="908"/>
      <c r="F442" s="908"/>
      <c r="G442" s="1247"/>
      <c r="H442" s="909"/>
      <c r="I442" s="990">
        <f>SUM(J442:N442)</f>
        <v>142569</v>
      </c>
      <c r="J442" s="341"/>
      <c r="K442" s="341"/>
      <c r="L442" s="143">
        <v>142569</v>
      </c>
      <c r="M442" s="341"/>
      <c r="N442" s="337"/>
    </row>
    <row r="443" spans="1:16" s="3" customFormat="1" ht="22.5" customHeight="1">
      <c r="A443" s="443">
        <v>435</v>
      </c>
      <c r="B443" s="119"/>
      <c r="C443" s="120">
        <v>90</v>
      </c>
      <c r="D443" s="437" t="s">
        <v>91</v>
      </c>
      <c r="E443" s="136">
        <v>53306</v>
      </c>
      <c r="F443" s="136">
        <v>49000</v>
      </c>
      <c r="G443" s="1253">
        <v>41642</v>
      </c>
      <c r="H443" s="445" t="s">
        <v>23</v>
      </c>
      <c r="I443" s="426"/>
      <c r="J443" s="126"/>
      <c r="K443" s="126"/>
      <c r="L443" s="126"/>
      <c r="M443" s="126"/>
      <c r="N443" s="127"/>
      <c r="P443" s="8"/>
    </row>
    <row r="444" spans="1:14" s="910" customFormat="1" ht="18" customHeight="1">
      <c r="A444" s="443">
        <v>436</v>
      </c>
      <c r="B444" s="905"/>
      <c r="C444" s="906"/>
      <c r="D444" s="907" t="s">
        <v>303</v>
      </c>
      <c r="E444" s="908"/>
      <c r="F444" s="908"/>
      <c r="G444" s="1247"/>
      <c r="H444" s="909"/>
      <c r="I444" s="900">
        <f>SUM(J444:N444)</f>
        <v>54230</v>
      </c>
      <c r="J444" s="901"/>
      <c r="K444" s="901"/>
      <c r="L444" s="901">
        <v>54230</v>
      </c>
      <c r="M444" s="901"/>
      <c r="N444" s="902"/>
    </row>
    <row r="445" spans="1:14" s="910" customFormat="1" ht="18" customHeight="1">
      <c r="A445" s="443">
        <v>437</v>
      </c>
      <c r="B445" s="905"/>
      <c r="C445" s="906"/>
      <c r="D445" s="436" t="s">
        <v>994</v>
      </c>
      <c r="E445" s="908"/>
      <c r="F445" s="908"/>
      <c r="G445" s="1247"/>
      <c r="H445" s="909"/>
      <c r="I445" s="426">
        <f>SUM(J445:N445)</f>
        <v>64649</v>
      </c>
      <c r="J445" s="901"/>
      <c r="K445" s="901"/>
      <c r="L445" s="341">
        <v>64649</v>
      </c>
      <c r="M445" s="901"/>
      <c r="N445" s="902"/>
    </row>
    <row r="446" spans="1:14" s="910" customFormat="1" ht="18" customHeight="1">
      <c r="A446" s="443">
        <v>438</v>
      </c>
      <c r="B446" s="905"/>
      <c r="C446" s="906"/>
      <c r="D446" s="987" t="s">
        <v>1035</v>
      </c>
      <c r="E446" s="908"/>
      <c r="F446" s="908"/>
      <c r="G446" s="1247"/>
      <c r="H446" s="909"/>
      <c r="I446" s="990">
        <f>SUM(J446:N446)</f>
        <v>38369</v>
      </c>
      <c r="J446" s="341"/>
      <c r="K446" s="341"/>
      <c r="L446" s="143">
        <v>38369</v>
      </c>
      <c r="M446" s="341"/>
      <c r="N446" s="337"/>
    </row>
    <row r="447" spans="1:16" s="3" customFormat="1" ht="22.5" customHeight="1">
      <c r="A447" s="443">
        <v>439</v>
      </c>
      <c r="B447" s="119"/>
      <c r="C447" s="120">
        <v>91</v>
      </c>
      <c r="D447" s="437" t="s">
        <v>92</v>
      </c>
      <c r="E447" s="122">
        <v>3851</v>
      </c>
      <c r="F447" s="122">
        <v>2000</v>
      </c>
      <c r="G447" s="1245">
        <v>13153</v>
      </c>
      <c r="H447" s="445" t="s">
        <v>23</v>
      </c>
      <c r="I447" s="426"/>
      <c r="J447" s="126"/>
      <c r="K447" s="126"/>
      <c r="L447" s="126"/>
      <c r="M447" s="126"/>
      <c r="N447" s="127"/>
      <c r="P447" s="8"/>
    </row>
    <row r="448" spans="1:14" s="910" customFormat="1" ht="18" customHeight="1">
      <c r="A448" s="443">
        <v>440</v>
      </c>
      <c r="B448" s="905"/>
      <c r="C448" s="906"/>
      <c r="D448" s="907" t="s">
        <v>303</v>
      </c>
      <c r="E448" s="908"/>
      <c r="F448" s="908"/>
      <c r="G448" s="1247"/>
      <c r="H448" s="909"/>
      <c r="I448" s="900">
        <f>SUM(J448:N448)</f>
        <v>1700</v>
      </c>
      <c r="J448" s="901"/>
      <c r="K448" s="901"/>
      <c r="L448" s="901">
        <v>1700</v>
      </c>
      <c r="M448" s="901"/>
      <c r="N448" s="902"/>
    </row>
    <row r="449" spans="1:14" s="910" customFormat="1" ht="18" customHeight="1">
      <c r="A449" s="443">
        <v>441</v>
      </c>
      <c r="B449" s="905"/>
      <c r="C449" s="906"/>
      <c r="D449" s="436" t="s">
        <v>994</v>
      </c>
      <c r="E449" s="908"/>
      <c r="F449" s="908"/>
      <c r="G449" s="1247"/>
      <c r="H449" s="909"/>
      <c r="I449" s="426">
        <f>SUM(J449:N449)</f>
        <v>5477</v>
      </c>
      <c r="J449" s="901"/>
      <c r="K449" s="901"/>
      <c r="L449" s="341">
        <f>7977-2500</f>
        <v>5477</v>
      </c>
      <c r="M449" s="901"/>
      <c r="N449" s="902"/>
    </row>
    <row r="450" spans="1:14" s="910" customFormat="1" ht="18" customHeight="1">
      <c r="A450" s="443">
        <v>442</v>
      </c>
      <c r="B450" s="905"/>
      <c r="C450" s="906"/>
      <c r="D450" s="987" t="s">
        <v>1035</v>
      </c>
      <c r="E450" s="908"/>
      <c r="F450" s="908"/>
      <c r="G450" s="1247"/>
      <c r="H450" s="909"/>
      <c r="I450" s="990">
        <f>SUM(J450:N450)</f>
        <v>1974</v>
      </c>
      <c r="J450" s="341"/>
      <c r="K450" s="341"/>
      <c r="L450" s="143">
        <v>1974</v>
      </c>
      <c r="M450" s="341"/>
      <c r="N450" s="337"/>
    </row>
    <row r="451" spans="1:14" s="3" customFormat="1" ht="22.5" customHeight="1">
      <c r="A451" s="443">
        <v>443</v>
      </c>
      <c r="B451" s="119"/>
      <c r="C451" s="120">
        <v>92</v>
      </c>
      <c r="D451" s="437" t="s">
        <v>792</v>
      </c>
      <c r="E451" s="122"/>
      <c r="F451" s="122">
        <v>835195</v>
      </c>
      <c r="G451" s="1245">
        <v>1443096</v>
      </c>
      <c r="H451" s="445" t="s">
        <v>23</v>
      </c>
      <c r="I451" s="426"/>
      <c r="J451" s="126"/>
      <c r="K451" s="126"/>
      <c r="L451" s="126"/>
      <c r="M451" s="126"/>
      <c r="N451" s="127"/>
    </row>
    <row r="452" spans="1:14" s="910" customFormat="1" ht="18" customHeight="1">
      <c r="A452" s="443">
        <v>444</v>
      </c>
      <c r="B452" s="905"/>
      <c r="C452" s="906"/>
      <c r="D452" s="907" t="s">
        <v>303</v>
      </c>
      <c r="E452" s="908"/>
      <c r="F452" s="908"/>
      <c r="G452" s="1247"/>
      <c r="H452" s="909"/>
      <c r="I452" s="900">
        <f>SUM(J452:N452)</f>
        <v>881516</v>
      </c>
      <c r="J452" s="901"/>
      <c r="K452" s="901"/>
      <c r="L452" s="901"/>
      <c r="M452" s="901"/>
      <c r="N452" s="902">
        <v>881516</v>
      </c>
    </row>
    <row r="453" spans="1:14" s="910" customFormat="1" ht="18" customHeight="1">
      <c r="A453" s="443">
        <v>445</v>
      </c>
      <c r="B453" s="905"/>
      <c r="C453" s="906"/>
      <c r="D453" s="436" t="s">
        <v>994</v>
      </c>
      <c r="E453" s="908"/>
      <c r="F453" s="908"/>
      <c r="G453" s="1247"/>
      <c r="H453" s="909"/>
      <c r="I453" s="426">
        <f>SUM(J453:N453)</f>
        <v>881516</v>
      </c>
      <c r="J453" s="901"/>
      <c r="K453" s="901"/>
      <c r="L453" s="901"/>
      <c r="M453" s="901"/>
      <c r="N453" s="337">
        <v>881516</v>
      </c>
    </row>
    <row r="454" spans="1:14" s="910" customFormat="1" ht="18" customHeight="1">
      <c r="A454" s="443">
        <v>446</v>
      </c>
      <c r="B454" s="905"/>
      <c r="C454" s="906"/>
      <c r="D454" s="987" t="s">
        <v>1036</v>
      </c>
      <c r="E454" s="908"/>
      <c r="F454" s="908"/>
      <c r="G454" s="1247"/>
      <c r="H454" s="909"/>
      <c r="I454" s="990">
        <f>SUM(J454:N454)</f>
        <v>881516</v>
      </c>
      <c r="J454" s="341"/>
      <c r="K454" s="341"/>
      <c r="L454" s="341"/>
      <c r="M454" s="341"/>
      <c r="N454" s="144">
        <v>881516</v>
      </c>
    </row>
    <row r="455" spans="1:14" s="8" customFormat="1" ht="22.5" customHeight="1">
      <c r="A455" s="443">
        <v>447</v>
      </c>
      <c r="B455" s="123"/>
      <c r="C455" s="124">
        <v>93</v>
      </c>
      <c r="D455" s="437" t="s">
        <v>745</v>
      </c>
      <c r="E455" s="122"/>
      <c r="F455" s="122"/>
      <c r="G455" s="1245"/>
      <c r="H455" s="445" t="s">
        <v>23</v>
      </c>
      <c r="I455" s="426"/>
      <c r="J455" s="126"/>
      <c r="K455" s="126"/>
      <c r="L455" s="126"/>
      <c r="M455" s="126"/>
      <c r="N455" s="127"/>
    </row>
    <row r="456" spans="1:14" s="910" customFormat="1" ht="18" customHeight="1">
      <c r="A456" s="443">
        <v>448</v>
      </c>
      <c r="B456" s="905"/>
      <c r="C456" s="906"/>
      <c r="D456" s="907" t="s">
        <v>303</v>
      </c>
      <c r="E456" s="908"/>
      <c r="F456" s="908"/>
      <c r="G456" s="1247"/>
      <c r="H456" s="909"/>
      <c r="I456" s="900">
        <f>SUM(J456:N456)</f>
        <v>153947</v>
      </c>
      <c r="J456" s="901"/>
      <c r="K456" s="901"/>
      <c r="L456" s="901"/>
      <c r="M456" s="901"/>
      <c r="N456" s="902">
        <v>153947</v>
      </c>
    </row>
    <row r="457" spans="1:14" s="910" customFormat="1" ht="18" customHeight="1">
      <c r="A457" s="443">
        <v>449</v>
      </c>
      <c r="B457" s="905"/>
      <c r="C457" s="906"/>
      <c r="D457" s="436" t="s">
        <v>994</v>
      </c>
      <c r="E457" s="908"/>
      <c r="F457" s="908"/>
      <c r="G457" s="1247"/>
      <c r="H457" s="909"/>
      <c r="I457" s="426">
        <f>SUM(J457:N457)</f>
        <v>153947</v>
      </c>
      <c r="J457" s="901"/>
      <c r="K457" s="901"/>
      <c r="L457" s="901"/>
      <c r="M457" s="901"/>
      <c r="N457" s="337">
        <v>153947</v>
      </c>
    </row>
    <row r="458" spans="1:14" s="910" customFormat="1" ht="18" customHeight="1">
      <c r="A458" s="443">
        <v>450</v>
      </c>
      <c r="B458" s="905"/>
      <c r="C458" s="906"/>
      <c r="D458" s="987" t="s">
        <v>1036</v>
      </c>
      <c r="E458" s="908"/>
      <c r="F458" s="908"/>
      <c r="G458" s="1247"/>
      <c r="H458" s="909"/>
      <c r="I458" s="990">
        <f>SUM(J458:N458)</f>
        <v>153947</v>
      </c>
      <c r="J458" s="341"/>
      <c r="K458" s="341"/>
      <c r="L458" s="341"/>
      <c r="M458" s="341"/>
      <c r="N458" s="144">
        <v>153947</v>
      </c>
    </row>
    <row r="459" spans="1:14" s="3" customFormat="1" ht="22.5" customHeight="1">
      <c r="A459" s="443">
        <v>451</v>
      </c>
      <c r="B459" s="119"/>
      <c r="C459" s="120">
        <v>94</v>
      </c>
      <c r="D459" s="437" t="s">
        <v>508</v>
      </c>
      <c r="E459" s="122"/>
      <c r="F459" s="122">
        <v>56013</v>
      </c>
      <c r="G459" s="1245">
        <v>24770</v>
      </c>
      <c r="H459" s="445" t="s">
        <v>24</v>
      </c>
      <c r="I459" s="426"/>
      <c r="J459" s="126"/>
      <c r="K459" s="126"/>
      <c r="L459" s="126"/>
      <c r="M459" s="126"/>
      <c r="N459" s="127"/>
    </row>
    <row r="460" spans="1:14" s="910" customFormat="1" ht="18" customHeight="1">
      <c r="A460" s="443">
        <v>452</v>
      </c>
      <c r="B460" s="905"/>
      <c r="C460" s="906"/>
      <c r="D460" s="907" t="s">
        <v>303</v>
      </c>
      <c r="E460" s="908"/>
      <c r="F460" s="908"/>
      <c r="G460" s="1247"/>
      <c r="H460" s="909"/>
      <c r="I460" s="900">
        <f>SUM(J460:N460)</f>
        <v>56914</v>
      </c>
      <c r="J460" s="901"/>
      <c r="K460" s="901"/>
      <c r="L460" s="901">
        <v>56914</v>
      </c>
      <c r="M460" s="901"/>
      <c r="N460" s="902"/>
    </row>
    <row r="461" spans="1:14" s="910" customFormat="1" ht="18" customHeight="1">
      <c r="A461" s="443">
        <v>453</v>
      </c>
      <c r="B461" s="905"/>
      <c r="C461" s="906"/>
      <c r="D461" s="436" t="s">
        <v>994</v>
      </c>
      <c r="E461" s="908"/>
      <c r="F461" s="908"/>
      <c r="G461" s="1247"/>
      <c r="H461" s="909"/>
      <c r="I461" s="426">
        <f>SUM(J461:N461)</f>
        <v>56814</v>
      </c>
      <c r="J461" s="901"/>
      <c r="K461" s="901"/>
      <c r="L461" s="341">
        <v>56814</v>
      </c>
      <c r="M461" s="901"/>
      <c r="N461" s="902"/>
    </row>
    <row r="462" spans="1:14" s="910" customFormat="1" ht="18" customHeight="1">
      <c r="A462" s="443">
        <v>454</v>
      </c>
      <c r="B462" s="905"/>
      <c r="C462" s="906"/>
      <c r="D462" s="987" t="s">
        <v>1035</v>
      </c>
      <c r="E462" s="908"/>
      <c r="F462" s="908"/>
      <c r="G462" s="1247"/>
      <c r="H462" s="909"/>
      <c r="I462" s="990">
        <f>SUM(J462:N462)</f>
        <v>41158</v>
      </c>
      <c r="J462" s="341"/>
      <c r="K462" s="341"/>
      <c r="L462" s="143">
        <v>41158</v>
      </c>
      <c r="M462" s="341"/>
      <c r="N462" s="337"/>
    </row>
    <row r="463" spans="1:16" s="3" customFormat="1" ht="22.5" customHeight="1">
      <c r="A463" s="443">
        <v>455</v>
      </c>
      <c r="B463" s="119"/>
      <c r="C463" s="120"/>
      <c r="D463" s="286" t="s">
        <v>298</v>
      </c>
      <c r="E463" s="122"/>
      <c r="F463" s="122"/>
      <c r="G463" s="1245"/>
      <c r="H463" s="445"/>
      <c r="I463" s="427"/>
      <c r="J463" s="129"/>
      <c r="K463" s="129"/>
      <c r="L463" s="129"/>
      <c r="M463" s="129"/>
      <c r="N463" s="130"/>
      <c r="O463" s="8"/>
      <c r="P463" s="8"/>
    </row>
    <row r="464" spans="1:16" s="3" customFormat="1" ht="22.5" customHeight="1">
      <c r="A464" s="443">
        <v>456</v>
      </c>
      <c r="B464" s="119"/>
      <c r="C464" s="120">
        <v>95</v>
      </c>
      <c r="D464" s="145" t="s">
        <v>8</v>
      </c>
      <c r="E464" s="122">
        <v>277661</v>
      </c>
      <c r="F464" s="122">
        <v>280000</v>
      </c>
      <c r="G464" s="1245">
        <v>285738</v>
      </c>
      <c r="H464" s="445" t="s">
        <v>23</v>
      </c>
      <c r="I464" s="426"/>
      <c r="J464" s="126"/>
      <c r="K464" s="126"/>
      <c r="L464" s="126"/>
      <c r="M464" s="126"/>
      <c r="N464" s="127"/>
      <c r="P464" s="8"/>
    </row>
    <row r="465" spans="1:14" s="910" customFormat="1" ht="18" customHeight="1">
      <c r="A465" s="443">
        <v>457</v>
      </c>
      <c r="B465" s="905"/>
      <c r="C465" s="906"/>
      <c r="D465" s="930" t="s">
        <v>303</v>
      </c>
      <c r="E465" s="908"/>
      <c r="F465" s="908"/>
      <c r="G465" s="1247"/>
      <c r="H465" s="909"/>
      <c r="I465" s="900">
        <f>SUM(J465:N465)</f>
        <v>277100</v>
      </c>
      <c r="J465" s="901"/>
      <c r="K465" s="901"/>
      <c r="L465" s="901">
        <v>5000</v>
      </c>
      <c r="M465" s="901"/>
      <c r="N465" s="902">
        <f>277100-5000</f>
        <v>272100</v>
      </c>
    </row>
    <row r="466" spans="1:14" s="910" customFormat="1" ht="18" customHeight="1">
      <c r="A466" s="443">
        <v>458</v>
      </c>
      <c r="B466" s="905"/>
      <c r="C466" s="906"/>
      <c r="D466" s="998" t="s">
        <v>994</v>
      </c>
      <c r="E466" s="908"/>
      <c r="F466" s="908"/>
      <c r="G466" s="1247"/>
      <c r="H466" s="909"/>
      <c r="I466" s="426">
        <f>SUM(J466:N466)</f>
        <v>280548</v>
      </c>
      <c r="J466" s="901"/>
      <c r="K466" s="901"/>
      <c r="L466" s="341">
        <v>8448</v>
      </c>
      <c r="M466" s="341"/>
      <c r="N466" s="337">
        <v>272100</v>
      </c>
    </row>
    <row r="467" spans="1:14" s="910" customFormat="1" ht="18" customHeight="1">
      <c r="A467" s="443">
        <v>459</v>
      </c>
      <c r="B467" s="905"/>
      <c r="C467" s="906"/>
      <c r="D467" s="997" t="s">
        <v>1035</v>
      </c>
      <c r="E467" s="908"/>
      <c r="F467" s="908"/>
      <c r="G467" s="1247"/>
      <c r="H467" s="909"/>
      <c r="I467" s="990">
        <f>SUM(J467:N467)</f>
        <v>278486</v>
      </c>
      <c r="J467" s="341"/>
      <c r="K467" s="341"/>
      <c r="L467" s="143">
        <v>6386</v>
      </c>
      <c r="M467" s="341"/>
      <c r="N467" s="144">
        <v>272100</v>
      </c>
    </row>
    <row r="468" spans="1:16" s="3" customFormat="1" ht="22.5" customHeight="1">
      <c r="A468" s="443">
        <v>460</v>
      </c>
      <c r="B468" s="119"/>
      <c r="C468" s="120">
        <v>96</v>
      </c>
      <c r="D468" s="145" t="s">
        <v>297</v>
      </c>
      <c r="E468" s="122">
        <v>50000</v>
      </c>
      <c r="F468" s="122">
        <v>54053</v>
      </c>
      <c r="G468" s="1245">
        <v>54053</v>
      </c>
      <c r="H468" s="445" t="s">
        <v>23</v>
      </c>
      <c r="I468" s="426"/>
      <c r="J468" s="126"/>
      <c r="K468" s="126"/>
      <c r="L468" s="126"/>
      <c r="M468" s="126"/>
      <c r="N468" s="127"/>
      <c r="P468" s="8"/>
    </row>
    <row r="469" spans="1:14" s="910" customFormat="1" ht="18" customHeight="1">
      <c r="A469" s="443">
        <v>461</v>
      </c>
      <c r="B469" s="905"/>
      <c r="C469" s="906"/>
      <c r="D469" s="930" t="s">
        <v>303</v>
      </c>
      <c r="E469" s="908"/>
      <c r="F469" s="908"/>
      <c r="G469" s="1247"/>
      <c r="H469" s="909"/>
      <c r="I469" s="900">
        <f>SUM(J469:N469)</f>
        <v>45900</v>
      </c>
      <c r="J469" s="901"/>
      <c r="K469" s="901"/>
      <c r="L469" s="901"/>
      <c r="M469" s="901"/>
      <c r="N469" s="902">
        <v>45900</v>
      </c>
    </row>
    <row r="470" spans="1:14" s="910" customFormat="1" ht="18" customHeight="1">
      <c r="A470" s="443">
        <v>462</v>
      </c>
      <c r="B470" s="905"/>
      <c r="C470" s="906"/>
      <c r="D470" s="998" t="s">
        <v>994</v>
      </c>
      <c r="E470" s="908"/>
      <c r="F470" s="908"/>
      <c r="G470" s="1247"/>
      <c r="H470" s="909"/>
      <c r="I470" s="426">
        <f>SUM(J470:N470)</f>
        <v>45900</v>
      </c>
      <c r="J470" s="901"/>
      <c r="K470" s="901"/>
      <c r="L470" s="901"/>
      <c r="M470" s="901"/>
      <c r="N470" s="337">
        <v>45900</v>
      </c>
    </row>
    <row r="471" spans="1:14" s="910" customFormat="1" ht="18" customHeight="1">
      <c r="A471" s="443">
        <v>463</v>
      </c>
      <c r="B471" s="905"/>
      <c r="C471" s="906"/>
      <c r="D471" s="997" t="s">
        <v>1036</v>
      </c>
      <c r="E471" s="908"/>
      <c r="F471" s="908"/>
      <c r="G471" s="1247"/>
      <c r="H471" s="909"/>
      <c r="I471" s="990">
        <f>SUM(J471:N471)</f>
        <v>45900</v>
      </c>
      <c r="J471" s="341"/>
      <c r="K471" s="341"/>
      <c r="L471" s="341"/>
      <c r="M471" s="341"/>
      <c r="N471" s="144">
        <v>45900</v>
      </c>
    </row>
    <row r="472" spans="1:16" s="3" customFormat="1" ht="22.5" customHeight="1">
      <c r="A472" s="443">
        <v>464</v>
      </c>
      <c r="B472" s="119"/>
      <c r="C472" s="120">
        <v>97</v>
      </c>
      <c r="D472" s="145" t="s">
        <v>9</v>
      </c>
      <c r="E472" s="122">
        <v>289144</v>
      </c>
      <c r="F472" s="122">
        <v>298908</v>
      </c>
      <c r="G472" s="1245">
        <v>298908</v>
      </c>
      <c r="H472" s="445" t="s">
        <v>23</v>
      </c>
      <c r="I472" s="426"/>
      <c r="J472" s="126"/>
      <c r="K472" s="126"/>
      <c r="L472" s="126"/>
      <c r="M472" s="126"/>
      <c r="N472" s="127"/>
      <c r="P472" s="8"/>
    </row>
    <row r="473" spans="1:14" s="910" customFormat="1" ht="18" customHeight="1">
      <c r="A473" s="443">
        <v>465</v>
      </c>
      <c r="B473" s="905"/>
      <c r="C473" s="906"/>
      <c r="D473" s="930" t="s">
        <v>303</v>
      </c>
      <c r="E473" s="908"/>
      <c r="F473" s="908"/>
      <c r="G473" s="1247"/>
      <c r="H473" s="909"/>
      <c r="I473" s="900">
        <f>SUM(J473:N473)</f>
        <v>259250</v>
      </c>
      <c r="J473" s="901"/>
      <c r="K473" s="901"/>
      <c r="L473" s="901"/>
      <c r="M473" s="901"/>
      <c r="N473" s="902">
        <v>259250</v>
      </c>
    </row>
    <row r="474" spans="1:14" s="910" customFormat="1" ht="18" customHeight="1">
      <c r="A474" s="443">
        <v>466</v>
      </c>
      <c r="B474" s="905"/>
      <c r="C474" s="906"/>
      <c r="D474" s="998" t="s">
        <v>994</v>
      </c>
      <c r="E474" s="908"/>
      <c r="F474" s="908"/>
      <c r="G474" s="1247"/>
      <c r="H474" s="909"/>
      <c r="I474" s="426">
        <f>SUM(J474:N474)</f>
        <v>259250</v>
      </c>
      <c r="J474" s="901"/>
      <c r="K474" s="901"/>
      <c r="L474" s="901"/>
      <c r="M474" s="901"/>
      <c r="N474" s="337">
        <v>259250</v>
      </c>
    </row>
    <row r="475" spans="1:14" s="910" customFormat="1" ht="18" customHeight="1">
      <c r="A475" s="443">
        <v>467</v>
      </c>
      <c r="B475" s="905"/>
      <c r="C475" s="906"/>
      <c r="D475" s="997" t="s">
        <v>1036</v>
      </c>
      <c r="E475" s="908"/>
      <c r="F475" s="908"/>
      <c r="G475" s="1247"/>
      <c r="H475" s="909"/>
      <c r="I475" s="990">
        <f>SUM(J475:N475)</f>
        <v>259250</v>
      </c>
      <c r="J475" s="341"/>
      <c r="K475" s="341"/>
      <c r="L475" s="341"/>
      <c r="M475" s="341"/>
      <c r="N475" s="144">
        <v>259250</v>
      </c>
    </row>
    <row r="476" spans="1:16" s="3" customFormat="1" ht="22.5" customHeight="1">
      <c r="A476" s="443">
        <v>468</v>
      </c>
      <c r="B476" s="119"/>
      <c r="C476" s="120">
        <v>98</v>
      </c>
      <c r="D476" s="145" t="s">
        <v>7</v>
      </c>
      <c r="E476" s="122">
        <v>21700</v>
      </c>
      <c r="F476" s="122">
        <v>43000</v>
      </c>
      <c r="G476" s="1245">
        <v>43000</v>
      </c>
      <c r="H476" s="445" t="s">
        <v>23</v>
      </c>
      <c r="I476" s="426"/>
      <c r="J476" s="126"/>
      <c r="K476" s="126"/>
      <c r="L476" s="126"/>
      <c r="M476" s="126"/>
      <c r="N476" s="127"/>
      <c r="P476" s="8"/>
    </row>
    <row r="477" spans="1:14" s="910" customFormat="1" ht="18" customHeight="1">
      <c r="A477" s="443">
        <v>469</v>
      </c>
      <c r="B477" s="905"/>
      <c r="C477" s="906"/>
      <c r="D477" s="930" t="s">
        <v>303</v>
      </c>
      <c r="E477" s="908"/>
      <c r="F477" s="908"/>
      <c r="G477" s="1247"/>
      <c r="H477" s="909"/>
      <c r="I477" s="900">
        <f>SUM(J477:N477)</f>
        <v>36550</v>
      </c>
      <c r="J477" s="901"/>
      <c r="K477" s="901"/>
      <c r="L477" s="901"/>
      <c r="M477" s="901"/>
      <c r="N477" s="902">
        <v>36550</v>
      </c>
    </row>
    <row r="478" spans="1:14" s="910" customFormat="1" ht="18" customHeight="1">
      <c r="A478" s="443">
        <v>470</v>
      </c>
      <c r="B478" s="905"/>
      <c r="C478" s="906"/>
      <c r="D478" s="998" t="s">
        <v>994</v>
      </c>
      <c r="E478" s="908"/>
      <c r="F478" s="908"/>
      <c r="G478" s="1247"/>
      <c r="H478" s="909"/>
      <c r="I478" s="426">
        <f>SUM(J478:N478)</f>
        <v>36550</v>
      </c>
      <c r="J478" s="901"/>
      <c r="K478" s="901"/>
      <c r="L478" s="901"/>
      <c r="M478" s="901"/>
      <c r="N478" s="337">
        <v>36550</v>
      </c>
    </row>
    <row r="479" spans="1:14" s="910" customFormat="1" ht="18" customHeight="1">
      <c r="A479" s="443">
        <v>471</v>
      </c>
      <c r="B479" s="905"/>
      <c r="C479" s="906"/>
      <c r="D479" s="997" t="s">
        <v>1036</v>
      </c>
      <c r="E479" s="908"/>
      <c r="F479" s="908"/>
      <c r="G479" s="1247"/>
      <c r="H479" s="909"/>
      <c r="I479" s="990">
        <f>SUM(J479:N479)</f>
        <v>36550</v>
      </c>
      <c r="J479" s="341"/>
      <c r="K479" s="341"/>
      <c r="L479" s="341"/>
      <c r="M479" s="341"/>
      <c r="N479" s="144">
        <v>36550</v>
      </c>
    </row>
    <row r="480" spans="1:16" s="3" customFormat="1" ht="22.5" customHeight="1">
      <c r="A480" s="443">
        <v>472</v>
      </c>
      <c r="B480" s="119"/>
      <c r="C480" s="120"/>
      <c r="D480" s="286" t="s">
        <v>299</v>
      </c>
      <c r="E480" s="122"/>
      <c r="F480" s="122"/>
      <c r="G480" s="1245"/>
      <c r="H480" s="445"/>
      <c r="I480" s="427"/>
      <c r="J480" s="129"/>
      <c r="K480" s="129"/>
      <c r="L480" s="129"/>
      <c r="M480" s="129"/>
      <c r="N480" s="130"/>
      <c r="O480" s="8"/>
      <c r="P480" s="8"/>
    </row>
    <row r="481" spans="1:16" s="3" customFormat="1" ht="22.5" customHeight="1">
      <c r="A481" s="443">
        <v>473</v>
      </c>
      <c r="B481" s="119"/>
      <c r="C481" s="120">
        <v>99</v>
      </c>
      <c r="D481" s="145" t="s">
        <v>746</v>
      </c>
      <c r="E481" s="122">
        <v>157789</v>
      </c>
      <c r="F481" s="122">
        <f>171000-121000</f>
        <v>50000</v>
      </c>
      <c r="G481" s="1245">
        <v>35000</v>
      </c>
      <c r="H481" s="445" t="s">
        <v>23</v>
      </c>
      <c r="I481" s="426"/>
      <c r="J481" s="126"/>
      <c r="K481" s="126"/>
      <c r="L481" s="126"/>
      <c r="M481" s="126"/>
      <c r="N481" s="127"/>
      <c r="P481" s="8"/>
    </row>
    <row r="482" spans="1:14" s="910" customFormat="1" ht="18" customHeight="1">
      <c r="A482" s="443">
        <v>474</v>
      </c>
      <c r="B482" s="905"/>
      <c r="C482" s="906"/>
      <c r="D482" s="930" t="s">
        <v>303</v>
      </c>
      <c r="E482" s="908"/>
      <c r="F482" s="908"/>
      <c r="G482" s="1247"/>
      <c r="H482" s="909"/>
      <c r="I482" s="900">
        <f>SUM(J482:N482)</f>
        <v>42500</v>
      </c>
      <c r="J482" s="901"/>
      <c r="K482" s="901"/>
      <c r="L482" s="901"/>
      <c r="M482" s="901"/>
      <c r="N482" s="902">
        <f>35000+7500</f>
        <v>42500</v>
      </c>
    </row>
    <row r="483" spans="1:14" s="910" customFormat="1" ht="18" customHeight="1">
      <c r="A483" s="443">
        <v>475</v>
      </c>
      <c r="B483" s="905"/>
      <c r="C483" s="906"/>
      <c r="D483" s="998" t="s">
        <v>994</v>
      </c>
      <c r="E483" s="908"/>
      <c r="F483" s="908"/>
      <c r="G483" s="1247"/>
      <c r="H483" s="909"/>
      <c r="I483" s="426">
        <f>SUM(J483:N483)</f>
        <v>42500</v>
      </c>
      <c r="J483" s="901"/>
      <c r="K483" s="901"/>
      <c r="L483" s="901"/>
      <c r="M483" s="901"/>
      <c r="N483" s="337">
        <v>42500</v>
      </c>
    </row>
    <row r="484" spans="1:14" s="910" customFormat="1" ht="18" customHeight="1">
      <c r="A484" s="443">
        <v>476</v>
      </c>
      <c r="B484" s="905"/>
      <c r="C484" s="906"/>
      <c r="D484" s="997" t="s">
        <v>1035</v>
      </c>
      <c r="E484" s="908"/>
      <c r="F484" s="908"/>
      <c r="G484" s="1247"/>
      <c r="H484" s="909"/>
      <c r="I484" s="990">
        <f>SUM(J484:N484)</f>
        <v>42500</v>
      </c>
      <c r="J484" s="341"/>
      <c r="K484" s="341"/>
      <c r="L484" s="341"/>
      <c r="M484" s="341"/>
      <c r="N484" s="144">
        <v>42500</v>
      </c>
    </row>
    <row r="485" spans="1:16" s="3" customFormat="1" ht="22.5" customHeight="1">
      <c r="A485" s="443">
        <v>477</v>
      </c>
      <c r="B485" s="119"/>
      <c r="C485" s="120">
        <v>100</v>
      </c>
      <c r="D485" s="145" t="s">
        <v>300</v>
      </c>
      <c r="E485" s="122">
        <v>180000</v>
      </c>
      <c r="F485" s="122">
        <v>180000</v>
      </c>
      <c r="G485" s="1245">
        <v>180000</v>
      </c>
      <c r="H485" s="445" t="s">
        <v>23</v>
      </c>
      <c r="I485" s="426"/>
      <c r="J485" s="126"/>
      <c r="K485" s="126"/>
      <c r="L485" s="126"/>
      <c r="M485" s="126"/>
      <c r="N485" s="127"/>
      <c r="P485" s="8"/>
    </row>
    <row r="486" spans="1:14" s="910" customFormat="1" ht="18" customHeight="1">
      <c r="A486" s="443">
        <v>478</v>
      </c>
      <c r="B486" s="905"/>
      <c r="C486" s="906"/>
      <c r="D486" s="930" t="s">
        <v>303</v>
      </c>
      <c r="E486" s="908"/>
      <c r="F486" s="908"/>
      <c r="G486" s="1247"/>
      <c r="H486" s="909"/>
      <c r="I486" s="900">
        <f>SUM(J486:N486)</f>
        <v>169738</v>
      </c>
      <c r="J486" s="901"/>
      <c r="K486" s="901"/>
      <c r="L486" s="901"/>
      <c r="M486" s="901"/>
      <c r="N486" s="902">
        <v>169738</v>
      </c>
    </row>
    <row r="487" spans="1:14" s="910" customFormat="1" ht="18" customHeight="1">
      <c r="A487" s="443">
        <v>479</v>
      </c>
      <c r="B487" s="905"/>
      <c r="C487" s="906"/>
      <c r="D487" s="998" t="s">
        <v>994</v>
      </c>
      <c r="E487" s="908"/>
      <c r="F487" s="908"/>
      <c r="G487" s="1247"/>
      <c r="H487" s="909"/>
      <c r="I487" s="426">
        <f>SUM(J487:N487)</f>
        <v>169738</v>
      </c>
      <c r="J487" s="901"/>
      <c r="K487" s="901"/>
      <c r="L487" s="901"/>
      <c r="M487" s="901"/>
      <c r="N487" s="337">
        <v>169738</v>
      </c>
    </row>
    <row r="488" spans="1:14" s="910" customFormat="1" ht="18" customHeight="1">
      <c r="A488" s="443">
        <v>480</v>
      </c>
      <c r="B488" s="905"/>
      <c r="C488" s="906"/>
      <c r="D488" s="997" t="s">
        <v>1036</v>
      </c>
      <c r="E488" s="908"/>
      <c r="F488" s="908"/>
      <c r="G488" s="1247"/>
      <c r="H488" s="909"/>
      <c r="I488" s="990">
        <f>SUM(J488:N488)</f>
        <v>169738</v>
      </c>
      <c r="J488" s="341"/>
      <c r="K488" s="341"/>
      <c r="L488" s="341"/>
      <c r="M488" s="341"/>
      <c r="N488" s="144">
        <v>169738</v>
      </c>
    </row>
    <row r="489" spans="1:14" s="8" customFormat="1" ht="22.5" customHeight="1">
      <c r="A489" s="443">
        <v>481</v>
      </c>
      <c r="B489" s="123"/>
      <c r="C489" s="120">
        <v>101</v>
      </c>
      <c r="D489" s="145" t="s">
        <v>747</v>
      </c>
      <c r="E489" s="122"/>
      <c r="F489" s="122">
        <v>121000</v>
      </c>
      <c r="G489" s="1245">
        <v>123387</v>
      </c>
      <c r="H489" s="445" t="s">
        <v>23</v>
      </c>
      <c r="I489" s="426"/>
      <c r="J489" s="126"/>
      <c r="K489" s="126"/>
      <c r="L489" s="126"/>
      <c r="M489" s="126"/>
      <c r="N489" s="127"/>
    </row>
    <row r="490" spans="1:14" s="910" customFormat="1" ht="18" customHeight="1">
      <c r="A490" s="443">
        <v>482</v>
      </c>
      <c r="B490" s="905"/>
      <c r="C490" s="906"/>
      <c r="D490" s="930" t="s">
        <v>303</v>
      </c>
      <c r="E490" s="908"/>
      <c r="F490" s="908"/>
      <c r="G490" s="1247"/>
      <c r="H490" s="909"/>
      <c r="I490" s="900">
        <f>SUM(J490:N490)</f>
        <v>130000</v>
      </c>
      <c r="J490" s="901"/>
      <c r="K490" s="901"/>
      <c r="L490" s="901">
        <v>130000</v>
      </c>
      <c r="M490" s="901"/>
      <c r="N490" s="902"/>
    </row>
    <row r="491" spans="1:14" s="910" customFormat="1" ht="18" customHeight="1">
      <c r="A491" s="443">
        <v>483</v>
      </c>
      <c r="B491" s="905"/>
      <c r="C491" s="906"/>
      <c r="D491" s="998" t="s">
        <v>994</v>
      </c>
      <c r="E491" s="908"/>
      <c r="F491" s="908"/>
      <c r="G491" s="1247"/>
      <c r="H491" s="909"/>
      <c r="I491" s="426">
        <f>SUM(J491:N491)</f>
        <v>149113</v>
      </c>
      <c r="J491" s="901"/>
      <c r="K491" s="901"/>
      <c r="L491" s="341">
        <v>149113</v>
      </c>
      <c r="M491" s="901"/>
      <c r="N491" s="902"/>
    </row>
    <row r="492" spans="1:14" s="910" customFormat="1" ht="18" customHeight="1">
      <c r="A492" s="443">
        <v>484</v>
      </c>
      <c r="B492" s="905"/>
      <c r="C492" s="906"/>
      <c r="D492" s="997" t="s">
        <v>1035</v>
      </c>
      <c r="E492" s="908"/>
      <c r="F492" s="908"/>
      <c r="G492" s="1247"/>
      <c r="H492" s="909"/>
      <c r="I492" s="990">
        <f>SUM(J492:N492)</f>
        <v>127855</v>
      </c>
      <c r="J492" s="341"/>
      <c r="K492" s="341"/>
      <c r="L492" s="143">
        <v>127855</v>
      </c>
      <c r="M492" s="341"/>
      <c r="N492" s="337"/>
    </row>
    <row r="493" spans="1:16" s="3" customFormat="1" ht="22.5" customHeight="1">
      <c r="A493" s="443">
        <v>485</v>
      </c>
      <c r="B493" s="119"/>
      <c r="C493" s="120">
        <v>102</v>
      </c>
      <c r="D493" s="437" t="s">
        <v>103</v>
      </c>
      <c r="E493" s="122">
        <v>20000</v>
      </c>
      <c r="F493" s="122">
        <v>20000</v>
      </c>
      <c r="G493" s="1245">
        <v>20000</v>
      </c>
      <c r="H493" s="445" t="s">
        <v>23</v>
      </c>
      <c r="I493" s="426"/>
      <c r="J493" s="126"/>
      <c r="K493" s="126"/>
      <c r="L493" s="126"/>
      <c r="M493" s="126"/>
      <c r="N493" s="127"/>
      <c r="P493" s="8"/>
    </row>
    <row r="494" spans="1:14" s="910" customFormat="1" ht="18" customHeight="1">
      <c r="A494" s="443">
        <v>486</v>
      </c>
      <c r="B494" s="905"/>
      <c r="C494" s="906"/>
      <c r="D494" s="907" t="s">
        <v>303</v>
      </c>
      <c r="E494" s="908"/>
      <c r="F494" s="908"/>
      <c r="G494" s="1247"/>
      <c r="H494" s="909"/>
      <c r="I494" s="900">
        <f>SUM(J494:N494)</f>
        <v>17000</v>
      </c>
      <c r="J494" s="901"/>
      <c r="K494" s="901"/>
      <c r="L494" s="901">
        <v>17000</v>
      </c>
      <c r="M494" s="901"/>
      <c r="N494" s="902"/>
    </row>
    <row r="495" spans="1:14" s="910" customFormat="1" ht="18" customHeight="1">
      <c r="A495" s="443">
        <v>487</v>
      </c>
      <c r="B495" s="905"/>
      <c r="C495" s="906"/>
      <c r="D495" s="436" t="s">
        <v>994</v>
      </c>
      <c r="E495" s="908"/>
      <c r="F495" s="908"/>
      <c r="G495" s="1247"/>
      <c r="H495" s="909"/>
      <c r="I495" s="426">
        <f>SUM(J495:N495)</f>
        <v>24000</v>
      </c>
      <c r="J495" s="901"/>
      <c r="K495" s="901"/>
      <c r="L495" s="341">
        <v>24000</v>
      </c>
      <c r="M495" s="901"/>
      <c r="N495" s="902"/>
    </row>
    <row r="496" spans="1:14" s="910" customFormat="1" ht="18" customHeight="1">
      <c r="A496" s="443">
        <v>488</v>
      </c>
      <c r="B496" s="905"/>
      <c r="C496" s="906"/>
      <c r="D496" s="987" t="s">
        <v>1035</v>
      </c>
      <c r="E496" s="908"/>
      <c r="F496" s="908"/>
      <c r="G496" s="1247"/>
      <c r="H496" s="909"/>
      <c r="I496" s="990">
        <f>SUM(J496:N496)</f>
        <v>19000</v>
      </c>
      <c r="J496" s="341"/>
      <c r="K496" s="341"/>
      <c r="L496" s="143">
        <v>19000</v>
      </c>
      <c r="M496" s="901"/>
      <c r="N496" s="902"/>
    </row>
    <row r="497" spans="1:16" s="3" customFormat="1" ht="22.5" customHeight="1">
      <c r="A497" s="443">
        <v>489</v>
      </c>
      <c r="B497" s="119"/>
      <c r="C497" s="120">
        <v>103</v>
      </c>
      <c r="D497" s="437" t="s">
        <v>104</v>
      </c>
      <c r="E497" s="122">
        <v>1000</v>
      </c>
      <c r="F497" s="122">
        <v>1000</v>
      </c>
      <c r="G497" s="1245">
        <v>1000</v>
      </c>
      <c r="H497" s="445" t="s">
        <v>23</v>
      </c>
      <c r="I497" s="426"/>
      <c r="J497" s="126"/>
      <c r="K497" s="126"/>
      <c r="L497" s="126"/>
      <c r="M497" s="126"/>
      <c r="N497" s="127"/>
      <c r="P497" s="8"/>
    </row>
    <row r="498" spans="1:14" s="910" customFormat="1" ht="18" customHeight="1">
      <c r="A498" s="443">
        <v>490</v>
      </c>
      <c r="B498" s="905"/>
      <c r="C498" s="906"/>
      <c r="D498" s="907" t="s">
        <v>303</v>
      </c>
      <c r="E498" s="908"/>
      <c r="F498" s="908"/>
      <c r="G498" s="1247"/>
      <c r="H498" s="909"/>
      <c r="I498" s="900">
        <f>SUM(J498:N498)</f>
        <v>1020</v>
      </c>
      <c r="J498" s="901"/>
      <c r="K498" s="901"/>
      <c r="L498" s="901">
        <v>1020</v>
      </c>
      <c r="M498" s="901"/>
      <c r="N498" s="902"/>
    </row>
    <row r="499" spans="1:14" s="910" customFormat="1" ht="18" customHeight="1">
      <c r="A499" s="443">
        <v>491</v>
      </c>
      <c r="B499" s="905"/>
      <c r="C499" s="906"/>
      <c r="D499" s="436" t="s">
        <v>994</v>
      </c>
      <c r="E499" s="908"/>
      <c r="F499" s="908"/>
      <c r="G499" s="1247"/>
      <c r="H499" s="909"/>
      <c r="I499" s="426">
        <f>SUM(J499:N499)</f>
        <v>1020</v>
      </c>
      <c r="J499" s="901"/>
      <c r="K499" s="901"/>
      <c r="L499" s="341">
        <v>1020</v>
      </c>
      <c r="M499" s="901"/>
      <c r="N499" s="902"/>
    </row>
    <row r="500" spans="1:14" s="910" customFormat="1" ht="18" customHeight="1">
      <c r="A500" s="443">
        <v>492</v>
      </c>
      <c r="B500" s="905"/>
      <c r="C500" s="906"/>
      <c r="D500" s="987" t="s">
        <v>1036</v>
      </c>
      <c r="E500" s="908"/>
      <c r="F500" s="908"/>
      <c r="G500" s="1247"/>
      <c r="H500" s="909"/>
      <c r="I500" s="990">
        <f>SUM(J500:N500)</f>
        <v>1020</v>
      </c>
      <c r="J500" s="341"/>
      <c r="K500" s="341"/>
      <c r="L500" s="143">
        <v>1020</v>
      </c>
      <c r="M500" s="901"/>
      <c r="N500" s="902"/>
    </row>
    <row r="501" spans="1:16" s="3" customFormat="1" ht="22.5" customHeight="1">
      <c r="A501" s="443">
        <v>493</v>
      </c>
      <c r="B501" s="119"/>
      <c r="C501" s="120">
        <v>104</v>
      </c>
      <c r="D501" s="437" t="s">
        <v>105</v>
      </c>
      <c r="E501" s="122">
        <v>1851</v>
      </c>
      <c r="F501" s="122">
        <v>5000</v>
      </c>
      <c r="G501" s="1245">
        <v>2889</v>
      </c>
      <c r="H501" s="445" t="s">
        <v>23</v>
      </c>
      <c r="I501" s="426"/>
      <c r="J501" s="126"/>
      <c r="K501" s="126"/>
      <c r="L501" s="126"/>
      <c r="M501" s="126"/>
      <c r="N501" s="127"/>
      <c r="P501" s="8"/>
    </row>
    <row r="502" spans="1:14" s="910" customFormat="1" ht="18" customHeight="1">
      <c r="A502" s="443">
        <v>494</v>
      </c>
      <c r="B502" s="905"/>
      <c r="C502" s="906"/>
      <c r="D502" s="907" t="s">
        <v>303</v>
      </c>
      <c r="E502" s="908"/>
      <c r="F502" s="908"/>
      <c r="G502" s="1247"/>
      <c r="H502" s="909"/>
      <c r="I502" s="900">
        <f>SUM(J502:N502)</f>
        <v>4250</v>
      </c>
      <c r="J502" s="901"/>
      <c r="K502" s="901"/>
      <c r="L502" s="901">
        <v>4250</v>
      </c>
      <c r="M502" s="901"/>
      <c r="N502" s="902"/>
    </row>
    <row r="503" spans="1:14" s="910" customFormat="1" ht="18" customHeight="1">
      <c r="A503" s="443">
        <v>495</v>
      </c>
      <c r="B503" s="905"/>
      <c r="C503" s="906"/>
      <c r="D503" s="436" t="s">
        <v>994</v>
      </c>
      <c r="E503" s="908"/>
      <c r="F503" s="908"/>
      <c r="G503" s="1247"/>
      <c r="H503" s="909"/>
      <c r="I503" s="426">
        <f>SUM(J503:N503)</f>
        <v>4361</v>
      </c>
      <c r="J503" s="901"/>
      <c r="K503" s="901"/>
      <c r="L503" s="341">
        <v>4361</v>
      </c>
      <c r="M503" s="901"/>
      <c r="N503" s="902"/>
    </row>
    <row r="504" spans="1:14" s="910" customFormat="1" ht="18" customHeight="1">
      <c r="A504" s="443">
        <v>496</v>
      </c>
      <c r="B504" s="905"/>
      <c r="C504" s="906"/>
      <c r="D504" s="987" t="s">
        <v>1036</v>
      </c>
      <c r="E504" s="908"/>
      <c r="F504" s="908"/>
      <c r="G504" s="1247"/>
      <c r="H504" s="909"/>
      <c r="I504" s="990">
        <f>SUM(J504:N504)</f>
        <v>1405</v>
      </c>
      <c r="J504" s="341"/>
      <c r="K504" s="341"/>
      <c r="L504" s="143">
        <v>1405</v>
      </c>
      <c r="M504" s="901"/>
      <c r="N504" s="902"/>
    </row>
    <row r="505" spans="1:16" s="3" customFormat="1" ht="22.5" customHeight="1">
      <c r="A505" s="443">
        <v>497</v>
      </c>
      <c r="B505" s="119"/>
      <c r="C505" s="120">
        <v>105</v>
      </c>
      <c r="D505" s="437" t="s">
        <v>106</v>
      </c>
      <c r="E505" s="122">
        <v>13221</v>
      </c>
      <c r="F505" s="122">
        <v>20000</v>
      </c>
      <c r="G505" s="1245">
        <v>13710</v>
      </c>
      <c r="H505" s="445" t="s">
        <v>23</v>
      </c>
      <c r="I505" s="426"/>
      <c r="J505" s="126"/>
      <c r="K505" s="126"/>
      <c r="L505" s="126"/>
      <c r="M505" s="126"/>
      <c r="N505" s="127"/>
      <c r="P505" s="8"/>
    </row>
    <row r="506" spans="1:14" s="910" customFormat="1" ht="18" customHeight="1">
      <c r="A506" s="443">
        <v>498</v>
      </c>
      <c r="B506" s="905"/>
      <c r="C506" s="906"/>
      <c r="D506" s="907" t="s">
        <v>303</v>
      </c>
      <c r="E506" s="908"/>
      <c r="F506" s="908"/>
      <c r="G506" s="1247"/>
      <c r="H506" s="909"/>
      <c r="I506" s="900">
        <f>SUM(J506:N506)</f>
        <v>17000</v>
      </c>
      <c r="J506" s="901"/>
      <c r="K506" s="901"/>
      <c r="L506" s="901">
        <v>17000</v>
      </c>
      <c r="M506" s="901"/>
      <c r="N506" s="902"/>
    </row>
    <row r="507" spans="1:14" s="910" customFormat="1" ht="18" customHeight="1">
      <c r="A507" s="443">
        <v>499</v>
      </c>
      <c r="B507" s="905"/>
      <c r="C507" s="906"/>
      <c r="D507" s="436" t="s">
        <v>994</v>
      </c>
      <c r="E507" s="908"/>
      <c r="F507" s="908"/>
      <c r="G507" s="1247"/>
      <c r="H507" s="909"/>
      <c r="I507" s="426">
        <f>SUM(J507:N507)</f>
        <v>31004</v>
      </c>
      <c r="J507" s="901"/>
      <c r="K507" s="901"/>
      <c r="L507" s="341">
        <v>31004</v>
      </c>
      <c r="M507" s="901"/>
      <c r="N507" s="902"/>
    </row>
    <row r="508" spans="1:14" s="910" customFormat="1" ht="18" customHeight="1">
      <c r="A508" s="443">
        <v>500</v>
      </c>
      <c r="B508" s="905"/>
      <c r="C508" s="906"/>
      <c r="D508" s="987" t="s">
        <v>1040</v>
      </c>
      <c r="E508" s="908"/>
      <c r="F508" s="908"/>
      <c r="G508" s="1247"/>
      <c r="H508" s="909"/>
      <c r="I508" s="990">
        <f>SUM(J508:N508)</f>
        <v>17199</v>
      </c>
      <c r="J508" s="341"/>
      <c r="K508" s="341"/>
      <c r="L508" s="143">
        <v>17199</v>
      </c>
      <c r="M508" s="901"/>
      <c r="N508" s="902"/>
    </row>
    <row r="509" spans="1:16" s="3" customFormat="1" ht="22.5" customHeight="1">
      <c r="A509" s="443">
        <v>501</v>
      </c>
      <c r="B509" s="119"/>
      <c r="C509" s="120">
        <v>106</v>
      </c>
      <c r="D509" s="437" t="s">
        <v>107</v>
      </c>
      <c r="E509" s="122">
        <v>160341</v>
      </c>
      <c r="F509" s="122">
        <v>170000</v>
      </c>
      <c r="G509" s="1245">
        <v>189414</v>
      </c>
      <c r="H509" s="445" t="s">
        <v>23</v>
      </c>
      <c r="I509" s="426"/>
      <c r="J509" s="126"/>
      <c r="K509" s="126"/>
      <c r="L509" s="126"/>
      <c r="M509" s="126"/>
      <c r="N509" s="127"/>
      <c r="P509" s="8"/>
    </row>
    <row r="510" spans="1:14" s="910" customFormat="1" ht="18" customHeight="1">
      <c r="A510" s="443">
        <v>502</v>
      </c>
      <c r="B510" s="905"/>
      <c r="C510" s="906"/>
      <c r="D510" s="907" t="s">
        <v>303</v>
      </c>
      <c r="E510" s="908"/>
      <c r="F510" s="908"/>
      <c r="G510" s="1247"/>
      <c r="H510" s="909"/>
      <c r="I510" s="900">
        <f>SUM(J510:N510)</f>
        <v>191250</v>
      </c>
      <c r="J510" s="901"/>
      <c r="K510" s="901"/>
      <c r="L510" s="901">
        <v>191250</v>
      </c>
      <c r="M510" s="901"/>
      <c r="N510" s="902"/>
    </row>
    <row r="511" spans="1:14" s="910" customFormat="1" ht="18" customHeight="1">
      <c r="A511" s="443">
        <v>503</v>
      </c>
      <c r="B511" s="905"/>
      <c r="C511" s="906"/>
      <c r="D511" s="436" t="s">
        <v>994</v>
      </c>
      <c r="E511" s="908"/>
      <c r="F511" s="908"/>
      <c r="G511" s="1247"/>
      <c r="H511" s="909"/>
      <c r="I511" s="426">
        <f>SUM(J511:N511)</f>
        <v>225665</v>
      </c>
      <c r="J511" s="901"/>
      <c r="K511" s="901"/>
      <c r="L511" s="341">
        <v>225665</v>
      </c>
      <c r="M511" s="901"/>
      <c r="N511" s="902"/>
    </row>
    <row r="512" spans="1:14" s="910" customFormat="1" ht="18" customHeight="1">
      <c r="A512" s="443">
        <v>504</v>
      </c>
      <c r="B512" s="905"/>
      <c r="C512" s="906"/>
      <c r="D512" s="987" t="s">
        <v>1035</v>
      </c>
      <c r="E512" s="908"/>
      <c r="F512" s="908"/>
      <c r="G512" s="1247"/>
      <c r="H512" s="909"/>
      <c r="I512" s="990">
        <f>SUM(J512:N512)</f>
        <v>225617</v>
      </c>
      <c r="J512" s="341"/>
      <c r="K512" s="341"/>
      <c r="L512" s="143">
        <v>225617</v>
      </c>
      <c r="M512" s="901"/>
      <c r="N512" s="902"/>
    </row>
    <row r="513" spans="1:16" s="3" customFormat="1" ht="22.5" customHeight="1">
      <c r="A513" s="443">
        <v>505</v>
      </c>
      <c r="B513" s="119"/>
      <c r="C513" s="120">
        <v>107</v>
      </c>
      <c r="D513" s="437" t="s">
        <v>108</v>
      </c>
      <c r="E513" s="122">
        <v>4681</v>
      </c>
      <c r="F513" s="122">
        <v>5000</v>
      </c>
      <c r="G513" s="1245">
        <v>3526</v>
      </c>
      <c r="H513" s="445" t="s">
        <v>23</v>
      </c>
      <c r="I513" s="426"/>
      <c r="J513" s="126"/>
      <c r="K513" s="126"/>
      <c r="L513" s="126"/>
      <c r="M513" s="126"/>
      <c r="N513" s="127"/>
      <c r="P513" s="8"/>
    </row>
    <row r="514" spans="1:14" s="910" customFormat="1" ht="18" customHeight="1">
      <c r="A514" s="443">
        <v>506</v>
      </c>
      <c r="B514" s="905"/>
      <c r="C514" s="906"/>
      <c r="D514" s="907" t="s">
        <v>303</v>
      </c>
      <c r="E514" s="908"/>
      <c r="F514" s="908"/>
      <c r="G514" s="1247"/>
      <c r="H514" s="909"/>
      <c r="I514" s="900">
        <f>SUM(J514:N514)</f>
        <v>4250</v>
      </c>
      <c r="J514" s="901"/>
      <c r="K514" s="901"/>
      <c r="L514" s="901">
        <v>4250</v>
      </c>
      <c r="M514" s="901"/>
      <c r="N514" s="902"/>
    </row>
    <row r="515" spans="1:14" s="910" customFormat="1" ht="18" customHeight="1">
      <c r="A515" s="443">
        <v>507</v>
      </c>
      <c r="B515" s="905"/>
      <c r="C515" s="906"/>
      <c r="D515" s="436" t="s">
        <v>994</v>
      </c>
      <c r="E515" s="908"/>
      <c r="F515" s="908"/>
      <c r="G515" s="1247"/>
      <c r="H515" s="909"/>
      <c r="I515" s="426">
        <f>SUM(J515:N515)</f>
        <v>7883</v>
      </c>
      <c r="J515" s="901"/>
      <c r="K515" s="901"/>
      <c r="L515" s="341">
        <v>7883</v>
      </c>
      <c r="M515" s="901"/>
      <c r="N515" s="902"/>
    </row>
    <row r="516" spans="1:14" s="910" customFormat="1" ht="18" customHeight="1">
      <c r="A516" s="443">
        <v>508</v>
      </c>
      <c r="B516" s="905"/>
      <c r="C516" s="906"/>
      <c r="D516" s="987" t="s">
        <v>1035</v>
      </c>
      <c r="E516" s="908"/>
      <c r="F516" s="908"/>
      <c r="G516" s="1247"/>
      <c r="H516" s="909"/>
      <c r="I516" s="990">
        <f>SUM(J516:N516)</f>
        <v>3555</v>
      </c>
      <c r="J516" s="341"/>
      <c r="K516" s="341"/>
      <c r="L516" s="143">
        <v>3555</v>
      </c>
      <c r="M516" s="901"/>
      <c r="N516" s="902"/>
    </row>
    <row r="517" spans="1:16" s="3" customFormat="1" ht="22.5" customHeight="1">
      <c r="A517" s="443">
        <v>509</v>
      </c>
      <c r="B517" s="119"/>
      <c r="C517" s="120">
        <v>108</v>
      </c>
      <c r="D517" s="437" t="s">
        <v>109</v>
      </c>
      <c r="E517" s="122">
        <v>2677</v>
      </c>
      <c r="F517" s="122">
        <v>6000</v>
      </c>
      <c r="G517" s="1245">
        <v>4382</v>
      </c>
      <c r="H517" s="445" t="s">
        <v>23</v>
      </c>
      <c r="I517" s="426"/>
      <c r="J517" s="126"/>
      <c r="K517" s="126"/>
      <c r="L517" s="126"/>
      <c r="M517" s="126"/>
      <c r="N517" s="127"/>
      <c r="P517" s="8"/>
    </row>
    <row r="518" spans="1:14" s="910" customFormat="1" ht="18" customHeight="1">
      <c r="A518" s="443">
        <v>510</v>
      </c>
      <c r="B518" s="905"/>
      <c r="C518" s="906"/>
      <c r="D518" s="907" t="s">
        <v>303</v>
      </c>
      <c r="E518" s="908"/>
      <c r="F518" s="908"/>
      <c r="G518" s="1247"/>
      <c r="H518" s="909"/>
      <c r="I518" s="900">
        <f>SUM(J518:N518)</f>
        <v>5100</v>
      </c>
      <c r="J518" s="901"/>
      <c r="K518" s="901"/>
      <c r="L518" s="901">
        <v>5100</v>
      </c>
      <c r="M518" s="901"/>
      <c r="N518" s="902"/>
    </row>
    <row r="519" spans="1:14" s="910" customFormat="1" ht="18" customHeight="1">
      <c r="A519" s="443">
        <v>511</v>
      </c>
      <c r="B519" s="905"/>
      <c r="C519" s="906"/>
      <c r="D519" s="436" t="s">
        <v>994</v>
      </c>
      <c r="E519" s="908"/>
      <c r="F519" s="908"/>
      <c r="G519" s="1247"/>
      <c r="H519" s="909"/>
      <c r="I519" s="426">
        <f>SUM(J519:N519)</f>
        <v>6098</v>
      </c>
      <c r="J519" s="901"/>
      <c r="K519" s="901"/>
      <c r="L519" s="341">
        <v>6098</v>
      </c>
      <c r="M519" s="901"/>
      <c r="N519" s="902"/>
    </row>
    <row r="520" spans="1:14" s="910" customFormat="1" ht="18" customHeight="1">
      <c r="A520" s="443">
        <v>512</v>
      </c>
      <c r="B520" s="905"/>
      <c r="C520" s="906"/>
      <c r="D520" s="987" t="s">
        <v>1035</v>
      </c>
      <c r="E520" s="908"/>
      <c r="F520" s="908"/>
      <c r="G520" s="1247"/>
      <c r="H520" s="909"/>
      <c r="I520" s="990">
        <f>SUM(J520:N520)</f>
        <v>1141</v>
      </c>
      <c r="J520" s="341"/>
      <c r="K520" s="341"/>
      <c r="L520" s="143">
        <v>1141</v>
      </c>
      <c r="M520" s="901"/>
      <c r="N520" s="902"/>
    </row>
    <row r="521" spans="1:16" s="3" customFormat="1" ht="22.5" customHeight="1">
      <c r="A521" s="443">
        <v>513</v>
      </c>
      <c r="B521" s="119"/>
      <c r="C521" s="120">
        <v>109</v>
      </c>
      <c r="D521" s="437" t="s">
        <v>110</v>
      </c>
      <c r="E521" s="122">
        <v>1956</v>
      </c>
      <c r="F521" s="122">
        <v>1000</v>
      </c>
      <c r="G521" s="1245">
        <v>36</v>
      </c>
      <c r="H521" s="445" t="s">
        <v>23</v>
      </c>
      <c r="I521" s="426"/>
      <c r="J521" s="126"/>
      <c r="K521" s="126"/>
      <c r="L521" s="126"/>
      <c r="M521" s="126"/>
      <c r="N521" s="127"/>
      <c r="P521" s="8"/>
    </row>
    <row r="522" spans="1:14" s="910" customFormat="1" ht="18" customHeight="1">
      <c r="A522" s="443">
        <v>514</v>
      </c>
      <c r="B522" s="905"/>
      <c r="C522" s="906"/>
      <c r="D522" s="907" t="s">
        <v>303</v>
      </c>
      <c r="E522" s="908"/>
      <c r="F522" s="908"/>
      <c r="G522" s="1247"/>
      <c r="H522" s="909"/>
      <c r="I522" s="900">
        <f>SUM(J522:N522)</f>
        <v>850</v>
      </c>
      <c r="J522" s="901"/>
      <c r="K522" s="901"/>
      <c r="L522" s="901">
        <v>850</v>
      </c>
      <c r="M522" s="901"/>
      <c r="N522" s="902"/>
    </row>
    <row r="523" spans="1:14" s="910" customFormat="1" ht="18" customHeight="1">
      <c r="A523" s="443">
        <v>515</v>
      </c>
      <c r="B523" s="905"/>
      <c r="C523" s="906"/>
      <c r="D523" s="436" t="s">
        <v>994</v>
      </c>
      <c r="E523" s="908"/>
      <c r="F523" s="908"/>
      <c r="G523" s="1247"/>
      <c r="H523" s="909"/>
      <c r="I523" s="426">
        <f>SUM(J523:N523)</f>
        <v>850</v>
      </c>
      <c r="J523" s="901"/>
      <c r="K523" s="901"/>
      <c r="L523" s="341">
        <v>850</v>
      </c>
      <c r="M523" s="901"/>
      <c r="N523" s="902"/>
    </row>
    <row r="524" spans="1:14" s="910" customFormat="1" ht="18" customHeight="1">
      <c r="A524" s="443">
        <v>516</v>
      </c>
      <c r="B524" s="905"/>
      <c r="C524" s="906"/>
      <c r="D524" s="987" t="s">
        <v>1036</v>
      </c>
      <c r="E524" s="908"/>
      <c r="F524" s="908"/>
      <c r="G524" s="1247"/>
      <c r="H524" s="909"/>
      <c r="I524" s="990">
        <f>SUM(J524:N524)</f>
        <v>185</v>
      </c>
      <c r="J524" s="341"/>
      <c r="K524" s="341"/>
      <c r="L524" s="143">
        <v>185</v>
      </c>
      <c r="M524" s="901"/>
      <c r="N524" s="902"/>
    </row>
    <row r="525" spans="1:16" s="3" customFormat="1" ht="22.5" customHeight="1">
      <c r="A525" s="443">
        <v>517</v>
      </c>
      <c r="B525" s="119"/>
      <c r="C525" s="120">
        <v>110</v>
      </c>
      <c r="D525" s="441" t="s">
        <v>309</v>
      </c>
      <c r="E525" s="122">
        <v>56649</v>
      </c>
      <c r="F525" s="122">
        <v>65620</v>
      </c>
      <c r="G525" s="1245">
        <v>59551</v>
      </c>
      <c r="H525" s="445" t="s">
        <v>23</v>
      </c>
      <c r="I525" s="426"/>
      <c r="J525" s="126"/>
      <c r="K525" s="126"/>
      <c r="L525" s="126"/>
      <c r="M525" s="126"/>
      <c r="N525" s="127"/>
      <c r="P525" s="8"/>
    </row>
    <row r="526" spans="1:14" s="910" customFormat="1" ht="18" customHeight="1">
      <c r="A526" s="443">
        <v>518</v>
      </c>
      <c r="B526" s="905"/>
      <c r="C526" s="906"/>
      <c r="D526" s="907" t="s">
        <v>303</v>
      </c>
      <c r="E526" s="908"/>
      <c r="F526" s="908"/>
      <c r="G526" s="1247"/>
      <c r="H526" s="909"/>
      <c r="I526" s="900">
        <f>SUM(J526:N526)</f>
        <v>65195</v>
      </c>
      <c r="J526" s="901"/>
      <c r="K526" s="901"/>
      <c r="L526" s="901">
        <v>65195</v>
      </c>
      <c r="M526" s="901"/>
      <c r="N526" s="902"/>
    </row>
    <row r="527" spans="1:14" s="910" customFormat="1" ht="18" customHeight="1">
      <c r="A527" s="443">
        <v>519</v>
      </c>
      <c r="B527" s="905"/>
      <c r="C527" s="906"/>
      <c r="D527" s="436" t="s">
        <v>994</v>
      </c>
      <c r="E527" s="908"/>
      <c r="F527" s="908"/>
      <c r="G527" s="1247"/>
      <c r="H527" s="909"/>
      <c r="I527" s="426">
        <f>SUM(J527:N527)</f>
        <v>68769</v>
      </c>
      <c r="J527" s="901"/>
      <c r="K527" s="901"/>
      <c r="L527" s="341">
        <v>68769</v>
      </c>
      <c r="M527" s="901"/>
      <c r="N527" s="902"/>
    </row>
    <row r="528" spans="1:14" s="910" customFormat="1" ht="18" customHeight="1">
      <c r="A528" s="443">
        <v>520</v>
      </c>
      <c r="B528" s="905"/>
      <c r="C528" s="906"/>
      <c r="D528" s="987" t="s">
        <v>1035</v>
      </c>
      <c r="E528" s="908"/>
      <c r="F528" s="908"/>
      <c r="G528" s="1247"/>
      <c r="H528" s="909"/>
      <c r="I528" s="990">
        <f>SUM(J528:N528)</f>
        <v>66237</v>
      </c>
      <c r="J528" s="341"/>
      <c r="K528" s="341"/>
      <c r="L528" s="143">
        <v>66237</v>
      </c>
      <c r="M528" s="901"/>
      <c r="N528" s="902"/>
    </row>
    <row r="529" spans="1:16" s="3" customFormat="1" ht="22.5" customHeight="1">
      <c r="A529" s="443">
        <v>521</v>
      </c>
      <c r="B529" s="119"/>
      <c r="C529" s="120">
        <v>111</v>
      </c>
      <c r="D529" s="441" t="s">
        <v>748</v>
      </c>
      <c r="E529" s="122">
        <v>56400</v>
      </c>
      <c r="F529" s="122">
        <v>61048</v>
      </c>
      <c r="G529" s="1245">
        <v>60900</v>
      </c>
      <c r="H529" s="445" t="s">
        <v>23</v>
      </c>
      <c r="I529" s="426"/>
      <c r="J529" s="126"/>
      <c r="K529" s="126"/>
      <c r="L529" s="126"/>
      <c r="M529" s="126"/>
      <c r="N529" s="127"/>
      <c r="P529" s="8"/>
    </row>
    <row r="530" spans="1:14" s="910" customFormat="1" ht="18" customHeight="1">
      <c r="A530" s="443">
        <v>522</v>
      </c>
      <c r="B530" s="905"/>
      <c r="C530" s="906"/>
      <c r="D530" s="907" t="s">
        <v>303</v>
      </c>
      <c r="E530" s="908"/>
      <c r="F530" s="908"/>
      <c r="G530" s="1247"/>
      <c r="H530" s="909"/>
      <c r="I530" s="900">
        <f>SUM(J530:N530)</f>
        <v>57501</v>
      </c>
      <c r="J530" s="901"/>
      <c r="K530" s="901"/>
      <c r="L530" s="901">
        <v>57501</v>
      </c>
      <c r="M530" s="901"/>
      <c r="N530" s="902"/>
    </row>
    <row r="531" spans="1:14" s="910" customFormat="1" ht="18" customHeight="1">
      <c r="A531" s="443">
        <v>523</v>
      </c>
      <c r="B531" s="905"/>
      <c r="C531" s="906"/>
      <c r="D531" s="436" t="s">
        <v>994</v>
      </c>
      <c r="E531" s="908"/>
      <c r="F531" s="908"/>
      <c r="G531" s="1247"/>
      <c r="H531" s="909"/>
      <c r="I531" s="426">
        <f>SUM(J531:N531)</f>
        <v>60549</v>
      </c>
      <c r="J531" s="901"/>
      <c r="K531" s="901"/>
      <c r="L531" s="341">
        <v>60549</v>
      </c>
      <c r="M531" s="901"/>
      <c r="N531" s="902"/>
    </row>
    <row r="532" spans="1:14" s="910" customFormat="1" ht="18" customHeight="1">
      <c r="A532" s="443">
        <v>524</v>
      </c>
      <c r="B532" s="905"/>
      <c r="C532" s="906"/>
      <c r="D532" s="987" t="s">
        <v>1035</v>
      </c>
      <c r="E532" s="908"/>
      <c r="F532" s="908"/>
      <c r="G532" s="1247"/>
      <c r="H532" s="909"/>
      <c r="I532" s="990">
        <f>SUM(J532:N532)</f>
        <v>57448</v>
      </c>
      <c r="J532" s="341"/>
      <c r="K532" s="341"/>
      <c r="L532" s="143">
        <v>57448</v>
      </c>
      <c r="M532" s="901"/>
      <c r="N532" s="902"/>
    </row>
    <row r="533" spans="1:16" s="3" customFormat="1" ht="22.5" customHeight="1">
      <c r="A533" s="443">
        <v>525</v>
      </c>
      <c r="B533" s="119"/>
      <c r="C533" s="120">
        <v>112</v>
      </c>
      <c r="D533" s="441" t="s">
        <v>254</v>
      </c>
      <c r="E533" s="122">
        <v>19000</v>
      </c>
      <c r="F533" s="122">
        <v>19000</v>
      </c>
      <c r="G533" s="1245">
        <v>18999</v>
      </c>
      <c r="H533" s="445" t="s">
        <v>23</v>
      </c>
      <c r="I533" s="426"/>
      <c r="J533" s="126"/>
      <c r="K533" s="126"/>
      <c r="L533" s="126"/>
      <c r="M533" s="126"/>
      <c r="N533" s="127"/>
      <c r="P533" s="8"/>
    </row>
    <row r="534" spans="1:14" s="910" customFormat="1" ht="18" customHeight="1">
      <c r="A534" s="443">
        <v>526</v>
      </c>
      <c r="B534" s="905"/>
      <c r="C534" s="906"/>
      <c r="D534" s="907" t="s">
        <v>303</v>
      </c>
      <c r="E534" s="908"/>
      <c r="F534" s="908"/>
      <c r="G534" s="1247"/>
      <c r="H534" s="909"/>
      <c r="I534" s="900">
        <f>SUM(J534:N534)</f>
        <v>17000</v>
      </c>
      <c r="J534" s="901"/>
      <c r="K534" s="901"/>
      <c r="L534" s="901">
        <v>17000</v>
      </c>
      <c r="M534" s="901"/>
      <c r="N534" s="902"/>
    </row>
    <row r="535" spans="1:14" s="910" customFormat="1" ht="18" customHeight="1">
      <c r="A535" s="443">
        <v>527</v>
      </c>
      <c r="B535" s="905"/>
      <c r="C535" s="906"/>
      <c r="D535" s="436" t="s">
        <v>994</v>
      </c>
      <c r="E535" s="908"/>
      <c r="F535" s="908"/>
      <c r="G535" s="1247"/>
      <c r="H535" s="913"/>
      <c r="I535" s="426">
        <f>SUM(J535:N535)</f>
        <v>17000</v>
      </c>
      <c r="J535" s="901"/>
      <c r="K535" s="901"/>
      <c r="L535" s="341">
        <v>17000</v>
      </c>
      <c r="M535" s="901"/>
      <c r="N535" s="902"/>
    </row>
    <row r="536" spans="1:14" s="910" customFormat="1" ht="18" customHeight="1">
      <c r="A536" s="443">
        <v>528</v>
      </c>
      <c r="B536" s="905"/>
      <c r="C536" s="906"/>
      <c r="D536" s="987" t="s">
        <v>1036</v>
      </c>
      <c r="E536" s="908"/>
      <c r="F536" s="908"/>
      <c r="G536" s="1247"/>
      <c r="H536" s="913"/>
      <c r="I536" s="990">
        <f>SUM(J536:N536)</f>
        <v>17000</v>
      </c>
      <c r="J536" s="341"/>
      <c r="K536" s="341"/>
      <c r="L536" s="143">
        <v>17000</v>
      </c>
      <c r="M536" s="901"/>
      <c r="N536" s="902"/>
    </row>
    <row r="537" spans="1:16" s="3" customFormat="1" ht="22.5" customHeight="1">
      <c r="A537" s="443">
        <v>529</v>
      </c>
      <c r="B537" s="119"/>
      <c r="C537" s="120">
        <v>113</v>
      </c>
      <c r="D537" s="437" t="s">
        <v>253</v>
      </c>
      <c r="E537" s="122"/>
      <c r="F537" s="122">
        <v>1500</v>
      </c>
      <c r="G537" s="1245">
        <v>1601</v>
      </c>
      <c r="H537" s="447" t="s">
        <v>23</v>
      </c>
      <c r="I537" s="426"/>
      <c r="J537" s="126"/>
      <c r="K537" s="126"/>
      <c r="L537" s="126"/>
      <c r="M537" s="126"/>
      <c r="N537" s="127"/>
      <c r="P537" s="8"/>
    </row>
    <row r="538" spans="1:14" s="910" customFormat="1" ht="18" customHeight="1">
      <c r="A538" s="443">
        <v>530</v>
      </c>
      <c r="B538" s="927"/>
      <c r="C538" s="906"/>
      <c r="D538" s="907" t="s">
        <v>303</v>
      </c>
      <c r="E538" s="912"/>
      <c r="F538" s="912"/>
      <c r="G538" s="1250"/>
      <c r="H538" s="913"/>
      <c r="I538" s="900">
        <f>SUM(J538:N538)</f>
        <v>1275</v>
      </c>
      <c r="J538" s="914"/>
      <c r="K538" s="914"/>
      <c r="L538" s="914">
        <v>1275</v>
      </c>
      <c r="M538" s="914"/>
      <c r="N538" s="915"/>
    </row>
    <row r="539" spans="1:14" s="910" customFormat="1" ht="18" customHeight="1">
      <c r="A539" s="443">
        <v>531</v>
      </c>
      <c r="B539" s="927"/>
      <c r="C539" s="906"/>
      <c r="D539" s="436" t="s">
        <v>994</v>
      </c>
      <c r="E539" s="912"/>
      <c r="F539" s="912"/>
      <c r="G539" s="1250"/>
      <c r="H539" s="913"/>
      <c r="I539" s="426">
        <f>SUM(J539:N539)</f>
        <v>1275</v>
      </c>
      <c r="J539" s="914"/>
      <c r="K539" s="914"/>
      <c r="L539" s="988">
        <v>1275</v>
      </c>
      <c r="M539" s="914"/>
      <c r="N539" s="915"/>
    </row>
    <row r="540" spans="1:14" s="910" customFormat="1" ht="18" customHeight="1">
      <c r="A540" s="443">
        <v>532</v>
      </c>
      <c r="B540" s="927"/>
      <c r="C540" s="906"/>
      <c r="D540" s="987" t="s">
        <v>1036</v>
      </c>
      <c r="E540" s="912"/>
      <c r="F540" s="912"/>
      <c r="G540" s="1250"/>
      <c r="H540" s="913"/>
      <c r="I540" s="990">
        <f>SUM(J540:N540)</f>
        <v>778</v>
      </c>
      <c r="J540" s="988"/>
      <c r="K540" s="988"/>
      <c r="L540" s="458">
        <v>778</v>
      </c>
      <c r="M540" s="914"/>
      <c r="N540" s="915"/>
    </row>
    <row r="541" spans="1:16" s="3" customFormat="1" ht="22.5" customHeight="1">
      <c r="A541" s="443">
        <v>533</v>
      </c>
      <c r="B541" s="119"/>
      <c r="C541" s="120">
        <v>114</v>
      </c>
      <c r="D541" s="437" t="s">
        <v>420</v>
      </c>
      <c r="E541" s="122">
        <v>1047</v>
      </c>
      <c r="F541" s="122">
        <v>4570</v>
      </c>
      <c r="G541" s="1245">
        <v>2971</v>
      </c>
      <c r="H541" s="445" t="s">
        <v>24</v>
      </c>
      <c r="I541" s="426"/>
      <c r="J541" s="126"/>
      <c r="K541" s="126"/>
      <c r="L541" s="126"/>
      <c r="M541" s="126"/>
      <c r="N541" s="127"/>
      <c r="P541" s="8"/>
    </row>
    <row r="542" spans="1:14" s="910" customFormat="1" ht="18" customHeight="1">
      <c r="A542" s="443">
        <v>534</v>
      </c>
      <c r="B542" s="905"/>
      <c r="C542" s="906"/>
      <c r="D542" s="907" t="s">
        <v>303</v>
      </c>
      <c r="E542" s="908"/>
      <c r="F542" s="908"/>
      <c r="G542" s="1247"/>
      <c r="H542" s="909"/>
      <c r="I542" s="900">
        <f>SUM(J542:N542)</f>
        <v>6350</v>
      </c>
      <c r="J542" s="901"/>
      <c r="K542" s="901"/>
      <c r="L542" s="901">
        <v>6350</v>
      </c>
      <c r="M542" s="901"/>
      <c r="N542" s="902"/>
    </row>
    <row r="543" spans="1:14" s="910" customFormat="1" ht="18" customHeight="1">
      <c r="A543" s="443">
        <v>535</v>
      </c>
      <c r="B543" s="905"/>
      <c r="C543" s="906"/>
      <c r="D543" s="436" t="s">
        <v>994</v>
      </c>
      <c r="E543" s="908"/>
      <c r="F543" s="908"/>
      <c r="G543" s="1247"/>
      <c r="H543" s="909"/>
      <c r="I543" s="426">
        <f>SUM(J543:N543)</f>
        <v>6145</v>
      </c>
      <c r="J543" s="901"/>
      <c r="K543" s="901"/>
      <c r="L543" s="341">
        <v>6145</v>
      </c>
      <c r="M543" s="901"/>
      <c r="N543" s="902"/>
    </row>
    <row r="544" spans="1:14" s="910" customFormat="1" ht="18" customHeight="1">
      <c r="A544" s="443">
        <v>536</v>
      </c>
      <c r="B544" s="905"/>
      <c r="C544" s="906"/>
      <c r="D544" s="987" t="s">
        <v>1035</v>
      </c>
      <c r="E544" s="908"/>
      <c r="F544" s="908"/>
      <c r="G544" s="1247"/>
      <c r="H544" s="909"/>
      <c r="I544" s="990">
        <f>SUM(J544:N544)</f>
        <v>2087</v>
      </c>
      <c r="J544" s="341"/>
      <c r="K544" s="341"/>
      <c r="L544" s="143">
        <v>2087</v>
      </c>
      <c r="M544" s="901"/>
      <c r="N544" s="902"/>
    </row>
    <row r="545" spans="1:14" s="8" customFormat="1" ht="22.5" customHeight="1">
      <c r="A545" s="443">
        <v>537</v>
      </c>
      <c r="B545" s="123"/>
      <c r="C545" s="120">
        <v>115</v>
      </c>
      <c r="D545" s="437" t="s">
        <v>507</v>
      </c>
      <c r="E545" s="122"/>
      <c r="F545" s="122"/>
      <c r="G545" s="1245"/>
      <c r="H545" s="445" t="s">
        <v>24</v>
      </c>
      <c r="I545" s="426"/>
      <c r="J545" s="126"/>
      <c r="K545" s="126"/>
      <c r="L545" s="126"/>
      <c r="M545" s="126"/>
      <c r="N545" s="127"/>
    </row>
    <row r="546" spans="1:14" s="910" customFormat="1" ht="18" customHeight="1">
      <c r="A546" s="443">
        <v>538</v>
      </c>
      <c r="B546" s="905"/>
      <c r="C546" s="906"/>
      <c r="D546" s="907" t="s">
        <v>303</v>
      </c>
      <c r="E546" s="908"/>
      <c r="F546" s="908"/>
      <c r="G546" s="1247"/>
      <c r="H546" s="909"/>
      <c r="I546" s="900">
        <f>SUM(J546:N546)</f>
        <v>2286</v>
      </c>
      <c r="J546" s="901"/>
      <c r="K546" s="901"/>
      <c r="L546" s="901">
        <v>2286</v>
      </c>
      <c r="M546" s="901"/>
      <c r="N546" s="902"/>
    </row>
    <row r="547" spans="1:14" s="910" customFormat="1" ht="18" customHeight="1">
      <c r="A547" s="443">
        <v>539</v>
      </c>
      <c r="B547" s="905"/>
      <c r="C547" s="906"/>
      <c r="D547" s="436" t="s">
        <v>994</v>
      </c>
      <c r="E547" s="908"/>
      <c r="F547" s="908"/>
      <c r="G547" s="1247"/>
      <c r="H547" s="909"/>
      <c r="I547" s="426">
        <f>SUM(J547:N547)</f>
        <v>2286</v>
      </c>
      <c r="J547" s="901"/>
      <c r="K547" s="901"/>
      <c r="L547" s="341">
        <v>2286</v>
      </c>
      <c r="M547" s="901"/>
      <c r="N547" s="902"/>
    </row>
    <row r="548" spans="1:14" s="910" customFormat="1" ht="18" customHeight="1">
      <c r="A548" s="443">
        <v>540</v>
      </c>
      <c r="B548" s="905"/>
      <c r="C548" s="906"/>
      <c r="D548" s="987" t="s">
        <v>1035</v>
      </c>
      <c r="E548" s="908"/>
      <c r="F548" s="908"/>
      <c r="G548" s="1247"/>
      <c r="H548" s="909"/>
      <c r="I548" s="990">
        <f>SUM(J548:N548)</f>
        <v>0</v>
      </c>
      <c r="J548" s="341"/>
      <c r="K548" s="341"/>
      <c r="L548" s="143">
        <v>0</v>
      </c>
      <c r="M548" s="901"/>
      <c r="N548" s="902"/>
    </row>
    <row r="549" spans="1:16" s="3" customFormat="1" ht="22.5" customHeight="1">
      <c r="A549" s="443">
        <v>541</v>
      </c>
      <c r="B549" s="119"/>
      <c r="C549" s="120">
        <v>116</v>
      </c>
      <c r="D549" s="437" t="s">
        <v>111</v>
      </c>
      <c r="E549" s="122">
        <v>7036</v>
      </c>
      <c r="F549" s="122">
        <v>16000</v>
      </c>
      <c r="G549" s="1245">
        <v>8435</v>
      </c>
      <c r="H549" s="445" t="s">
        <v>23</v>
      </c>
      <c r="I549" s="426"/>
      <c r="J549" s="126"/>
      <c r="K549" s="126"/>
      <c r="L549" s="126"/>
      <c r="M549" s="126"/>
      <c r="N549" s="127"/>
      <c r="P549" s="8"/>
    </row>
    <row r="550" spans="1:14" s="910" customFormat="1" ht="18" customHeight="1">
      <c r="A550" s="443">
        <v>542</v>
      </c>
      <c r="B550" s="905"/>
      <c r="C550" s="906"/>
      <c r="D550" s="907" t="s">
        <v>303</v>
      </c>
      <c r="E550" s="908"/>
      <c r="F550" s="908"/>
      <c r="G550" s="1247"/>
      <c r="H550" s="909"/>
      <c r="I550" s="900">
        <f>SUM(J550:N550)</f>
        <v>16000</v>
      </c>
      <c r="J550" s="901"/>
      <c r="K550" s="901"/>
      <c r="L550" s="901">
        <v>16000</v>
      </c>
      <c r="M550" s="901"/>
      <c r="N550" s="902"/>
    </row>
    <row r="551" spans="1:14" s="910" customFormat="1" ht="18" customHeight="1">
      <c r="A551" s="443">
        <v>543</v>
      </c>
      <c r="B551" s="905"/>
      <c r="C551" s="906"/>
      <c r="D551" s="436" t="s">
        <v>994</v>
      </c>
      <c r="E551" s="908"/>
      <c r="F551" s="908"/>
      <c r="G551" s="1247"/>
      <c r="H551" s="909"/>
      <c r="I551" s="426">
        <f>SUM(J551:N551)</f>
        <v>22084</v>
      </c>
      <c r="J551" s="901"/>
      <c r="K551" s="901"/>
      <c r="L551" s="341">
        <v>22084</v>
      </c>
      <c r="M551" s="901"/>
      <c r="N551" s="902"/>
    </row>
    <row r="552" spans="1:14" s="910" customFormat="1" ht="18" customHeight="1">
      <c r="A552" s="443">
        <v>544</v>
      </c>
      <c r="B552" s="905"/>
      <c r="C552" s="906"/>
      <c r="D552" s="987" t="s">
        <v>1036</v>
      </c>
      <c r="E552" s="908"/>
      <c r="F552" s="908"/>
      <c r="G552" s="1247"/>
      <c r="H552" s="909"/>
      <c r="I552" s="990">
        <f>SUM(J552:N552)</f>
        <v>13189</v>
      </c>
      <c r="J552" s="341"/>
      <c r="K552" s="341"/>
      <c r="L552" s="143">
        <v>13189</v>
      </c>
      <c r="M552" s="901"/>
      <c r="N552" s="902"/>
    </row>
    <row r="553" spans="1:14" s="8" customFormat="1" ht="22.5" customHeight="1">
      <c r="A553" s="443">
        <v>545</v>
      </c>
      <c r="B553" s="137"/>
      <c r="C553" s="120">
        <v>117</v>
      </c>
      <c r="D553" s="437" t="s">
        <v>282</v>
      </c>
      <c r="E553" s="122">
        <v>144202</v>
      </c>
      <c r="F553" s="122">
        <v>153222</v>
      </c>
      <c r="G553" s="1245">
        <v>156855</v>
      </c>
      <c r="H553" s="445" t="s">
        <v>23</v>
      </c>
      <c r="I553" s="427"/>
      <c r="J553" s="129"/>
      <c r="K553" s="129"/>
      <c r="L553" s="129"/>
      <c r="M553" s="129"/>
      <c r="N553" s="130"/>
    </row>
    <row r="554" spans="1:14" s="910" customFormat="1" ht="18" customHeight="1">
      <c r="A554" s="443">
        <v>546</v>
      </c>
      <c r="B554" s="905"/>
      <c r="C554" s="906"/>
      <c r="D554" s="907" t="s">
        <v>303</v>
      </c>
      <c r="E554" s="908"/>
      <c r="F554" s="908"/>
      <c r="G554" s="1247"/>
      <c r="H554" s="909"/>
      <c r="I554" s="900">
        <f>SUM(J554:N554)</f>
        <v>155388</v>
      </c>
      <c r="J554" s="901"/>
      <c r="K554" s="901"/>
      <c r="L554" s="901">
        <v>155388</v>
      </c>
      <c r="M554" s="901"/>
      <c r="N554" s="902"/>
    </row>
    <row r="555" spans="1:14" s="910" customFormat="1" ht="18" customHeight="1">
      <c r="A555" s="443">
        <v>547</v>
      </c>
      <c r="B555" s="905"/>
      <c r="C555" s="906"/>
      <c r="D555" s="436" t="s">
        <v>994</v>
      </c>
      <c r="E555" s="908"/>
      <c r="F555" s="908"/>
      <c r="G555" s="1247"/>
      <c r="H555" s="909"/>
      <c r="I555" s="426">
        <f>SUM(J555:N555)</f>
        <v>155388</v>
      </c>
      <c r="J555" s="901"/>
      <c r="K555" s="901"/>
      <c r="L555" s="341">
        <v>155388</v>
      </c>
      <c r="M555" s="901"/>
      <c r="N555" s="902"/>
    </row>
    <row r="556" spans="1:14" s="910" customFormat="1" ht="18" customHeight="1">
      <c r="A556" s="443">
        <v>548</v>
      </c>
      <c r="B556" s="905"/>
      <c r="C556" s="906"/>
      <c r="D556" s="987" t="s">
        <v>1036</v>
      </c>
      <c r="E556" s="908"/>
      <c r="F556" s="908"/>
      <c r="G556" s="1247"/>
      <c r="H556" s="909"/>
      <c r="I556" s="990">
        <f>SUM(J556:N556)</f>
        <v>146597</v>
      </c>
      <c r="J556" s="341"/>
      <c r="K556" s="341"/>
      <c r="L556" s="143">
        <v>146597</v>
      </c>
      <c r="M556" s="901"/>
      <c r="N556" s="902"/>
    </row>
    <row r="557" spans="1:14" s="8" customFormat="1" ht="22.5" customHeight="1">
      <c r="A557" s="443">
        <v>549</v>
      </c>
      <c r="B557" s="137"/>
      <c r="C557" s="120">
        <v>118</v>
      </c>
      <c r="D557" s="437" t="s">
        <v>415</v>
      </c>
      <c r="E557" s="122">
        <v>8000</v>
      </c>
      <c r="F557" s="122">
        <v>3000</v>
      </c>
      <c r="G557" s="1245">
        <v>4930</v>
      </c>
      <c r="H557" s="445" t="s">
        <v>24</v>
      </c>
      <c r="I557" s="427"/>
      <c r="J557" s="129"/>
      <c r="K557" s="129"/>
      <c r="L557" s="129"/>
      <c r="M557" s="129"/>
      <c r="N557" s="130"/>
    </row>
    <row r="558" spans="1:14" s="8" customFormat="1" ht="22.5" customHeight="1">
      <c r="A558" s="443">
        <v>550</v>
      </c>
      <c r="B558" s="137"/>
      <c r="C558" s="120"/>
      <c r="D558" s="436" t="s">
        <v>994</v>
      </c>
      <c r="E558" s="122"/>
      <c r="F558" s="122"/>
      <c r="G558" s="1245"/>
      <c r="H558" s="445"/>
      <c r="I558" s="426">
        <f>SUM(J558:N558)</f>
        <v>2362</v>
      </c>
      <c r="J558" s="129"/>
      <c r="K558" s="129"/>
      <c r="L558" s="341">
        <v>2362</v>
      </c>
      <c r="M558" s="129"/>
      <c r="N558" s="130"/>
    </row>
    <row r="559" spans="1:14" s="8" customFormat="1" ht="18" customHeight="1">
      <c r="A559" s="443">
        <v>551</v>
      </c>
      <c r="B559" s="123"/>
      <c r="C559" s="124"/>
      <c r="D559" s="987" t="s">
        <v>1035</v>
      </c>
      <c r="E559" s="122"/>
      <c r="F559" s="122"/>
      <c r="G559" s="1245"/>
      <c r="H559" s="445"/>
      <c r="I559" s="990">
        <f>SUM(J559:N559)</f>
        <v>2362</v>
      </c>
      <c r="J559" s="126"/>
      <c r="K559" s="126"/>
      <c r="L559" s="143">
        <v>2362</v>
      </c>
      <c r="M559" s="126"/>
      <c r="N559" s="127"/>
    </row>
    <row r="560" spans="1:16" s="3" customFormat="1" ht="22.5" customHeight="1">
      <c r="A560" s="443">
        <v>552</v>
      </c>
      <c r="B560" s="119"/>
      <c r="C560" s="120">
        <v>119</v>
      </c>
      <c r="D560" s="437" t="s">
        <v>113</v>
      </c>
      <c r="E560" s="122">
        <f>E564+E568+E572+E576+E580</f>
        <v>3250</v>
      </c>
      <c r="F560" s="122">
        <f>F564+F568+F572+F576+F580</f>
        <v>3250</v>
      </c>
      <c r="G560" s="122">
        <f>G564+G568+G572+G576+G580</f>
        <v>3250</v>
      </c>
      <c r="H560" s="445" t="s">
        <v>23</v>
      </c>
      <c r="I560" s="427"/>
      <c r="J560" s="129"/>
      <c r="K560" s="129"/>
      <c r="L560" s="129"/>
      <c r="M560" s="129"/>
      <c r="N560" s="130"/>
      <c r="O560" s="8"/>
      <c r="P560" s="8"/>
    </row>
    <row r="561" spans="1:14" s="910" customFormat="1" ht="18" customHeight="1">
      <c r="A561" s="443">
        <v>553</v>
      </c>
      <c r="B561" s="905"/>
      <c r="C561" s="906"/>
      <c r="D561" s="907" t="s">
        <v>303</v>
      </c>
      <c r="E561" s="908"/>
      <c r="F561" s="908"/>
      <c r="G561" s="1247"/>
      <c r="H561" s="909"/>
      <c r="I561" s="900">
        <f>SUM(J561:N561)</f>
        <v>2765</v>
      </c>
      <c r="J561" s="921"/>
      <c r="K561" s="921"/>
      <c r="L561" s="921"/>
      <c r="M561" s="921"/>
      <c r="N561" s="902">
        <f>N565+N569+N573+N577+N581</f>
        <v>2765</v>
      </c>
    </row>
    <row r="562" spans="1:14" s="910" customFormat="1" ht="18" customHeight="1">
      <c r="A562" s="443">
        <v>554</v>
      </c>
      <c r="B562" s="905"/>
      <c r="C562" s="906"/>
      <c r="D562" s="436" t="s">
        <v>994</v>
      </c>
      <c r="E562" s="908"/>
      <c r="F562" s="908"/>
      <c r="G562" s="1247"/>
      <c r="H562" s="909"/>
      <c r="I562" s="426">
        <f>SUM(J562:N562)</f>
        <v>2765</v>
      </c>
      <c r="J562" s="921"/>
      <c r="K562" s="921"/>
      <c r="L562" s="921"/>
      <c r="M562" s="921"/>
      <c r="N562" s="337">
        <f>N566+N570+N574+N578+N582</f>
        <v>2765</v>
      </c>
    </row>
    <row r="563" spans="1:14" s="910" customFormat="1" ht="18" customHeight="1">
      <c r="A563" s="443">
        <v>555</v>
      </c>
      <c r="B563" s="905"/>
      <c r="C563" s="906"/>
      <c r="D563" s="987" t="s">
        <v>1036</v>
      </c>
      <c r="E563" s="908"/>
      <c r="F563" s="908"/>
      <c r="G563" s="1247"/>
      <c r="H563" s="909"/>
      <c r="I563" s="990">
        <f>SUM(J563:N563)</f>
        <v>2765</v>
      </c>
      <c r="J563" s="921"/>
      <c r="K563" s="921"/>
      <c r="L563" s="921"/>
      <c r="M563" s="921"/>
      <c r="N563" s="144">
        <f>N567+N571+N575+N579+N583</f>
        <v>2765</v>
      </c>
    </row>
    <row r="564" spans="1:16" s="9" customFormat="1" ht="18" customHeight="1">
      <c r="A564" s="443">
        <v>556</v>
      </c>
      <c r="B564" s="131"/>
      <c r="C564" s="124"/>
      <c r="D564" s="135" t="s">
        <v>114</v>
      </c>
      <c r="E564" s="122">
        <v>650</v>
      </c>
      <c r="F564" s="132">
        <v>650</v>
      </c>
      <c r="G564" s="1248">
        <v>650</v>
      </c>
      <c r="H564" s="446"/>
      <c r="I564" s="428"/>
      <c r="J564" s="143"/>
      <c r="K564" s="143"/>
      <c r="L564" s="143"/>
      <c r="M564" s="143"/>
      <c r="N564" s="144"/>
      <c r="P564" s="8"/>
    </row>
    <row r="565" spans="1:16" s="923" customFormat="1" ht="18" customHeight="1">
      <c r="A565" s="443">
        <v>557</v>
      </c>
      <c r="B565" s="917"/>
      <c r="C565" s="906"/>
      <c r="D565" s="918" t="s">
        <v>303</v>
      </c>
      <c r="E565" s="908"/>
      <c r="F565" s="919"/>
      <c r="G565" s="1251"/>
      <c r="H565" s="920"/>
      <c r="I565" s="903">
        <f>SUM(J565:N565)</f>
        <v>553</v>
      </c>
      <c r="J565" s="921"/>
      <c r="K565" s="921"/>
      <c r="L565" s="921"/>
      <c r="M565" s="921"/>
      <c r="N565" s="922">
        <v>553</v>
      </c>
      <c r="P565" s="910"/>
    </row>
    <row r="566" spans="1:16" s="923" customFormat="1" ht="18" customHeight="1">
      <c r="A566" s="443">
        <v>558</v>
      </c>
      <c r="B566" s="917"/>
      <c r="C566" s="906"/>
      <c r="D566" s="993" t="s">
        <v>994</v>
      </c>
      <c r="E566" s="908"/>
      <c r="F566" s="919"/>
      <c r="G566" s="1251"/>
      <c r="H566" s="920"/>
      <c r="I566" s="428">
        <f>SUM(J566:N566)</f>
        <v>553</v>
      </c>
      <c r="J566" s="921"/>
      <c r="K566" s="921"/>
      <c r="L566" s="921"/>
      <c r="M566" s="921"/>
      <c r="N566" s="992">
        <v>553</v>
      </c>
      <c r="P566" s="910"/>
    </row>
    <row r="567" spans="1:16" s="923" customFormat="1" ht="18" customHeight="1">
      <c r="A567" s="443">
        <v>559</v>
      </c>
      <c r="B567" s="917"/>
      <c r="C567" s="906"/>
      <c r="D567" s="994" t="s">
        <v>1036</v>
      </c>
      <c r="E567" s="908"/>
      <c r="F567" s="919"/>
      <c r="G567" s="1251"/>
      <c r="H567" s="920"/>
      <c r="I567" s="990">
        <f>SUM(J567:N567)</f>
        <v>553</v>
      </c>
      <c r="J567" s="991"/>
      <c r="K567" s="991"/>
      <c r="L567" s="991"/>
      <c r="M567" s="991"/>
      <c r="N567" s="992">
        <v>553</v>
      </c>
      <c r="P567" s="910"/>
    </row>
    <row r="568" spans="1:16" s="9" customFormat="1" ht="18" customHeight="1">
      <c r="A568" s="443">
        <v>560</v>
      </c>
      <c r="B568" s="131"/>
      <c r="C568" s="124"/>
      <c r="D568" s="138" t="s">
        <v>115</v>
      </c>
      <c r="E568" s="122">
        <v>650</v>
      </c>
      <c r="F568" s="132">
        <v>650</v>
      </c>
      <c r="G568" s="1248">
        <v>650</v>
      </c>
      <c r="H568" s="446"/>
      <c r="I568" s="429"/>
      <c r="J568" s="133"/>
      <c r="K568" s="133"/>
      <c r="L568" s="133"/>
      <c r="M568" s="133"/>
      <c r="N568" s="134"/>
      <c r="P568" s="8"/>
    </row>
    <row r="569" spans="1:16" s="923" customFormat="1" ht="18" customHeight="1">
      <c r="A569" s="443">
        <v>561</v>
      </c>
      <c r="B569" s="917"/>
      <c r="C569" s="906"/>
      <c r="D569" s="918" t="s">
        <v>303</v>
      </c>
      <c r="E569" s="908"/>
      <c r="F569" s="919"/>
      <c r="G569" s="1251"/>
      <c r="H569" s="920"/>
      <c r="I569" s="903">
        <f>SUM(J569:N569)</f>
        <v>553</v>
      </c>
      <c r="J569" s="921"/>
      <c r="K569" s="921"/>
      <c r="L569" s="921"/>
      <c r="M569" s="921"/>
      <c r="N569" s="922">
        <v>553</v>
      </c>
      <c r="P569" s="910"/>
    </row>
    <row r="570" spans="1:16" s="923" customFormat="1" ht="18" customHeight="1">
      <c r="A570" s="443">
        <v>562</v>
      </c>
      <c r="B570" s="917"/>
      <c r="C570" s="906"/>
      <c r="D570" s="993" t="s">
        <v>994</v>
      </c>
      <c r="E570" s="908"/>
      <c r="F570" s="919"/>
      <c r="G570" s="1251"/>
      <c r="H570" s="920"/>
      <c r="I570" s="428">
        <f>SUM(J570:N570)</f>
        <v>553</v>
      </c>
      <c r="J570" s="921"/>
      <c r="K570" s="921"/>
      <c r="L570" s="921"/>
      <c r="M570" s="921"/>
      <c r="N570" s="992">
        <v>553</v>
      </c>
      <c r="P570" s="910"/>
    </row>
    <row r="571" spans="1:16" s="923" customFormat="1" ht="18" customHeight="1">
      <c r="A571" s="443">
        <v>563</v>
      </c>
      <c r="B571" s="917"/>
      <c r="C571" s="906"/>
      <c r="D571" s="994" t="s">
        <v>1036</v>
      </c>
      <c r="E571" s="908"/>
      <c r="F571" s="919"/>
      <c r="G571" s="1251"/>
      <c r="H571" s="920"/>
      <c r="I571" s="990">
        <f>SUM(J571:N571)</f>
        <v>553</v>
      </c>
      <c r="J571" s="991"/>
      <c r="K571" s="991"/>
      <c r="L571" s="991"/>
      <c r="M571" s="991"/>
      <c r="N571" s="992">
        <v>553</v>
      </c>
      <c r="P571" s="910"/>
    </row>
    <row r="572" spans="1:16" s="9" customFormat="1" ht="18" customHeight="1">
      <c r="A572" s="443">
        <v>564</v>
      </c>
      <c r="B572" s="131"/>
      <c r="C572" s="124"/>
      <c r="D572" s="138" t="s">
        <v>116</v>
      </c>
      <c r="E572" s="122">
        <v>650</v>
      </c>
      <c r="F572" s="132">
        <v>650</v>
      </c>
      <c r="G572" s="1248">
        <v>650</v>
      </c>
      <c r="H572" s="446"/>
      <c r="I572" s="429"/>
      <c r="J572" s="133"/>
      <c r="K572" s="133"/>
      <c r="L572" s="133"/>
      <c r="M572" s="133"/>
      <c r="N572" s="134"/>
      <c r="P572" s="8"/>
    </row>
    <row r="573" spans="1:16" s="923" customFormat="1" ht="18" customHeight="1">
      <c r="A573" s="443">
        <v>565</v>
      </c>
      <c r="B573" s="917"/>
      <c r="C573" s="906"/>
      <c r="D573" s="918" t="s">
        <v>303</v>
      </c>
      <c r="E573" s="908"/>
      <c r="F573" s="919"/>
      <c r="G573" s="1251"/>
      <c r="H573" s="920"/>
      <c r="I573" s="903">
        <f>SUM(J573:N573)</f>
        <v>553</v>
      </c>
      <c r="J573" s="921"/>
      <c r="K573" s="921"/>
      <c r="L573" s="921"/>
      <c r="M573" s="921"/>
      <c r="N573" s="922">
        <v>553</v>
      </c>
      <c r="P573" s="910"/>
    </row>
    <row r="574" spans="1:16" s="923" customFormat="1" ht="18" customHeight="1">
      <c r="A574" s="443">
        <v>566</v>
      </c>
      <c r="B574" s="917"/>
      <c r="C574" s="906"/>
      <c r="D574" s="993" t="s">
        <v>994</v>
      </c>
      <c r="E574" s="908"/>
      <c r="F574" s="919"/>
      <c r="G574" s="1251"/>
      <c r="H574" s="920"/>
      <c r="I574" s="428">
        <f>SUM(J574:N574)</f>
        <v>553</v>
      </c>
      <c r="J574" s="921"/>
      <c r="K574" s="921"/>
      <c r="L574" s="921"/>
      <c r="M574" s="921"/>
      <c r="N574" s="992">
        <v>553</v>
      </c>
      <c r="P574" s="910"/>
    </row>
    <row r="575" spans="1:16" s="923" customFormat="1" ht="18" customHeight="1">
      <c r="A575" s="443">
        <v>567</v>
      </c>
      <c r="B575" s="917"/>
      <c r="C575" s="906"/>
      <c r="D575" s="994" t="s">
        <v>1036</v>
      </c>
      <c r="E575" s="908"/>
      <c r="F575" s="919"/>
      <c r="G575" s="1251"/>
      <c r="H575" s="920"/>
      <c r="I575" s="990">
        <f>SUM(J575:N575)</f>
        <v>553</v>
      </c>
      <c r="J575" s="991"/>
      <c r="K575" s="991"/>
      <c r="L575" s="991"/>
      <c r="M575" s="991"/>
      <c r="N575" s="992">
        <v>553</v>
      </c>
      <c r="P575" s="910"/>
    </row>
    <row r="576" spans="1:16" s="9" customFormat="1" ht="18" customHeight="1">
      <c r="A576" s="443">
        <v>568</v>
      </c>
      <c r="B576" s="131"/>
      <c r="C576" s="124"/>
      <c r="D576" s="138" t="s">
        <v>117</v>
      </c>
      <c r="E576" s="122">
        <v>650</v>
      </c>
      <c r="F576" s="132">
        <v>650</v>
      </c>
      <c r="G576" s="1248">
        <v>650</v>
      </c>
      <c r="H576" s="446"/>
      <c r="I576" s="429"/>
      <c r="J576" s="133"/>
      <c r="K576" s="133"/>
      <c r="L576" s="133"/>
      <c r="M576" s="133"/>
      <c r="N576" s="134"/>
      <c r="P576" s="8"/>
    </row>
    <row r="577" spans="1:16" s="923" customFormat="1" ht="18" customHeight="1">
      <c r="A577" s="443">
        <v>569</v>
      </c>
      <c r="B577" s="917"/>
      <c r="C577" s="906"/>
      <c r="D577" s="918" t="s">
        <v>303</v>
      </c>
      <c r="E577" s="908"/>
      <c r="F577" s="919"/>
      <c r="G577" s="1251"/>
      <c r="H577" s="920"/>
      <c r="I577" s="903">
        <f>SUM(J577:N577)</f>
        <v>553</v>
      </c>
      <c r="J577" s="921"/>
      <c r="K577" s="921"/>
      <c r="L577" s="921"/>
      <c r="M577" s="921"/>
      <c r="N577" s="922">
        <v>553</v>
      </c>
      <c r="P577" s="910"/>
    </row>
    <row r="578" spans="1:16" s="923" customFormat="1" ht="18" customHeight="1">
      <c r="A578" s="443">
        <v>570</v>
      </c>
      <c r="B578" s="917"/>
      <c r="C578" s="906"/>
      <c r="D578" s="993" t="s">
        <v>994</v>
      </c>
      <c r="E578" s="908"/>
      <c r="F578" s="919"/>
      <c r="G578" s="1251"/>
      <c r="H578" s="920"/>
      <c r="I578" s="428">
        <f>SUM(J578:N578)</f>
        <v>553</v>
      </c>
      <c r="J578" s="921"/>
      <c r="K578" s="921"/>
      <c r="L578" s="921"/>
      <c r="M578" s="921"/>
      <c r="N578" s="992">
        <v>553</v>
      </c>
      <c r="P578" s="910"/>
    </row>
    <row r="579" spans="1:16" s="923" customFormat="1" ht="18" customHeight="1">
      <c r="A579" s="443">
        <v>571</v>
      </c>
      <c r="B579" s="917"/>
      <c r="C579" s="906"/>
      <c r="D579" s="994" t="s">
        <v>1036</v>
      </c>
      <c r="E579" s="908"/>
      <c r="F579" s="919"/>
      <c r="G579" s="1251"/>
      <c r="H579" s="920"/>
      <c r="I579" s="990">
        <f>SUM(J579:N579)</f>
        <v>553</v>
      </c>
      <c r="J579" s="991"/>
      <c r="K579" s="991"/>
      <c r="L579" s="991"/>
      <c r="M579" s="991"/>
      <c r="N579" s="992">
        <v>553</v>
      </c>
      <c r="P579" s="910"/>
    </row>
    <row r="580" spans="1:16" s="9" customFormat="1" ht="18" customHeight="1">
      <c r="A580" s="443">
        <v>572</v>
      </c>
      <c r="B580" s="131"/>
      <c r="C580" s="124"/>
      <c r="D580" s="138" t="s">
        <v>118</v>
      </c>
      <c r="E580" s="122">
        <v>650</v>
      </c>
      <c r="F580" s="132">
        <v>650</v>
      </c>
      <c r="G580" s="1248">
        <v>650</v>
      </c>
      <c r="H580" s="446"/>
      <c r="I580" s="429"/>
      <c r="J580" s="133"/>
      <c r="K580" s="133"/>
      <c r="L580" s="133"/>
      <c r="M580" s="133"/>
      <c r="N580" s="134"/>
      <c r="P580" s="8"/>
    </row>
    <row r="581" spans="1:16" s="923" customFormat="1" ht="18" customHeight="1">
      <c r="A581" s="443">
        <v>573</v>
      </c>
      <c r="B581" s="917"/>
      <c r="C581" s="906"/>
      <c r="D581" s="918" t="s">
        <v>303</v>
      </c>
      <c r="E581" s="908"/>
      <c r="F581" s="919"/>
      <c r="G581" s="1251"/>
      <c r="H581" s="920"/>
      <c r="I581" s="903">
        <f>SUM(J581:N581)</f>
        <v>553</v>
      </c>
      <c r="J581" s="921"/>
      <c r="K581" s="921"/>
      <c r="L581" s="921"/>
      <c r="M581" s="921"/>
      <c r="N581" s="922">
        <v>553</v>
      </c>
      <c r="P581" s="910"/>
    </row>
    <row r="582" spans="1:16" s="923" customFormat="1" ht="18" customHeight="1">
      <c r="A582" s="443">
        <v>574</v>
      </c>
      <c r="B582" s="931"/>
      <c r="C582" s="906"/>
      <c r="D582" s="993" t="s">
        <v>994</v>
      </c>
      <c r="E582" s="912"/>
      <c r="F582" s="932"/>
      <c r="G582" s="1254"/>
      <c r="H582" s="935"/>
      <c r="I582" s="428">
        <f>SUM(J582:N582)</f>
        <v>553</v>
      </c>
      <c r="J582" s="933"/>
      <c r="K582" s="933"/>
      <c r="L582" s="933"/>
      <c r="M582" s="933"/>
      <c r="N582" s="1000">
        <v>553</v>
      </c>
      <c r="P582" s="910"/>
    </row>
    <row r="583" spans="1:16" s="923" customFormat="1" ht="18" customHeight="1">
      <c r="A583" s="443">
        <v>575</v>
      </c>
      <c r="B583" s="931"/>
      <c r="C583" s="906"/>
      <c r="D583" s="994" t="s">
        <v>1036</v>
      </c>
      <c r="E583" s="912"/>
      <c r="F583" s="932"/>
      <c r="G583" s="1254"/>
      <c r="H583" s="935"/>
      <c r="I583" s="990">
        <f>SUM(J583:N583)</f>
        <v>553</v>
      </c>
      <c r="J583" s="999"/>
      <c r="K583" s="999"/>
      <c r="L583" s="999"/>
      <c r="M583" s="999"/>
      <c r="N583" s="1000">
        <v>553</v>
      </c>
      <c r="P583" s="910"/>
    </row>
    <row r="584" spans="1:16" s="9" customFormat="1" ht="30" customHeight="1">
      <c r="A584" s="443">
        <v>576</v>
      </c>
      <c r="B584" s="456"/>
      <c r="C584" s="423">
        <v>120</v>
      </c>
      <c r="D584" s="437" t="s">
        <v>509</v>
      </c>
      <c r="E584" s="154"/>
      <c r="F584" s="128">
        <v>2000</v>
      </c>
      <c r="G584" s="1255">
        <v>0</v>
      </c>
      <c r="H584" s="447" t="s">
        <v>24</v>
      </c>
      <c r="I584" s="426"/>
      <c r="J584" s="458"/>
      <c r="K584" s="458"/>
      <c r="L584" s="153"/>
      <c r="M584" s="458"/>
      <c r="N584" s="459"/>
      <c r="P584" s="8"/>
    </row>
    <row r="585" spans="1:16" s="923" customFormat="1" ht="18" customHeight="1">
      <c r="A585" s="443">
        <v>577</v>
      </c>
      <c r="B585" s="931"/>
      <c r="C585" s="906"/>
      <c r="D585" s="907" t="s">
        <v>303</v>
      </c>
      <c r="E585" s="912"/>
      <c r="F585" s="932"/>
      <c r="G585" s="1254"/>
      <c r="H585" s="913"/>
      <c r="I585" s="900">
        <f>SUM(J585:N585)</f>
        <v>3700</v>
      </c>
      <c r="J585" s="933"/>
      <c r="K585" s="933"/>
      <c r="L585" s="914">
        <f>2000+1700</f>
        <v>3700</v>
      </c>
      <c r="M585" s="933"/>
      <c r="N585" s="934"/>
      <c r="P585" s="910"/>
    </row>
    <row r="586" spans="1:16" s="923" customFormat="1" ht="18" customHeight="1">
      <c r="A586" s="443">
        <v>578</v>
      </c>
      <c r="B586" s="931"/>
      <c r="C586" s="906"/>
      <c r="D586" s="436" t="s">
        <v>994</v>
      </c>
      <c r="E586" s="912"/>
      <c r="F586" s="932"/>
      <c r="G586" s="1254"/>
      <c r="H586" s="913"/>
      <c r="I586" s="426">
        <f>SUM(J586:N586)</f>
        <v>3700</v>
      </c>
      <c r="J586" s="933"/>
      <c r="K586" s="933"/>
      <c r="L586" s="988">
        <v>3700</v>
      </c>
      <c r="M586" s="933"/>
      <c r="N586" s="934"/>
      <c r="P586" s="910"/>
    </row>
    <row r="587" spans="1:16" s="923" customFormat="1" ht="18" customHeight="1">
      <c r="A587" s="443">
        <v>579</v>
      </c>
      <c r="B587" s="931"/>
      <c r="C587" s="906"/>
      <c r="D587" s="987" t="s">
        <v>1036</v>
      </c>
      <c r="E587" s="912"/>
      <c r="F587" s="932"/>
      <c r="G587" s="1254"/>
      <c r="H587" s="913"/>
      <c r="I587" s="990">
        <f>SUM(J587:N587)</f>
        <v>0</v>
      </c>
      <c r="J587" s="999"/>
      <c r="K587" s="999"/>
      <c r="L587" s="458">
        <v>0</v>
      </c>
      <c r="M587" s="999"/>
      <c r="N587" s="1000"/>
      <c r="P587" s="910"/>
    </row>
    <row r="588" spans="1:16" s="472" customFormat="1" ht="22.5" customHeight="1">
      <c r="A588" s="443">
        <v>580</v>
      </c>
      <c r="B588" s="471"/>
      <c r="C588" s="120">
        <v>121</v>
      </c>
      <c r="D588" s="437" t="s">
        <v>647</v>
      </c>
      <c r="E588" s="154"/>
      <c r="F588" s="128"/>
      <c r="G588" s="1255">
        <v>344</v>
      </c>
      <c r="H588" s="447" t="s">
        <v>24</v>
      </c>
      <c r="I588" s="426"/>
      <c r="J588" s="458"/>
      <c r="K588" s="458"/>
      <c r="L588" s="153"/>
      <c r="M588" s="458"/>
      <c r="N588" s="459"/>
      <c r="P588" s="3"/>
    </row>
    <row r="589" spans="1:16" s="923" customFormat="1" ht="18" customHeight="1">
      <c r="A589" s="443">
        <v>581</v>
      </c>
      <c r="B589" s="931"/>
      <c r="C589" s="906"/>
      <c r="D589" s="907" t="s">
        <v>303</v>
      </c>
      <c r="E589" s="912"/>
      <c r="F589" s="932"/>
      <c r="G589" s="1254"/>
      <c r="H589" s="913"/>
      <c r="I589" s="900">
        <f>SUM(J589:N589)</f>
        <v>341</v>
      </c>
      <c r="J589" s="933"/>
      <c r="K589" s="933"/>
      <c r="L589" s="914">
        <v>341</v>
      </c>
      <c r="M589" s="933"/>
      <c r="N589" s="934"/>
      <c r="P589" s="910"/>
    </row>
    <row r="590" spans="1:16" s="923" customFormat="1" ht="18" customHeight="1">
      <c r="A590" s="443">
        <v>582</v>
      </c>
      <c r="B590" s="931"/>
      <c r="C590" s="906"/>
      <c r="D590" s="436" t="s">
        <v>994</v>
      </c>
      <c r="E590" s="912"/>
      <c r="F590" s="932"/>
      <c r="G590" s="1254"/>
      <c r="H590" s="913"/>
      <c r="I590" s="426">
        <f>SUM(J590:N590)</f>
        <v>0</v>
      </c>
      <c r="J590" s="933"/>
      <c r="K590" s="933"/>
      <c r="L590" s="988">
        <v>0</v>
      </c>
      <c r="M590" s="933"/>
      <c r="N590" s="934"/>
      <c r="P590" s="910"/>
    </row>
    <row r="591" spans="1:16" s="923" customFormat="1" ht="18" customHeight="1">
      <c r="A591" s="443">
        <v>583</v>
      </c>
      <c r="B591" s="931"/>
      <c r="C591" s="906"/>
      <c r="D591" s="987" t="s">
        <v>1035</v>
      </c>
      <c r="E591" s="912"/>
      <c r="F591" s="932"/>
      <c r="G591" s="1254"/>
      <c r="H591" s="913"/>
      <c r="I591" s="990">
        <f>SUM(J591:N591)</f>
        <v>0</v>
      </c>
      <c r="J591" s="999"/>
      <c r="K591" s="999"/>
      <c r="L591" s="458">
        <v>0</v>
      </c>
      <c r="M591" s="999"/>
      <c r="N591" s="1000"/>
      <c r="P591" s="910"/>
    </row>
    <row r="592" spans="1:16" s="472" customFormat="1" ht="22.5" customHeight="1">
      <c r="A592" s="443">
        <v>584</v>
      </c>
      <c r="B592" s="471"/>
      <c r="C592" s="120">
        <v>122</v>
      </c>
      <c r="D592" s="437" t="s">
        <v>510</v>
      </c>
      <c r="E592" s="154"/>
      <c r="F592" s="128"/>
      <c r="G592" s="1255">
        <v>605</v>
      </c>
      <c r="H592" s="447" t="s">
        <v>24</v>
      </c>
      <c r="I592" s="426"/>
      <c r="J592" s="458"/>
      <c r="K592" s="458"/>
      <c r="L592" s="153"/>
      <c r="M592" s="458"/>
      <c r="N592" s="459"/>
      <c r="P592" s="3"/>
    </row>
    <row r="593" spans="1:16" s="923" customFormat="1" ht="18" customHeight="1">
      <c r="A593" s="443">
        <v>585</v>
      </c>
      <c r="B593" s="931"/>
      <c r="C593" s="906"/>
      <c r="D593" s="907" t="s">
        <v>303</v>
      </c>
      <c r="E593" s="912"/>
      <c r="F593" s="932"/>
      <c r="G593" s="1254"/>
      <c r="H593" s="935"/>
      <c r="I593" s="900">
        <f>SUM(J593:N593)</f>
        <v>1895</v>
      </c>
      <c r="J593" s="933"/>
      <c r="K593" s="933"/>
      <c r="L593" s="914">
        <v>1895</v>
      </c>
      <c r="M593" s="933"/>
      <c r="N593" s="934"/>
      <c r="P593" s="910"/>
    </row>
    <row r="594" spans="1:16" s="923" customFormat="1" ht="18" customHeight="1">
      <c r="A594" s="443">
        <v>586</v>
      </c>
      <c r="B594" s="931"/>
      <c r="C594" s="906"/>
      <c r="D594" s="436" t="s">
        <v>994</v>
      </c>
      <c r="E594" s="912"/>
      <c r="F594" s="932"/>
      <c r="G594" s="1254"/>
      <c r="H594" s="935"/>
      <c r="I594" s="426">
        <f>SUM(J594:N594)</f>
        <v>1895</v>
      </c>
      <c r="J594" s="933"/>
      <c r="K594" s="933"/>
      <c r="L594" s="988">
        <v>1895</v>
      </c>
      <c r="M594" s="933"/>
      <c r="N594" s="934"/>
      <c r="P594" s="910"/>
    </row>
    <row r="595" spans="1:16" s="923" customFormat="1" ht="18" customHeight="1">
      <c r="A595" s="443">
        <v>587</v>
      </c>
      <c r="B595" s="931"/>
      <c r="C595" s="906"/>
      <c r="D595" s="987" t="s">
        <v>1036</v>
      </c>
      <c r="E595" s="912"/>
      <c r="F595" s="932"/>
      <c r="G595" s="1254"/>
      <c r="H595" s="935"/>
      <c r="I595" s="990">
        <f>SUM(J595:N595)</f>
        <v>381</v>
      </c>
      <c r="J595" s="999"/>
      <c r="K595" s="999"/>
      <c r="L595" s="458">
        <v>381</v>
      </c>
      <c r="M595" s="999"/>
      <c r="N595" s="1000"/>
      <c r="P595" s="910"/>
    </row>
    <row r="596" spans="1:16" s="472" customFormat="1" ht="22.5" customHeight="1">
      <c r="A596" s="443">
        <v>588</v>
      </c>
      <c r="B596" s="471"/>
      <c r="C596" s="120">
        <v>123</v>
      </c>
      <c r="D596" s="437" t="s">
        <v>784</v>
      </c>
      <c r="E596" s="154"/>
      <c r="F596" s="128"/>
      <c r="G596" s="1255">
        <v>3000</v>
      </c>
      <c r="H596" s="447" t="s">
        <v>24</v>
      </c>
      <c r="I596" s="426"/>
      <c r="J596" s="458"/>
      <c r="K596" s="458"/>
      <c r="L596" s="153"/>
      <c r="M596" s="458"/>
      <c r="N596" s="459"/>
      <c r="P596" s="3"/>
    </row>
    <row r="597" spans="1:16" s="923" customFormat="1" ht="18" customHeight="1">
      <c r="A597" s="443">
        <v>589</v>
      </c>
      <c r="B597" s="931"/>
      <c r="C597" s="906"/>
      <c r="D597" s="907" t="s">
        <v>303</v>
      </c>
      <c r="E597" s="912"/>
      <c r="F597" s="932"/>
      <c r="G597" s="1254"/>
      <c r="H597" s="935"/>
      <c r="I597" s="900">
        <f>SUM(J597:N597)</f>
        <v>3000</v>
      </c>
      <c r="J597" s="933"/>
      <c r="K597" s="933"/>
      <c r="L597" s="914">
        <v>3000</v>
      </c>
      <c r="M597" s="933"/>
      <c r="N597" s="934"/>
      <c r="P597" s="910"/>
    </row>
    <row r="598" spans="1:16" s="923" customFormat="1" ht="18" customHeight="1">
      <c r="A598" s="443">
        <v>590</v>
      </c>
      <c r="B598" s="931"/>
      <c r="C598" s="906"/>
      <c r="D598" s="436" t="s">
        <v>994</v>
      </c>
      <c r="E598" s="912"/>
      <c r="F598" s="932"/>
      <c r="G598" s="1254"/>
      <c r="H598" s="935"/>
      <c r="I598" s="426">
        <f>SUM(J598:N598)</f>
        <v>3000</v>
      </c>
      <c r="J598" s="933"/>
      <c r="K598" s="933"/>
      <c r="L598" s="988">
        <v>3000</v>
      </c>
      <c r="M598" s="933"/>
      <c r="N598" s="934"/>
      <c r="P598" s="910"/>
    </row>
    <row r="599" spans="1:16" s="923" customFormat="1" ht="18" customHeight="1">
      <c r="A599" s="443">
        <v>591</v>
      </c>
      <c r="B599" s="931"/>
      <c r="C599" s="906"/>
      <c r="D599" s="987" t="s">
        <v>1036</v>
      </c>
      <c r="E599" s="912"/>
      <c r="F599" s="932"/>
      <c r="G599" s="1254"/>
      <c r="H599" s="935"/>
      <c r="I599" s="990">
        <f>SUM(J599:N599)</f>
        <v>1704</v>
      </c>
      <c r="J599" s="999"/>
      <c r="K599" s="999"/>
      <c r="L599" s="458">
        <v>1704</v>
      </c>
      <c r="M599" s="999"/>
      <c r="N599" s="1000"/>
      <c r="P599" s="910"/>
    </row>
    <row r="600" spans="1:16" s="472" customFormat="1" ht="22.5" customHeight="1">
      <c r="A600" s="443">
        <v>592</v>
      </c>
      <c r="B600" s="471"/>
      <c r="C600" s="120">
        <v>124</v>
      </c>
      <c r="D600" s="437" t="s">
        <v>511</v>
      </c>
      <c r="E600" s="154"/>
      <c r="F600" s="128">
        <v>1100</v>
      </c>
      <c r="G600" s="1255"/>
      <c r="H600" s="447" t="s">
        <v>24</v>
      </c>
      <c r="I600" s="426"/>
      <c r="J600" s="458"/>
      <c r="K600" s="458"/>
      <c r="L600" s="153"/>
      <c r="M600" s="458"/>
      <c r="N600" s="459"/>
      <c r="P600" s="3"/>
    </row>
    <row r="601" spans="1:16" s="923" customFormat="1" ht="18" customHeight="1">
      <c r="A601" s="443">
        <v>593</v>
      </c>
      <c r="B601" s="931"/>
      <c r="C601" s="906"/>
      <c r="D601" s="907" t="s">
        <v>303</v>
      </c>
      <c r="E601" s="912"/>
      <c r="F601" s="932"/>
      <c r="G601" s="1254"/>
      <c r="H601" s="935"/>
      <c r="I601" s="900">
        <f>SUM(J601:N601)</f>
        <v>2800</v>
      </c>
      <c r="J601" s="933"/>
      <c r="K601" s="933"/>
      <c r="L601" s="914">
        <f>1100+1700</f>
        <v>2800</v>
      </c>
      <c r="M601" s="933"/>
      <c r="N601" s="934"/>
      <c r="P601" s="910"/>
    </row>
    <row r="602" spans="1:16" s="923" customFormat="1" ht="18" customHeight="1">
      <c r="A602" s="443">
        <v>594</v>
      </c>
      <c r="B602" s="931"/>
      <c r="C602" s="906"/>
      <c r="D602" s="436" t="s">
        <v>994</v>
      </c>
      <c r="E602" s="912"/>
      <c r="F602" s="932"/>
      <c r="G602" s="1254"/>
      <c r="H602" s="935"/>
      <c r="I602" s="426">
        <f>SUM(J602:N602)</f>
        <v>2800</v>
      </c>
      <c r="J602" s="933"/>
      <c r="K602" s="933"/>
      <c r="L602" s="988">
        <v>2800</v>
      </c>
      <c r="M602" s="933"/>
      <c r="N602" s="934"/>
      <c r="P602" s="910"/>
    </row>
    <row r="603" spans="1:16" s="923" customFormat="1" ht="18" customHeight="1">
      <c r="A603" s="443">
        <v>595</v>
      </c>
      <c r="B603" s="931"/>
      <c r="C603" s="906"/>
      <c r="D603" s="987" t="s">
        <v>1036</v>
      </c>
      <c r="E603" s="912"/>
      <c r="F603" s="932"/>
      <c r="G603" s="1254"/>
      <c r="H603" s="935"/>
      <c r="I603" s="990">
        <f>SUM(J603:N603)</f>
        <v>1800</v>
      </c>
      <c r="J603" s="999"/>
      <c r="K603" s="999"/>
      <c r="L603" s="458">
        <v>1800</v>
      </c>
      <c r="M603" s="999"/>
      <c r="N603" s="1000"/>
      <c r="P603" s="910"/>
    </row>
    <row r="604" spans="1:14" s="8" customFormat="1" ht="22.5" customHeight="1">
      <c r="A604" s="443">
        <v>596</v>
      </c>
      <c r="B604" s="141"/>
      <c r="C604" s="120">
        <v>125</v>
      </c>
      <c r="D604" s="436" t="s">
        <v>358</v>
      </c>
      <c r="E604" s="154"/>
      <c r="F604" s="128"/>
      <c r="G604" s="1244"/>
      <c r="H604" s="447" t="s">
        <v>24</v>
      </c>
      <c r="I604" s="426"/>
      <c r="J604" s="153"/>
      <c r="K604" s="153"/>
      <c r="L604" s="153"/>
      <c r="M604" s="153"/>
      <c r="N604" s="159"/>
    </row>
    <row r="605" spans="1:14" s="910" customFormat="1" ht="18" customHeight="1">
      <c r="A605" s="443">
        <v>597</v>
      </c>
      <c r="B605" s="936"/>
      <c r="C605" s="937"/>
      <c r="D605" s="907" t="s">
        <v>303</v>
      </c>
      <c r="E605" s="912"/>
      <c r="F605" s="932"/>
      <c r="G605" s="1255">
        <v>6531</v>
      </c>
      <c r="H605" s="913"/>
      <c r="I605" s="900">
        <f>SUM(J605:N605)</f>
        <v>13969</v>
      </c>
      <c r="J605" s="914"/>
      <c r="K605" s="914"/>
      <c r="L605" s="914"/>
      <c r="M605" s="914"/>
      <c r="N605" s="915">
        <f>1969+12000</f>
        <v>13969</v>
      </c>
    </row>
    <row r="606" spans="1:14" s="910" customFormat="1" ht="18" customHeight="1">
      <c r="A606" s="443">
        <v>598</v>
      </c>
      <c r="B606" s="936"/>
      <c r="C606" s="937"/>
      <c r="D606" s="436" t="s">
        <v>994</v>
      </c>
      <c r="E606" s="912"/>
      <c r="F606" s="932"/>
      <c r="G606" s="1255"/>
      <c r="H606" s="913"/>
      <c r="I606" s="426">
        <f>SUM(J606:N606)</f>
        <v>13969</v>
      </c>
      <c r="J606" s="914"/>
      <c r="K606" s="914"/>
      <c r="L606" s="914"/>
      <c r="M606" s="914"/>
      <c r="N606" s="989">
        <v>13969</v>
      </c>
    </row>
    <row r="607" spans="1:14" s="910" customFormat="1" ht="18" customHeight="1">
      <c r="A607" s="443">
        <v>599</v>
      </c>
      <c r="B607" s="936"/>
      <c r="C607" s="937"/>
      <c r="D607" s="987" t="s">
        <v>1036</v>
      </c>
      <c r="E607" s="912"/>
      <c r="F607" s="932"/>
      <c r="G607" s="1250"/>
      <c r="H607" s="913"/>
      <c r="I607" s="990">
        <f>SUM(J607:N607)</f>
        <v>10738</v>
      </c>
      <c r="J607" s="988"/>
      <c r="K607" s="988"/>
      <c r="L607" s="988"/>
      <c r="M607" s="988"/>
      <c r="N607" s="459">
        <v>10738</v>
      </c>
    </row>
    <row r="608" spans="1:14" s="8" customFormat="1" ht="22.5" customHeight="1">
      <c r="A608" s="443">
        <v>600</v>
      </c>
      <c r="B608" s="141"/>
      <c r="C608" s="120">
        <v>126</v>
      </c>
      <c r="D608" s="436" t="s">
        <v>749</v>
      </c>
      <c r="E608" s="154"/>
      <c r="F608" s="128"/>
      <c r="G608" s="1244"/>
      <c r="H608" s="447" t="s">
        <v>23</v>
      </c>
      <c r="I608" s="426"/>
      <c r="J608" s="153"/>
      <c r="K608" s="153"/>
      <c r="L608" s="153"/>
      <c r="M608" s="153"/>
      <c r="N608" s="159"/>
    </row>
    <row r="609" spans="1:14" s="910" customFormat="1" ht="18" customHeight="1">
      <c r="A609" s="443">
        <v>601</v>
      </c>
      <c r="B609" s="936"/>
      <c r="C609" s="937"/>
      <c r="D609" s="907" t="s">
        <v>303</v>
      </c>
      <c r="E609" s="912"/>
      <c r="F609" s="932"/>
      <c r="G609" s="1250"/>
      <c r="H609" s="913"/>
      <c r="I609" s="900">
        <f>SUM(J609:N609)</f>
        <v>41912</v>
      </c>
      <c r="J609" s="914"/>
      <c r="K609" s="914"/>
      <c r="L609" s="914">
        <v>41912</v>
      </c>
      <c r="M609" s="914"/>
      <c r="N609" s="915"/>
    </row>
    <row r="610" spans="1:14" s="910" customFormat="1" ht="18" customHeight="1">
      <c r="A610" s="443">
        <v>602</v>
      </c>
      <c r="B610" s="936"/>
      <c r="C610" s="937"/>
      <c r="D610" s="436" t="s">
        <v>994</v>
      </c>
      <c r="E610" s="912"/>
      <c r="F610" s="932"/>
      <c r="G610" s="1250"/>
      <c r="H610" s="913"/>
      <c r="I610" s="426">
        <f>SUM(J610:N610)</f>
        <v>41912</v>
      </c>
      <c r="J610" s="914"/>
      <c r="K610" s="914"/>
      <c r="L610" s="988">
        <v>41912</v>
      </c>
      <c r="M610" s="914"/>
      <c r="N610" s="915"/>
    </row>
    <row r="611" spans="1:14" s="910" customFormat="1" ht="18" customHeight="1">
      <c r="A611" s="443">
        <v>603</v>
      </c>
      <c r="B611" s="936"/>
      <c r="C611" s="937"/>
      <c r="D611" s="987" t="s">
        <v>1036</v>
      </c>
      <c r="E611" s="912"/>
      <c r="F611" s="932"/>
      <c r="G611" s="1250"/>
      <c r="H611" s="913"/>
      <c r="I611" s="990">
        <f>SUM(J611:N611)</f>
        <v>14960</v>
      </c>
      <c r="J611" s="988"/>
      <c r="K611" s="988"/>
      <c r="L611" s="458">
        <v>14960</v>
      </c>
      <c r="M611" s="988"/>
      <c r="N611" s="989"/>
    </row>
    <row r="612" spans="1:14" s="8" customFormat="1" ht="22.5" customHeight="1">
      <c r="A612" s="443">
        <v>604</v>
      </c>
      <c r="B612" s="141"/>
      <c r="C612" s="120">
        <v>127</v>
      </c>
      <c r="D612" s="436" t="s">
        <v>465</v>
      </c>
      <c r="E612" s="154"/>
      <c r="F612" s="128"/>
      <c r="G612" s="1244"/>
      <c r="H612" s="445" t="s">
        <v>24</v>
      </c>
      <c r="I612" s="426"/>
      <c r="J612" s="153"/>
      <c r="K612" s="153"/>
      <c r="L612" s="153"/>
      <c r="M612" s="153"/>
      <c r="N612" s="159"/>
    </row>
    <row r="613" spans="1:14" s="910" customFormat="1" ht="18" customHeight="1">
      <c r="A613" s="443">
        <v>605</v>
      </c>
      <c r="B613" s="936"/>
      <c r="C613" s="937"/>
      <c r="D613" s="907" t="s">
        <v>303</v>
      </c>
      <c r="E613" s="912"/>
      <c r="F613" s="932"/>
      <c r="G613" s="1255">
        <v>268</v>
      </c>
      <c r="H613" s="909"/>
      <c r="I613" s="900">
        <f>SUM(J613:N613)</f>
        <v>509</v>
      </c>
      <c r="J613" s="914"/>
      <c r="K613" s="914"/>
      <c r="L613" s="914">
        <v>509</v>
      </c>
      <c r="M613" s="914"/>
      <c r="N613" s="915"/>
    </row>
    <row r="614" spans="1:14" s="910" customFormat="1" ht="18" customHeight="1">
      <c r="A614" s="443">
        <v>606</v>
      </c>
      <c r="B614" s="936"/>
      <c r="C614" s="937"/>
      <c r="D614" s="436" t="s">
        <v>994</v>
      </c>
      <c r="E614" s="912"/>
      <c r="F614" s="932"/>
      <c r="G614" s="1255"/>
      <c r="H614" s="913"/>
      <c r="I614" s="426">
        <f>SUM(J614:N614)</f>
        <v>509</v>
      </c>
      <c r="J614" s="914"/>
      <c r="K614" s="914"/>
      <c r="L614" s="988">
        <v>509</v>
      </c>
      <c r="M614" s="914"/>
      <c r="N614" s="915"/>
    </row>
    <row r="615" spans="1:14" s="910" customFormat="1" ht="18" customHeight="1">
      <c r="A615" s="443">
        <v>607</v>
      </c>
      <c r="B615" s="936"/>
      <c r="C615" s="937"/>
      <c r="D615" s="987" t="s">
        <v>1036</v>
      </c>
      <c r="E615" s="912"/>
      <c r="F615" s="932"/>
      <c r="G615" s="1255"/>
      <c r="H615" s="913"/>
      <c r="I615" s="990">
        <f>SUM(J615:N615)</f>
        <v>0</v>
      </c>
      <c r="J615" s="988"/>
      <c r="K615" s="988"/>
      <c r="L615" s="458">
        <v>0</v>
      </c>
      <c r="M615" s="988"/>
      <c r="N615" s="989"/>
    </row>
    <row r="616" spans="1:16" s="3" customFormat="1" ht="22.5" customHeight="1">
      <c r="A616" s="443">
        <v>608</v>
      </c>
      <c r="B616" s="140"/>
      <c r="C616" s="120">
        <v>128</v>
      </c>
      <c r="D616" s="436" t="s">
        <v>639</v>
      </c>
      <c r="E616" s="154"/>
      <c r="F616" s="154"/>
      <c r="G616" s="1255"/>
      <c r="H616" s="447" t="s">
        <v>24</v>
      </c>
      <c r="I616" s="426"/>
      <c r="J616" s="153"/>
      <c r="K616" s="153"/>
      <c r="L616" s="153"/>
      <c r="M616" s="153"/>
      <c r="N616" s="159"/>
      <c r="O616" s="8"/>
      <c r="P616" s="8"/>
    </row>
    <row r="617" spans="1:16" s="916" customFormat="1" ht="18" customHeight="1">
      <c r="A617" s="443">
        <v>609</v>
      </c>
      <c r="B617" s="927"/>
      <c r="C617" s="937"/>
      <c r="D617" s="907" t="s">
        <v>303</v>
      </c>
      <c r="E617" s="912"/>
      <c r="F617" s="912"/>
      <c r="G617" s="1255">
        <v>698</v>
      </c>
      <c r="H617" s="913"/>
      <c r="I617" s="900">
        <f>SUM(J617:N617)</f>
        <v>687</v>
      </c>
      <c r="J617" s="914"/>
      <c r="K617" s="914"/>
      <c r="L617" s="914">
        <v>687</v>
      </c>
      <c r="M617" s="914"/>
      <c r="N617" s="915"/>
      <c r="O617" s="910"/>
      <c r="P617" s="910"/>
    </row>
    <row r="618" spans="1:16" s="916" customFormat="1" ht="18" customHeight="1">
      <c r="A618" s="443">
        <v>610</v>
      </c>
      <c r="B618" s="927"/>
      <c r="C618" s="937"/>
      <c r="D618" s="436" t="s">
        <v>994</v>
      </c>
      <c r="E618" s="912"/>
      <c r="F618" s="912"/>
      <c r="G618" s="1255"/>
      <c r="H618" s="913"/>
      <c r="I618" s="426">
        <f>SUM(J618:N618)</f>
        <v>687</v>
      </c>
      <c r="J618" s="914"/>
      <c r="K618" s="914"/>
      <c r="L618" s="988">
        <v>687</v>
      </c>
      <c r="M618" s="914"/>
      <c r="N618" s="915"/>
      <c r="O618" s="910"/>
      <c r="P618" s="910"/>
    </row>
    <row r="619" spans="1:16" s="916" customFormat="1" ht="18" customHeight="1">
      <c r="A619" s="443">
        <v>611</v>
      </c>
      <c r="B619" s="927"/>
      <c r="C619" s="937"/>
      <c r="D619" s="987" t="s">
        <v>1036</v>
      </c>
      <c r="E619" s="912"/>
      <c r="F619" s="912"/>
      <c r="G619" s="1255"/>
      <c r="H619" s="913"/>
      <c r="I619" s="990">
        <f>SUM(J619:N619)</f>
        <v>95</v>
      </c>
      <c r="J619" s="988"/>
      <c r="K619" s="988"/>
      <c r="L619" s="458">
        <v>95</v>
      </c>
      <c r="M619" s="988"/>
      <c r="N619" s="989"/>
      <c r="O619" s="910"/>
      <c r="P619" s="910"/>
    </row>
    <row r="620" spans="1:16" s="3" customFormat="1" ht="22.5" customHeight="1">
      <c r="A620" s="443">
        <v>612</v>
      </c>
      <c r="B620" s="140"/>
      <c r="C620" s="120">
        <v>129</v>
      </c>
      <c r="D620" s="436" t="s">
        <v>640</v>
      </c>
      <c r="E620" s="154"/>
      <c r="F620" s="154"/>
      <c r="G620" s="1255"/>
      <c r="H620" s="447" t="s">
        <v>24</v>
      </c>
      <c r="I620" s="426"/>
      <c r="J620" s="153"/>
      <c r="K620" s="153"/>
      <c r="L620" s="153"/>
      <c r="M620" s="153"/>
      <c r="N620" s="159"/>
      <c r="O620" s="8"/>
      <c r="P620" s="8"/>
    </row>
    <row r="621" spans="1:16" s="916" customFormat="1" ht="18" customHeight="1">
      <c r="A621" s="443">
        <v>613</v>
      </c>
      <c r="B621" s="927"/>
      <c r="C621" s="937"/>
      <c r="D621" s="907" t="s">
        <v>303</v>
      </c>
      <c r="E621" s="912"/>
      <c r="F621" s="912"/>
      <c r="G621" s="1255"/>
      <c r="H621" s="913"/>
      <c r="I621" s="900">
        <f>SUM(J621:N621)</f>
        <v>4000</v>
      </c>
      <c r="J621" s="914"/>
      <c r="K621" s="914"/>
      <c r="L621" s="914">
        <v>4000</v>
      </c>
      <c r="M621" s="914"/>
      <c r="N621" s="915"/>
      <c r="O621" s="910"/>
      <c r="P621" s="910"/>
    </row>
    <row r="622" spans="1:16" s="916" customFormat="1" ht="18" customHeight="1">
      <c r="A622" s="443">
        <v>614</v>
      </c>
      <c r="B622" s="927"/>
      <c r="C622" s="937"/>
      <c r="D622" s="436" t="s">
        <v>994</v>
      </c>
      <c r="E622" s="912"/>
      <c r="F622" s="912"/>
      <c r="G622" s="1255"/>
      <c r="H622" s="913"/>
      <c r="I622" s="426">
        <f>SUM(J622:N622)</f>
        <v>0</v>
      </c>
      <c r="J622" s="914"/>
      <c r="K622" s="914"/>
      <c r="L622" s="988">
        <v>0</v>
      </c>
      <c r="M622" s="914"/>
      <c r="N622" s="915"/>
      <c r="O622" s="910"/>
      <c r="P622" s="910"/>
    </row>
    <row r="623" spans="1:16" s="916" customFormat="1" ht="18" customHeight="1">
      <c r="A623" s="443">
        <v>615</v>
      </c>
      <c r="B623" s="927"/>
      <c r="C623" s="937"/>
      <c r="D623" s="987" t="s">
        <v>1040</v>
      </c>
      <c r="E623" s="912"/>
      <c r="F623" s="912"/>
      <c r="G623" s="1255"/>
      <c r="H623" s="913"/>
      <c r="I623" s="990">
        <f>SUM(J623:N623)</f>
        <v>0</v>
      </c>
      <c r="J623" s="988"/>
      <c r="K623" s="988"/>
      <c r="L623" s="458">
        <v>0</v>
      </c>
      <c r="M623" s="914"/>
      <c r="N623" s="915"/>
      <c r="O623" s="910"/>
      <c r="P623" s="910"/>
    </row>
    <row r="624" spans="1:16" s="3" customFormat="1" ht="22.5" customHeight="1">
      <c r="A624" s="443">
        <v>616</v>
      </c>
      <c r="B624" s="140"/>
      <c r="C624" s="120">
        <v>130</v>
      </c>
      <c r="D624" s="436" t="s">
        <v>641</v>
      </c>
      <c r="E624" s="154"/>
      <c r="F624" s="154"/>
      <c r="G624" s="1255"/>
      <c r="H624" s="447" t="s">
        <v>24</v>
      </c>
      <c r="I624" s="426"/>
      <c r="J624" s="153"/>
      <c r="K624" s="153"/>
      <c r="L624" s="153"/>
      <c r="M624" s="153"/>
      <c r="N624" s="159"/>
      <c r="O624" s="8"/>
      <c r="P624" s="8"/>
    </row>
    <row r="625" spans="1:16" s="916" customFormat="1" ht="18" customHeight="1">
      <c r="A625" s="443">
        <v>617</v>
      </c>
      <c r="B625" s="927"/>
      <c r="C625" s="937"/>
      <c r="D625" s="907" t="s">
        <v>303</v>
      </c>
      <c r="E625" s="912"/>
      <c r="F625" s="912"/>
      <c r="G625" s="1255">
        <v>4389</v>
      </c>
      <c r="H625" s="913"/>
      <c r="I625" s="900">
        <f>SUM(J625:N625)</f>
        <v>1811</v>
      </c>
      <c r="J625" s="914"/>
      <c r="K625" s="914"/>
      <c r="L625" s="914">
        <v>1811</v>
      </c>
      <c r="M625" s="914"/>
      <c r="N625" s="915"/>
      <c r="O625" s="910"/>
      <c r="P625" s="910"/>
    </row>
    <row r="626" spans="1:16" s="916" customFormat="1" ht="18" customHeight="1">
      <c r="A626" s="443">
        <v>618</v>
      </c>
      <c r="B626" s="927"/>
      <c r="C626" s="937"/>
      <c r="D626" s="436" t="s">
        <v>994</v>
      </c>
      <c r="E626" s="912"/>
      <c r="F626" s="912"/>
      <c r="G626" s="1255"/>
      <c r="H626" s="913"/>
      <c r="I626" s="426">
        <f>SUM(J626:N626)</f>
        <v>0</v>
      </c>
      <c r="J626" s="914"/>
      <c r="K626" s="914"/>
      <c r="L626" s="988">
        <v>0</v>
      </c>
      <c r="M626" s="914"/>
      <c r="N626" s="915"/>
      <c r="O626" s="910"/>
      <c r="P626" s="910"/>
    </row>
    <row r="627" spans="1:16" s="916" customFormat="1" ht="18" customHeight="1">
      <c r="A627" s="443">
        <v>619</v>
      </c>
      <c r="B627" s="927"/>
      <c r="C627" s="937"/>
      <c r="D627" s="987" t="s">
        <v>1036</v>
      </c>
      <c r="E627" s="912"/>
      <c r="F627" s="912"/>
      <c r="G627" s="1255"/>
      <c r="H627" s="913"/>
      <c r="I627" s="990">
        <f>SUM(J627:N627)</f>
        <v>0</v>
      </c>
      <c r="J627" s="988"/>
      <c r="K627" s="988"/>
      <c r="L627" s="458">
        <v>0</v>
      </c>
      <c r="M627" s="914"/>
      <c r="N627" s="915"/>
      <c r="O627" s="910"/>
      <c r="P627" s="910"/>
    </row>
    <row r="628" spans="1:14" s="8" customFormat="1" ht="22.5" customHeight="1">
      <c r="A628" s="443">
        <v>620</v>
      </c>
      <c r="B628" s="141"/>
      <c r="C628" s="120">
        <v>131</v>
      </c>
      <c r="D628" s="436" t="s">
        <v>520</v>
      </c>
      <c r="E628" s="154"/>
      <c r="F628" s="128"/>
      <c r="G628" s="1255"/>
      <c r="H628" s="445" t="s">
        <v>24</v>
      </c>
      <c r="I628" s="426"/>
      <c r="J628" s="153"/>
      <c r="K628" s="153"/>
      <c r="L628" s="153"/>
      <c r="M628" s="153"/>
      <c r="N628" s="159"/>
    </row>
    <row r="629" spans="1:14" s="910" customFormat="1" ht="18" customHeight="1">
      <c r="A629" s="443">
        <v>621</v>
      </c>
      <c r="B629" s="936"/>
      <c r="C629" s="937"/>
      <c r="D629" s="907" t="s">
        <v>303</v>
      </c>
      <c r="E629" s="912"/>
      <c r="F629" s="932"/>
      <c r="G629" s="1255"/>
      <c r="H629" s="909"/>
      <c r="I629" s="900">
        <f>SUM(J629:N629)</f>
        <v>377</v>
      </c>
      <c r="J629" s="914"/>
      <c r="K629" s="914"/>
      <c r="L629" s="914">
        <v>377</v>
      </c>
      <c r="M629" s="914"/>
      <c r="N629" s="915"/>
    </row>
    <row r="630" spans="1:14" s="910" customFormat="1" ht="18" customHeight="1">
      <c r="A630" s="443">
        <v>622</v>
      </c>
      <c r="B630" s="936"/>
      <c r="C630" s="937"/>
      <c r="D630" s="436" t="s">
        <v>994</v>
      </c>
      <c r="E630" s="912"/>
      <c r="F630" s="932"/>
      <c r="G630" s="1255"/>
      <c r="H630" s="909"/>
      <c r="I630" s="426">
        <f>SUM(J630:N630)</f>
        <v>0</v>
      </c>
      <c r="J630" s="914"/>
      <c r="K630" s="914"/>
      <c r="L630" s="988">
        <v>0</v>
      </c>
      <c r="M630" s="914"/>
      <c r="N630" s="915"/>
    </row>
    <row r="631" spans="1:14" s="910" customFormat="1" ht="18" customHeight="1">
      <c r="A631" s="443">
        <v>623</v>
      </c>
      <c r="B631" s="936"/>
      <c r="C631" s="937"/>
      <c r="D631" s="987" t="s">
        <v>1035</v>
      </c>
      <c r="E631" s="912"/>
      <c r="F631" s="932"/>
      <c r="G631" s="1255"/>
      <c r="H631" s="909"/>
      <c r="I631" s="990">
        <f>SUM(J631:N631)</f>
        <v>0</v>
      </c>
      <c r="J631" s="988"/>
      <c r="K631" s="988"/>
      <c r="L631" s="458">
        <v>0</v>
      </c>
      <c r="M631" s="914"/>
      <c r="N631" s="915"/>
    </row>
    <row r="632" spans="1:16" s="3" customFormat="1" ht="22.5" customHeight="1">
      <c r="A632" s="443">
        <v>624</v>
      </c>
      <c r="B632" s="123"/>
      <c r="C632" s="120">
        <v>132</v>
      </c>
      <c r="D632" s="436" t="s">
        <v>269</v>
      </c>
      <c r="E632" s="122"/>
      <c r="F632" s="122"/>
      <c r="G632" s="1248"/>
      <c r="H632" s="445" t="s">
        <v>24</v>
      </c>
      <c r="I632" s="427"/>
      <c r="J632" s="129"/>
      <c r="K632" s="129"/>
      <c r="L632" s="129"/>
      <c r="M632" s="129"/>
      <c r="N632" s="130"/>
      <c r="O632" s="8"/>
      <c r="P632" s="8"/>
    </row>
    <row r="633" spans="1:16" s="916" customFormat="1" ht="18" customHeight="1">
      <c r="A633" s="443">
        <v>625</v>
      </c>
      <c r="B633" s="905"/>
      <c r="C633" s="937"/>
      <c r="D633" s="938" t="s">
        <v>303</v>
      </c>
      <c r="E633" s="908"/>
      <c r="F633" s="908"/>
      <c r="G633" s="1248"/>
      <c r="H633" s="909"/>
      <c r="I633" s="900">
        <f>SUM(J633:N633)</f>
        <v>1210</v>
      </c>
      <c r="J633" s="904"/>
      <c r="K633" s="904"/>
      <c r="L633" s="904">
        <v>1210</v>
      </c>
      <c r="M633" s="904"/>
      <c r="N633" s="939"/>
      <c r="O633" s="910"/>
      <c r="P633" s="910"/>
    </row>
    <row r="634" spans="1:16" s="916" customFormat="1" ht="18" customHeight="1">
      <c r="A634" s="443">
        <v>626</v>
      </c>
      <c r="B634" s="905"/>
      <c r="C634" s="937"/>
      <c r="D634" s="436" t="s">
        <v>994</v>
      </c>
      <c r="E634" s="908"/>
      <c r="F634" s="908"/>
      <c r="G634" s="1248"/>
      <c r="H634" s="909"/>
      <c r="I634" s="426">
        <f>SUM(J634:N634)</f>
        <v>1210</v>
      </c>
      <c r="J634" s="904"/>
      <c r="K634" s="904"/>
      <c r="L634" s="996">
        <v>1210</v>
      </c>
      <c r="M634" s="904"/>
      <c r="N634" s="939"/>
      <c r="O634" s="910"/>
      <c r="P634" s="910"/>
    </row>
    <row r="635" spans="1:16" s="916" customFormat="1" ht="18" customHeight="1">
      <c r="A635" s="443">
        <v>627</v>
      </c>
      <c r="B635" s="905"/>
      <c r="C635" s="937"/>
      <c r="D635" s="987" t="s">
        <v>1036</v>
      </c>
      <c r="E635" s="908"/>
      <c r="F635" s="908"/>
      <c r="G635" s="1248"/>
      <c r="H635" s="909"/>
      <c r="I635" s="990">
        <f>SUM(J635:N635)</f>
        <v>0</v>
      </c>
      <c r="J635" s="996"/>
      <c r="K635" s="996"/>
      <c r="L635" s="133">
        <v>0</v>
      </c>
      <c r="M635" s="904"/>
      <c r="N635" s="939"/>
      <c r="O635" s="910"/>
      <c r="P635" s="910"/>
    </row>
    <row r="636" spans="1:16" s="3" customFormat="1" ht="22.5" customHeight="1">
      <c r="A636" s="443">
        <v>628</v>
      </c>
      <c r="B636" s="123"/>
      <c r="C636" s="120">
        <v>133</v>
      </c>
      <c r="D636" s="436" t="s">
        <v>833</v>
      </c>
      <c r="E636" s="122"/>
      <c r="F636" s="122"/>
      <c r="G636" s="1248"/>
      <c r="H636" s="445" t="s">
        <v>24</v>
      </c>
      <c r="I636" s="427"/>
      <c r="J636" s="129"/>
      <c r="K636" s="129"/>
      <c r="L636" s="129"/>
      <c r="M636" s="129"/>
      <c r="N636" s="130"/>
      <c r="O636" s="8"/>
      <c r="P636" s="8"/>
    </row>
    <row r="637" spans="1:16" s="916" customFormat="1" ht="18" customHeight="1">
      <c r="A637" s="443">
        <v>629</v>
      </c>
      <c r="B637" s="905"/>
      <c r="C637" s="937"/>
      <c r="D637" s="938" t="s">
        <v>303</v>
      </c>
      <c r="E637" s="908"/>
      <c r="F637" s="908"/>
      <c r="G637" s="1248"/>
      <c r="H637" s="909"/>
      <c r="I637" s="900">
        <f>SUM(J637:N637)</f>
        <v>1254</v>
      </c>
      <c r="J637" s="904"/>
      <c r="K637" s="904"/>
      <c r="L637" s="904">
        <v>1254</v>
      </c>
      <c r="M637" s="904"/>
      <c r="N637" s="939"/>
      <c r="O637" s="910"/>
      <c r="P637" s="910"/>
    </row>
    <row r="638" spans="1:16" s="916" customFormat="1" ht="18" customHeight="1">
      <c r="A638" s="443">
        <v>630</v>
      </c>
      <c r="B638" s="905"/>
      <c r="C638" s="937"/>
      <c r="D638" s="436" t="s">
        <v>994</v>
      </c>
      <c r="E638" s="908"/>
      <c r="F638" s="908"/>
      <c r="G638" s="1248"/>
      <c r="H638" s="909"/>
      <c r="I638" s="426">
        <f>SUM(J638:N638)</f>
        <v>1254</v>
      </c>
      <c r="J638" s="904"/>
      <c r="K638" s="904"/>
      <c r="L638" s="996">
        <v>1254</v>
      </c>
      <c r="M638" s="904"/>
      <c r="N638" s="939"/>
      <c r="O638" s="910"/>
      <c r="P638" s="910"/>
    </row>
    <row r="639" spans="1:16" s="916" customFormat="1" ht="18" customHeight="1">
      <c r="A639" s="443">
        <v>631</v>
      </c>
      <c r="B639" s="905"/>
      <c r="C639" s="937"/>
      <c r="D639" s="987" t="s">
        <v>1036</v>
      </c>
      <c r="E639" s="908"/>
      <c r="F639" s="908"/>
      <c r="G639" s="1248"/>
      <c r="H639" s="909"/>
      <c r="I639" s="990">
        <f>SUM(J639:N639)</f>
        <v>0</v>
      </c>
      <c r="J639" s="996"/>
      <c r="K639" s="996"/>
      <c r="L639" s="133">
        <v>0</v>
      </c>
      <c r="M639" s="904"/>
      <c r="N639" s="939"/>
      <c r="O639" s="910"/>
      <c r="P639" s="910"/>
    </row>
    <row r="640" spans="1:16" s="3" customFormat="1" ht="22.5" customHeight="1">
      <c r="A640" s="443">
        <v>632</v>
      </c>
      <c r="B640" s="123"/>
      <c r="C640" s="120">
        <v>134</v>
      </c>
      <c r="D640" s="436" t="s">
        <v>470</v>
      </c>
      <c r="E640" s="122"/>
      <c r="F640" s="122"/>
      <c r="G640" s="1248"/>
      <c r="H640" s="445" t="s">
        <v>24</v>
      </c>
      <c r="I640" s="427"/>
      <c r="J640" s="129"/>
      <c r="K640" s="129"/>
      <c r="L640" s="129"/>
      <c r="M640" s="129"/>
      <c r="N640" s="130"/>
      <c r="O640" s="8"/>
      <c r="P640" s="8"/>
    </row>
    <row r="641" spans="1:16" s="916" customFormat="1" ht="18" customHeight="1">
      <c r="A641" s="443">
        <v>633</v>
      </c>
      <c r="B641" s="905"/>
      <c r="C641" s="937"/>
      <c r="D641" s="938" t="s">
        <v>303</v>
      </c>
      <c r="E641" s="908"/>
      <c r="F641" s="908"/>
      <c r="G641" s="1248">
        <v>0</v>
      </c>
      <c r="H641" s="909"/>
      <c r="I641" s="900">
        <f>SUM(J641:N641)</f>
        <v>451</v>
      </c>
      <c r="J641" s="904"/>
      <c r="K641" s="904"/>
      <c r="L641" s="904">
        <v>451</v>
      </c>
      <c r="M641" s="904"/>
      <c r="N641" s="939"/>
      <c r="O641" s="910"/>
      <c r="P641" s="910"/>
    </row>
    <row r="642" spans="1:16" s="916" customFormat="1" ht="18" customHeight="1">
      <c r="A642" s="443">
        <v>634</v>
      </c>
      <c r="B642" s="905"/>
      <c r="C642" s="937"/>
      <c r="D642" s="436" t="s">
        <v>994</v>
      </c>
      <c r="E642" s="908"/>
      <c r="F642" s="908"/>
      <c r="G642" s="1248"/>
      <c r="H642" s="909"/>
      <c r="I642" s="426">
        <f>SUM(J642:N642)</f>
        <v>0</v>
      </c>
      <c r="J642" s="904"/>
      <c r="K642" s="904"/>
      <c r="L642" s="996">
        <v>0</v>
      </c>
      <c r="M642" s="904"/>
      <c r="N642" s="939"/>
      <c r="O642" s="910"/>
      <c r="P642" s="910"/>
    </row>
    <row r="643" spans="1:16" s="916" customFormat="1" ht="18" customHeight="1">
      <c r="A643" s="443">
        <v>635</v>
      </c>
      <c r="B643" s="905"/>
      <c r="C643" s="937"/>
      <c r="D643" s="987" t="s">
        <v>1035</v>
      </c>
      <c r="E643" s="908"/>
      <c r="F643" s="908"/>
      <c r="G643" s="1248"/>
      <c r="H643" s="909"/>
      <c r="I643" s="990">
        <f>SUM(J643:N643)</f>
        <v>0</v>
      </c>
      <c r="J643" s="996"/>
      <c r="K643" s="996"/>
      <c r="L643" s="133">
        <v>0</v>
      </c>
      <c r="M643" s="904"/>
      <c r="N643" s="939"/>
      <c r="O643" s="910"/>
      <c r="P643" s="910"/>
    </row>
    <row r="644" spans="1:16" s="3" customFormat="1" ht="22.5" customHeight="1">
      <c r="A644" s="443">
        <v>636</v>
      </c>
      <c r="B644" s="123"/>
      <c r="C644" s="120">
        <v>135</v>
      </c>
      <c r="D644" s="436" t="s">
        <v>473</v>
      </c>
      <c r="E644" s="122"/>
      <c r="F644" s="122"/>
      <c r="G644" s="1248"/>
      <c r="H644" s="445" t="s">
        <v>24</v>
      </c>
      <c r="I644" s="427"/>
      <c r="J644" s="129"/>
      <c r="K644" s="129"/>
      <c r="L644" s="129"/>
      <c r="M644" s="129"/>
      <c r="N644" s="130"/>
      <c r="O644" s="8"/>
      <c r="P644" s="8"/>
    </row>
    <row r="645" spans="1:16" s="916" customFormat="1" ht="18" customHeight="1">
      <c r="A645" s="443">
        <v>637</v>
      </c>
      <c r="B645" s="905"/>
      <c r="C645" s="937"/>
      <c r="D645" s="938" t="s">
        <v>303</v>
      </c>
      <c r="E645" s="908"/>
      <c r="F645" s="908"/>
      <c r="G645" s="1248">
        <v>4</v>
      </c>
      <c r="H645" s="909"/>
      <c r="I645" s="900">
        <f>SUM(J645:N645)</f>
        <v>259</v>
      </c>
      <c r="J645" s="904"/>
      <c r="K645" s="904"/>
      <c r="L645" s="904">
        <v>259</v>
      </c>
      <c r="M645" s="904"/>
      <c r="N645" s="939"/>
      <c r="O645" s="910"/>
      <c r="P645" s="910"/>
    </row>
    <row r="646" spans="1:16" s="916" customFormat="1" ht="18" customHeight="1">
      <c r="A646" s="443">
        <v>638</v>
      </c>
      <c r="B646" s="905"/>
      <c r="C646" s="937"/>
      <c r="D646" s="436" t="s">
        <v>994</v>
      </c>
      <c r="E646" s="908"/>
      <c r="F646" s="908"/>
      <c r="G646" s="1248"/>
      <c r="H646" s="909"/>
      <c r="I646" s="426">
        <f>SUM(J646:N646)</f>
        <v>259</v>
      </c>
      <c r="J646" s="904"/>
      <c r="K646" s="904"/>
      <c r="L646" s="996">
        <v>259</v>
      </c>
      <c r="M646" s="904"/>
      <c r="N646" s="939"/>
      <c r="O646" s="910"/>
      <c r="P646" s="910"/>
    </row>
    <row r="647" spans="1:16" s="916" customFormat="1" ht="18" customHeight="1">
      <c r="A647" s="443">
        <v>639</v>
      </c>
      <c r="B647" s="905"/>
      <c r="C647" s="937"/>
      <c r="D647" s="987" t="s">
        <v>1036</v>
      </c>
      <c r="E647" s="908"/>
      <c r="F647" s="908"/>
      <c r="G647" s="1248"/>
      <c r="H647" s="909"/>
      <c r="I647" s="990">
        <f>SUM(J647:N647)</f>
        <v>0</v>
      </c>
      <c r="J647" s="996"/>
      <c r="K647" s="996"/>
      <c r="L647" s="133">
        <v>0</v>
      </c>
      <c r="M647" s="904"/>
      <c r="N647" s="939"/>
      <c r="O647" s="910"/>
      <c r="P647" s="910"/>
    </row>
    <row r="648" spans="1:16" s="3" customFormat="1" ht="22.5" customHeight="1">
      <c r="A648" s="443">
        <v>640</v>
      </c>
      <c r="B648" s="123"/>
      <c r="C648" s="120">
        <v>136</v>
      </c>
      <c r="D648" s="436" t="s">
        <v>644</v>
      </c>
      <c r="E648" s="122"/>
      <c r="F648" s="122"/>
      <c r="G648" s="1248"/>
      <c r="H648" s="445" t="s">
        <v>24</v>
      </c>
      <c r="I648" s="426"/>
      <c r="J648" s="129"/>
      <c r="K648" s="129"/>
      <c r="L648" s="129"/>
      <c r="M648" s="129"/>
      <c r="N648" s="130"/>
      <c r="O648" s="8"/>
      <c r="P648" s="8"/>
    </row>
    <row r="649" spans="1:16" s="916" customFormat="1" ht="18" customHeight="1">
      <c r="A649" s="443">
        <v>641</v>
      </c>
      <c r="B649" s="905"/>
      <c r="C649" s="937"/>
      <c r="D649" s="938" t="s">
        <v>303</v>
      </c>
      <c r="E649" s="908"/>
      <c r="F649" s="908"/>
      <c r="G649" s="1248"/>
      <c r="H649" s="909"/>
      <c r="I649" s="900">
        <f>SUM(J649:N649)</f>
        <v>480</v>
      </c>
      <c r="J649" s="904"/>
      <c r="K649" s="904"/>
      <c r="L649" s="904">
        <v>480</v>
      </c>
      <c r="M649" s="904"/>
      <c r="N649" s="939"/>
      <c r="O649" s="910"/>
      <c r="P649" s="910"/>
    </row>
    <row r="650" spans="1:16" s="916" customFormat="1" ht="18" customHeight="1">
      <c r="A650" s="443">
        <v>642</v>
      </c>
      <c r="B650" s="905"/>
      <c r="C650" s="937"/>
      <c r="D650" s="436" t="s">
        <v>994</v>
      </c>
      <c r="E650" s="908"/>
      <c r="F650" s="908"/>
      <c r="G650" s="1248"/>
      <c r="H650" s="909"/>
      <c r="I650" s="426">
        <f>SUM(J650:N650)</f>
        <v>0</v>
      </c>
      <c r="J650" s="904"/>
      <c r="K650" s="904"/>
      <c r="L650" s="996">
        <v>0</v>
      </c>
      <c r="M650" s="904"/>
      <c r="N650" s="939"/>
      <c r="O650" s="910"/>
      <c r="P650" s="910"/>
    </row>
    <row r="651" spans="1:16" s="916" customFormat="1" ht="18" customHeight="1">
      <c r="A651" s="443">
        <v>643</v>
      </c>
      <c r="B651" s="905"/>
      <c r="C651" s="937"/>
      <c r="D651" s="987" t="s">
        <v>1035</v>
      </c>
      <c r="E651" s="908"/>
      <c r="F651" s="908"/>
      <c r="G651" s="1248"/>
      <c r="H651" s="909"/>
      <c r="I651" s="990">
        <f>SUM(J651:N651)</f>
        <v>0</v>
      </c>
      <c r="J651" s="996"/>
      <c r="K651" s="996"/>
      <c r="L651" s="133">
        <v>0</v>
      </c>
      <c r="M651" s="904"/>
      <c r="N651" s="939"/>
      <c r="O651" s="910"/>
      <c r="P651" s="910"/>
    </row>
    <row r="652" spans="1:16" s="3" customFormat="1" ht="22.5" customHeight="1">
      <c r="A652" s="443">
        <v>644</v>
      </c>
      <c r="B652" s="123"/>
      <c r="C652" s="120">
        <v>137</v>
      </c>
      <c r="D652" s="436" t="s">
        <v>785</v>
      </c>
      <c r="E652" s="122"/>
      <c r="F652" s="122"/>
      <c r="G652" s="1248"/>
      <c r="H652" s="445" t="s">
        <v>24</v>
      </c>
      <c r="I652" s="426"/>
      <c r="J652" s="129"/>
      <c r="K652" s="129"/>
      <c r="L652" s="129"/>
      <c r="M652" s="129"/>
      <c r="N652" s="130"/>
      <c r="O652" s="8"/>
      <c r="P652" s="8"/>
    </row>
    <row r="653" spans="1:16" s="916" customFormat="1" ht="18" customHeight="1">
      <c r="A653" s="443">
        <v>645</v>
      </c>
      <c r="B653" s="905"/>
      <c r="C653" s="937"/>
      <c r="D653" s="938" t="s">
        <v>303</v>
      </c>
      <c r="E653" s="908"/>
      <c r="F653" s="908"/>
      <c r="G653" s="1248"/>
      <c r="H653" s="909"/>
      <c r="I653" s="900">
        <f>SUM(J653:N653)</f>
        <v>362</v>
      </c>
      <c r="J653" s="904"/>
      <c r="K653" s="904"/>
      <c r="L653" s="904">
        <v>362</v>
      </c>
      <c r="M653" s="904"/>
      <c r="N653" s="939"/>
      <c r="O653" s="910"/>
      <c r="P653" s="910"/>
    </row>
    <row r="654" spans="1:16" s="916" customFormat="1" ht="18" customHeight="1">
      <c r="A654" s="443">
        <v>646</v>
      </c>
      <c r="B654" s="905"/>
      <c r="C654" s="937"/>
      <c r="D654" s="436" t="s">
        <v>994</v>
      </c>
      <c r="E654" s="908"/>
      <c r="F654" s="908"/>
      <c r="G654" s="1248"/>
      <c r="H654" s="909"/>
      <c r="I654" s="426">
        <f>SUM(J654:N654)</f>
        <v>362</v>
      </c>
      <c r="J654" s="904"/>
      <c r="K654" s="904"/>
      <c r="L654" s="996">
        <v>362</v>
      </c>
      <c r="M654" s="904"/>
      <c r="N654" s="939"/>
      <c r="O654" s="910"/>
      <c r="P654" s="910"/>
    </row>
    <row r="655" spans="1:16" s="916" customFormat="1" ht="18" customHeight="1">
      <c r="A655" s="443">
        <v>647</v>
      </c>
      <c r="B655" s="905"/>
      <c r="C655" s="937"/>
      <c r="D655" s="987" t="s">
        <v>1036</v>
      </c>
      <c r="E655" s="908"/>
      <c r="F655" s="908"/>
      <c r="G655" s="1248"/>
      <c r="H655" s="909"/>
      <c r="I655" s="990">
        <f>SUM(J655:N655)</f>
        <v>0</v>
      </c>
      <c r="J655" s="996"/>
      <c r="K655" s="996"/>
      <c r="L655" s="133">
        <v>0</v>
      </c>
      <c r="M655" s="904"/>
      <c r="N655" s="939"/>
      <c r="O655" s="910"/>
      <c r="P655" s="910"/>
    </row>
    <row r="656" spans="1:16" s="3" customFormat="1" ht="22.5" customHeight="1">
      <c r="A656" s="443">
        <v>648</v>
      </c>
      <c r="B656" s="123"/>
      <c r="C656" s="120">
        <v>138</v>
      </c>
      <c r="D656" s="436" t="s">
        <v>645</v>
      </c>
      <c r="E656" s="122"/>
      <c r="F656" s="122"/>
      <c r="G656" s="1248"/>
      <c r="H656" s="445" t="s">
        <v>24</v>
      </c>
      <c r="I656" s="426"/>
      <c r="J656" s="129"/>
      <c r="K656" s="129"/>
      <c r="L656" s="129"/>
      <c r="M656" s="129"/>
      <c r="N656" s="130"/>
      <c r="O656" s="8"/>
      <c r="P656" s="8"/>
    </row>
    <row r="657" spans="1:16" s="916" customFormat="1" ht="18" customHeight="1">
      <c r="A657" s="443">
        <v>649</v>
      </c>
      <c r="B657" s="905"/>
      <c r="C657" s="937"/>
      <c r="D657" s="938" t="s">
        <v>303</v>
      </c>
      <c r="E657" s="908"/>
      <c r="F657" s="908"/>
      <c r="G657" s="1248"/>
      <c r="H657" s="909"/>
      <c r="I657" s="900">
        <f>SUM(J657:N657)</f>
        <v>400</v>
      </c>
      <c r="J657" s="904"/>
      <c r="K657" s="904"/>
      <c r="L657" s="904">
        <v>400</v>
      </c>
      <c r="M657" s="904"/>
      <c r="N657" s="939"/>
      <c r="O657" s="910"/>
      <c r="P657" s="910"/>
    </row>
    <row r="658" spans="1:16" s="916" customFormat="1" ht="18" customHeight="1">
      <c r="A658" s="443">
        <v>650</v>
      </c>
      <c r="B658" s="905"/>
      <c r="C658" s="937"/>
      <c r="D658" s="436" t="s">
        <v>994</v>
      </c>
      <c r="E658" s="908"/>
      <c r="F658" s="908"/>
      <c r="G658" s="1248"/>
      <c r="H658" s="909"/>
      <c r="I658" s="426">
        <f>SUM(J658:N658)</f>
        <v>400</v>
      </c>
      <c r="J658" s="904"/>
      <c r="K658" s="904"/>
      <c r="L658" s="996">
        <v>400</v>
      </c>
      <c r="M658" s="904"/>
      <c r="N658" s="939"/>
      <c r="O658" s="910"/>
      <c r="P658" s="910"/>
    </row>
    <row r="659" spans="1:16" s="916" customFormat="1" ht="18" customHeight="1">
      <c r="A659" s="443">
        <v>651</v>
      </c>
      <c r="B659" s="905"/>
      <c r="C659" s="937"/>
      <c r="D659" s="987" t="s">
        <v>1036</v>
      </c>
      <c r="E659" s="908"/>
      <c r="F659" s="908"/>
      <c r="G659" s="1248"/>
      <c r="H659" s="909"/>
      <c r="I659" s="990">
        <f>SUM(J659:N659)</f>
        <v>0</v>
      </c>
      <c r="J659" s="996"/>
      <c r="K659" s="996"/>
      <c r="L659" s="133">
        <v>0</v>
      </c>
      <c r="M659" s="904"/>
      <c r="N659" s="939"/>
      <c r="O659" s="910"/>
      <c r="P659" s="910"/>
    </row>
    <row r="660" spans="1:16" s="3" customFormat="1" ht="22.5" customHeight="1">
      <c r="A660" s="443">
        <v>652</v>
      </c>
      <c r="B660" s="123"/>
      <c r="C660" s="120">
        <v>139</v>
      </c>
      <c r="D660" s="436" t="s">
        <v>646</v>
      </c>
      <c r="E660" s="122"/>
      <c r="F660" s="122"/>
      <c r="G660" s="1248"/>
      <c r="H660" s="445" t="s">
        <v>24</v>
      </c>
      <c r="I660" s="426"/>
      <c r="J660" s="129"/>
      <c r="K660" s="129"/>
      <c r="L660" s="129"/>
      <c r="M660" s="129"/>
      <c r="N660" s="130"/>
      <c r="O660" s="8"/>
      <c r="P660" s="8"/>
    </row>
    <row r="661" spans="1:16" s="916" customFormat="1" ht="18" customHeight="1">
      <c r="A661" s="443">
        <v>653</v>
      </c>
      <c r="B661" s="905"/>
      <c r="C661" s="937"/>
      <c r="D661" s="938" t="s">
        <v>303</v>
      </c>
      <c r="E661" s="908"/>
      <c r="F661" s="908"/>
      <c r="G661" s="1248"/>
      <c r="H661" s="909"/>
      <c r="I661" s="900">
        <f>SUM(J661:N661)</f>
        <v>738</v>
      </c>
      <c r="J661" s="904"/>
      <c r="K661" s="904"/>
      <c r="L661" s="904">
        <v>738</v>
      </c>
      <c r="M661" s="904"/>
      <c r="N661" s="939"/>
      <c r="O661" s="910"/>
      <c r="P661" s="910"/>
    </row>
    <row r="662" spans="1:16" s="916" customFormat="1" ht="18" customHeight="1">
      <c r="A662" s="443">
        <v>654</v>
      </c>
      <c r="B662" s="905"/>
      <c r="C662" s="937"/>
      <c r="D662" s="436" t="s">
        <v>994</v>
      </c>
      <c r="E662" s="908"/>
      <c r="F662" s="908"/>
      <c r="G662" s="1248"/>
      <c r="H662" s="909"/>
      <c r="I662" s="426">
        <f>SUM(J662:N662)</f>
        <v>738</v>
      </c>
      <c r="J662" s="904"/>
      <c r="K662" s="904"/>
      <c r="L662" s="996">
        <v>738</v>
      </c>
      <c r="M662" s="904"/>
      <c r="N662" s="939"/>
      <c r="O662" s="910"/>
      <c r="P662" s="910"/>
    </row>
    <row r="663" spans="1:16" s="916" customFormat="1" ht="18" customHeight="1">
      <c r="A663" s="443">
        <v>655</v>
      </c>
      <c r="B663" s="905"/>
      <c r="C663" s="937"/>
      <c r="D663" s="987" t="s">
        <v>1036</v>
      </c>
      <c r="E663" s="908"/>
      <c r="F663" s="908"/>
      <c r="G663" s="1248"/>
      <c r="H663" s="909"/>
      <c r="I663" s="990">
        <f>SUM(J663:N663)</f>
        <v>0</v>
      </c>
      <c r="J663" s="996"/>
      <c r="K663" s="996"/>
      <c r="L663" s="133">
        <v>0</v>
      </c>
      <c r="M663" s="904"/>
      <c r="N663" s="939"/>
      <c r="O663" s="910"/>
      <c r="P663" s="910"/>
    </row>
    <row r="664" spans="1:16" s="3" customFormat="1" ht="22.5" customHeight="1">
      <c r="A664" s="443">
        <v>656</v>
      </c>
      <c r="B664" s="123"/>
      <c r="C664" s="120">
        <v>140</v>
      </c>
      <c r="D664" s="436" t="s">
        <v>537</v>
      </c>
      <c r="E664" s="122"/>
      <c r="F664" s="122"/>
      <c r="G664" s="1248"/>
      <c r="H664" s="445" t="s">
        <v>24</v>
      </c>
      <c r="I664" s="427"/>
      <c r="J664" s="129"/>
      <c r="K664" s="129"/>
      <c r="L664" s="129"/>
      <c r="M664" s="129"/>
      <c r="N664" s="130"/>
      <c r="O664" s="8"/>
      <c r="P664" s="8"/>
    </row>
    <row r="665" spans="1:16" s="3" customFormat="1" ht="18" customHeight="1">
      <c r="A665" s="443">
        <v>657</v>
      </c>
      <c r="B665" s="1001"/>
      <c r="C665" s="1002"/>
      <c r="D665" s="938" t="s">
        <v>303</v>
      </c>
      <c r="E665" s="122"/>
      <c r="F665" s="122"/>
      <c r="G665" s="1248"/>
      <c r="H665" s="1003"/>
      <c r="I665" s="900">
        <f>SUM(J665:N665)</f>
        <v>100</v>
      </c>
      <c r="J665" s="1004"/>
      <c r="K665" s="1004"/>
      <c r="L665" s="904">
        <v>100</v>
      </c>
      <c r="M665" s="1004"/>
      <c r="N665" s="1005"/>
      <c r="O665" s="8"/>
      <c r="P665" s="8"/>
    </row>
    <row r="666" spans="1:16" s="3" customFormat="1" ht="18" customHeight="1">
      <c r="A666" s="443">
        <v>658</v>
      </c>
      <c r="B666" s="1001"/>
      <c r="C666" s="1002"/>
      <c r="D666" s="436" t="s">
        <v>994</v>
      </c>
      <c r="E666" s="122"/>
      <c r="F666" s="122"/>
      <c r="G666" s="1248"/>
      <c r="H666" s="1003"/>
      <c r="I666" s="426">
        <f>SUM(J666:N666)</f>
        <v>0</v>
      </c>
      <c r="J666" s="1004"/>
      <c r="K666" s="1004"/>
      <c r="L666" s="1008">
        <v>0</v>
      </c>
      <c r="M666" s="1004"/>
      <c r="N666" s="1005"/>
      <c r="O666" s="8"/>
      <c r="P666" s="8"/>
    </row>
    <row r="667" spans="1:16" s="3" customFormat="1" ht="18" customHeight="1">
      <c r="A667" s="443">
        <v>659</v>
      </c>
      <c r="B667" s="1001"/>
      <c r="C667" s="1002"/>
      <c r="D667" s="987" t="s">
        <v>1035</v>
      </c>
      <c r="E667" s="122"/>
      <c r="F667" s="122"/>
      <c r="G667" s="1248"/>
      <c r="H667" s="1003"/>
      <c r="I667" s="990">
        <f>SUM(J667:N667)</f>
        <v>0</v>
      </c>
      <c r="J667" s="1004"/>
      <c r="K667" s="1004"/>
      <c r="L667" s="1185">
        <v>0</v>
      </c>
      <c r="M667" s="1004"/>
      <c r="N667" s="1005"/>
      <c r="O667" s="8"/>
      <c r="P667" s="8"/>
    </row>
    <row r="668" spans="1:16" s="3" customFormat="1" ht="22.5" customHeight="1">
      <c r="A668" s="443">
        <v>660</v>
      </c>
      <c r="B668" s="1001"/>
      <c r="C668" s="1002">
        <v>141</v>
      </c>
      <c r="D668" s="437" t="s">
        <v>506</v>
      </c>
      <c r="E668" s="122"/>
      <c r="F668" s="122"/>
      <c r="G668" s="1248">
        <v>1956</v>
      </c>
      <c r="H668" s="1003" t="s">
        <v>23</v>
      </c>
      <c r="I668" s="1006"/>
      <c r="J668" s="1004"/>
      <c r="K668" s="1004"/>
      <c r="L668" s="1007"/>
      <c r="M668" s="1004"/>
      <c r="N668" s="1005"/>
      <c r="O668" s="8"/>
      <c r="P668" s="8"/>
    </row>
    <row r="669" spans="1:16" s="3" customFormat="1" ht="18" customHeight="1">
      <c r="A669" s="443">
        <v>661</v>
      </c>
      <c r="B669" s="1001"/>
      <c r="C669" s="1002"/>
      <c r="D669" s="436" t="s">
        <v>994</v>
      </c>
      <c r="E669" s="1186"/>
      <c r="F669" s="1187"/>
      <c r="G669" s="1311"/>
      <c r="H669" s="1003"/>
      <c r="I669" s="426">
        <f>SUM(J669:N669)</f>
        <v>159</v>
      </c>
      <c r="J669" s="1004"/>
      <c r="K669" s="1004"/>
      <c r="L669" s="1008">
        <v>3</v>
      </c>
      <c r="M669" s="1008"/>
      <c r="N669" s="1188">
        <v>156</v>
      </c>
      <c r="O669" s="8"/>
      <c r="P669" s="8"/>
    </row>
    <row r="670" spans="1:16" s="3" customFormat="1" ht="18" customHeight="1">
      <c r="A670" s="443">
        <v>662</v>
      </c>
      <c r="B670" s="1001"/>
      <c r="C670" s="1002"/>
      <c r="D670" s="987" t="s">
        <v>1041</v>
      </c>
      <c r="E670" s="1186"/>
      <c r="F670" s="1187"/>
      <c r="G670" s="1256"/>
      <c r="H670" s="1003"/>
      <c r="I670" s="990">
        <f>SUM(J670:N670)</f>
        <v>159</v>
      </c>
      <c r="J670" s="1004"/>
      <c r="K670" s="1004"/>
      <c r="L670" s="1185">
        <v>3</v>
      </c>
      <c r="M670" s="1185"/>
      <c r="N670" s="1189">
        <v>156</v>
      </c>
      <c r="O670" s="8"/>
      <c r="P670" s="8"/>
    </row>
    <row r="671" spans="1:16" s="3" customFormat="1" ht="22.5" customHeight="1">
      <c r="A671" s="443">
        <v>663</v>
      </c>
      <c r="B671" s="1001"/>
      <c r="C671" s="1002">
        <v>142</v>
      </c>
      <c r="D671" s="436" t="s">
        <v>810</v>
      </c>
      <c r="E671" s="1186"/>
      <c r="F671" s="1187"/>
      <c r="G671" s="1256">
        <v>12653</v>
      </c>
      <c r="H671" s="1003" t="s">
        <v>24</v>
      </c>
      <c r="I671" s="1184"/>
      <c r="J671" s="1004"/>
      <c r="K671" s="1004"/>
      <c r="L671" s="1008"/>
      <c r="M671" s="1008"/>
      <c r="N671" s="1188"/>
      <c r="O671" s="8"/>
      <c r="P671" s="8"/>
    </row>
    <row r="672" spans="1:16" s="3" customFormat="1" ht="18" customHeight="1">
      <c r="A672" s="443">
        <v>664</v>
      </c>
      <c r="B672" s="1001"/>
      <c r="C672" s="1002"/>
      <c r="D672" s="436" t="s">
        <v>994</v>
      </c>
      <c r="E672" s="1186"/>
      <c r="F672" s="1187"/>
      <c r="G672" s="1256"/>
      <c r="H672" s="1003"/>
      <c r="I672" s="426">
        <f>SUM(J672:N672)</f>
        <v>50</v>
      </c>
      <c r="J672" s="1004"/>
      <c r="K672" s="1004"/>
      <c r="L672" s="1008"/>
      <c r="M672" s="1008"/>
      <c r="N672" s="1188">
        <v>50</v>
      </c>
      <c r="O672" s="8"/>
      <c r="P672" s="8"/>
    </row>
    <row r="673" spans="1:16" s="3" customFormat="1" ht="18" customHeight="1">
      <c r="A673" s="443">
        <v>665</v>
      </c>
      <c r="B673" s="1001"/>
      <c r="C673" s="1002"/>
      <c r="D673" s="987" t="s">
        <v>1035</v>
      </c>
      <c r="E673" s="1245"/>
      <c r="F673" s="122"/>
      <c r="G673" s="1256"/>
      <c r="H673" s="1003"/>
      <c r="I673" s="990">
        <f>SUM(J673:N673)</f>
        <v>49</v>
      </c>
      <c r="J673" s="1004"/>
      <c r="K673" s="1004"/>
      <c r="L673" s="1008"/>
      <c r="M673" s="1008"/>
      <c r="N673" s="1189">
        <v>49</v>
      </c>
      <c r="O673" s="8"/>
      <c r="P673" s="8"/>
    </row>
    <row r="674" spans="1:16" s="3" customFormat="1" ht="22.5" customHeight="1">
      <c r="A674" s="443">
        <v>666</v>
      </c>
      <c r="B674" s="1001"/>
      <c r="C674" s="1002">
        <v>143</v>
      </c>
      <c r="D674" s="436" t="s">
        <v>807</v>
      </c>
      <c r="E674" s="436"/>
      <c r="F674" s="436"/>
      <c r="G674" s="1248"/>
      <c r="H674" s="1003" t="s">
        <v>24</v>
      </c>
      <c r="I674" s="1184"/>
      <c r="J674" s="1004"/>
      <c r="K674" s="1004"/>
      <c r="L674" s="1008"/>
      <c r="M674" s="1004"/>
      <c r="N674" s="1005"/>
      <c r="O674" s="8"/>
      <c r="P674" s="8"/>
    </row>
    <row r="675" spans="1:16" s="3" customFormat="1" ht="18" customHeight="1">
      <c r="A675" s="443">
        <v>667</v>
      </c>
      <c r="B675" s="1001"/>
      <c r="C675" s="1002"/>
      <c r="D675" s="938" t="s">
        <v>303</v>
      </c>
      <c r="E675" s="436"/>
      <c r="F675" s="436"/>
      <c r="G675" s="1248"/>
      <c r="H675" s="1003"/>
      <c r="I675" s="900">
        <f>SUM(J675:N675)</f>
        <v>32172</v>
      </c>
      <c r="J675" s="1004"/>
      <c r="K675" s="1004"/>
      <c r="L675" s="1007">
        <v>32172</v>
      </c>
      <c r="M675" s="1004"/>
      <c r="N675" s="1005"/>
      <c r="O675" s="8"/>
      <c r="P675" s="8"/>
    </row>
    <row r="676" spans="1:16" s="3" customFormat="1" ht="18" customHeight="1">
      <c r="A676" s="443">
        <v>668</v>
      </c>
      <c r="B676" s="1001"/>
      <c r="C676" s="1002"/>
      <c r="D676" s="436" t="s">
        <v>994</v>
      </c>
      <c r="E676" s="436"/>
      <c r="F676" s="436"/>
      <c r="G676" s="1248"/>
      <c r="H676" s="1003"/>
      <c r="I676" s="426">
        <f>SUM(J676:N676)</f>
        <v>30170</v>
      </c>
      <c r="J676" s="1008">
        <v>19</v>
      </c>
      <c r="K676" s="1008">
        <v>10</v>
      </c>
      <c r="L676" s="1008">
        <v>30141</v>
      </c>
      <c r="M676" s="1004"/>
      <c r="N676" s="1005"/>
      <c r="O676" s="8"/>
      <c r="P676" s="8"/>
    </row>
    <row r="677" spans="1:16" s="3" customFormat="1" ht="18" customHeight="1" thickBot="1">
      <c r="A677" s="443">
        <v>669</v>
      </c>
      <c r="B677" s="1001"/>
      <c r="C677" s="1002"/>
      <c r="D677" s="987" t="s">
        <v>1035</v>
      </c>
      <c r="E677" s="122"/>
      <c r="F677" s="122"/>
      <c r="G677" s="1248"/>
      <c r="H677" s="1003"/>
      <c r="I677" s="990">
        <f>SUM(J677:N677)</f>
        <v>26352</v>
      </c>
      <c r="J677" s="1004">
        <v>19</v>
      </c>
      <c r="K677" s="1004">
        <v>9</v>
      </c>
      <c r="L677" s="1185">
        <v>26324</v>
      </c>
      <c r="M677" s="1004"/>
      <c r="N677" s="1005"/>
      <c r="O677" s="8"/>
      <c r="P677" s="8"/>
    </row>
    <row r="678" spans="1:16" s="916" customFormat="1" ht="18" customHeight="1" hidden="1" thickBot="1">
      <c r="A678" s="443">
        <v>670</v>
      </c>
      <c r="B678" s="940"/>
      <c r="C678" s="941"/>
      <c r="D678" s="1014"/>
      <c r="E678" s="1015"/>
      <c r="F678" s="1016"/>
      <c r="G678" s="1273"/>
      <c r="H678" s="942"/>
      <c r="I678" s="943"/>
      <c r="J678" s="944"/>
      <c r="K678" s="944"/>
      <c r="L678" s="944"/>
      <c r="M678" s="944"/>
      <c r="N678" s="945"/>
      <c r="O678" s="910"/>
      <c r="P678" s="910"/>
    </row>
    <row r="679" spans="1:16" s="1447" customFormat="1" ht="22.5" customHeight="1" hidden="1" thickTop="1">
      <c r="A679" s="443">
        <v>671</v>
      </c>
      <c r="B679" s="835"/>
      <c r="C679" s="686"/>
      <c r="D679" s="436" t="s">
        <v>77</v>
      </c>
      <c r="E679" s="154">
        <v>8674</v>
      </c>
      <c r="F679" s="154">
        <v>650</v>
      </c>
      <c r="G679" s="1244">
        <v>650</v>
      </c>
      <c r="H679" s="447" t="s">
        <v>24</v>
      </c>
      <c r="I679" s="425"/>
      <c r="J679" s="153"/>
      <c r="K679" s="153"/>
      <c r="L679" s="153"/>
      <c r="M679" s="153"/>
      <c r="N679" s="159"/>
      <c r="P679" s="1448"/>
    </row>
    <row r="680" spans="1:14" s="8" customFormat="1" ht="18" customHeight="1" hidden="1">
      <c r="A680" s="443">
        <v>672</v>
      </c>
      <c r="B680" s="123"/>
      <c r="C680" s="124"/>
      <c r="D680" s="125" t="s">
        <v>303</v>
      </c>
      <c r="E680" s="122"/>
      <c r="F680" s="122"/>
      <c r="G680" s="1245"/>
      <c r="H680" s="445"/>
      <c r="I680" s="426">
        <f>SUM(J680:N680)</f>
        <v>0</v>
      </c>
      <c r="J680" s="126"/>
      <c r="K680" s="126"/>
      <c r="L680" s="126"/>
      <c r="M680" s="126"/>
      <c r="N680" s="127"/>
    </row>
    <row r="681" spans="1:14" s="8" customFormat="1" ht="22.5" customHeight="1" hidden="1">
      <c r="A681" s="443">
        <v>673</v>
      </c>
      <c r="B681" s="123"/>
      <c r="C681" s="120"/>
      <c r="D681" s="437" t="s">
        <v>506</v>
      </c>
      <c r="E681" s="122"/>
      <c r="F681" s="122">
        <v>2112</v>
      </c>
      <c r="G681" s="1245">
        <v>2112</v>
      </c>
      <c r="H681" s="445" t="s">
        <v>23</v>
      </c>
      <c r="I681" s="426"/>
      <c r="J681" s="126"/>
      <c r="K681" s="126"/>
      <c r="L681" s="126"/>
      <c r="M681" s="126"/>
      <c r="N681" s="127"/>
    </row>
    <row r="682" spans="1:14" s="8" customFormat="1" ht="18" customHeight="1" hidden="1">
      <c r="A682" s="443">
        <v>674</v>
      </c>
      <c r="B682" s="123"/>
      <c r="C682" s="124"/>
      <c r="D682" s="125" t="s">
        <v>303</v>
      </c>
      <c r="E682" s="122"/>
      <c r="F682" s="122"/>
      <c r="G682" s="1245"/>
      <c r="H682" s="445"/>
      <c r="I682" s="426">
        <f>SUM(J682:N682)</f>
        <v>0</v>
      </c>
      <c r="J682" s="126"/>
      <c r="K682" s="126"/>
      <c r="L682" s="126"/>
      <c r="M682" s="126"/>
      <c r="N682" s="127"/>
    </row>
    <row r="683" spans="1:14" s="8" customFormat="1" ht="22.5" customHeight="1" hidden="1">
      <c r="A683" s="443">
        <v>675</v>
      </c>
      <c r="B683" s="123"/>
      <c r="C683" s="120"/>
      <c r="D683" s="436" t="s">
        <v>444</v>
      </c>
      <c r="E683" s="122">
        <v>31491</v>
      </c>
      <c r="F683" s="122">
        <v>7868</v>
      </c>
      <c r="G683" s="1245">
        <v>7868</v>
      </c>
      <c r="H683" s="445" t="s">
        <v>24</v>
      </c>
      <c r="I683" s="426"/>
      <c r="J683" s="126"/>
      <c r="K683" s="126"/>
      <c r="L683" s="126"/>
      <c r="M683" s="126"/>
      <c r="N683" s="127"/>
    </row>
    <row r="684" spans="1:14" s="8" customFormat="1" ht="18" customHeight="1" hidden="1">
      <c r="A684" s="443">
        <v>676</v>
      </c>
      <c r="B684" s="123"/>
      <c r="C684" s="124"/>
      <c r="D684" s="125" t="s">
        <v>303</v>
      </c>
      <c r="E684" s="122"/>
      <c r="F684" s="122"/>
      <c r="G684" s="1245"/>
      <c r="H684" s="445"/>
      <c r="I684" s="426">
        <f>SUM(J684:N684)</f>
        <v>0</v>
      </c>
      <c r="J684" s="126"/>
      <c r="K684" s="126"/>
      <c r="L684" s="126"/>
      <c r="M684" s="126"/>
      <c r="N684" s="127"/>
    </row>
    <row r="685" spans="1:16" s="3" customFormat="1" ht="22.5" customHeight="1" hidden="1">
      <c r="A685" s="443">
        <v>677</v>
      </c>
      <c r="B685" s="119"/>
      <c r="C685" s="120"/>
      <c r="D685" s="437" t="s">
        <v>100</v>
      </c>
      <c r="E685" s="122"/>
      <c r="F685" s="122">
        <v>1500</v>
      </c>
      <c r="G685" s="1245">
        <v>1500</v>
      </c>
      <c r="H685" s="445" t="s">
        <v>24</v>
      </c>
      <c r="I685" s="426"/>
      <c r="J685" s="126"/>
      <c r="K685" s="126"/>
      <c r="L685" s="126"/>
      <c r="M685" s="126"/>
      <c r="N685" s="127"/>
      <c r="P685" s="8"/>
    </row>
    <row r="686" spans="1:14" s="8" customFormat="1" ht="18" customHeight="1" hidden="1" thickBot="1">
      <c r="A686" s="443">
        <v>678</v>
      </c>
      <c r="B686" s="473"/>
      <c r="C686" s="836"/>
      <c r="D686" s="837" t="s">
        <v>303</v>
      </c>
      <c r="E686" s="478"/>
      <c r="F686" s="478"/>
      <c r="G686" s="479"/>
      <c r="H686" s="474"/>
      <c r="I686" s="838">
        <f>SUM(J686:N686)</f>
        <v>0</v>
      </c>
      <c r="J686" s="839"/>
      <c r="K686" s="839"/>
      <c r="L686" s="839"/>
      <c r="M686" s="839"/>
      <c r="N686" s="840"/>
    </row>
    <row r="687" spans="1:16" s="1447" customFormat="1" ht="22.5" customHeight="1" hidden="1" thickTop="1">
      <c r="A687" s="443">
        <v>679</v>
      </c>
      <c r="B687" s="835"/>
      <c r="C687" s="686"/>
      <c r="D687" s="125" t="s">
        <v>79</v>
      </c>
      <c r="E687" s="154"/>
      <c r="F687" s="154"/>
      <c r="G687" s="1244"/>
      <c r="H687" s="447" t="s">
        <v>23</v>
      </c>
      <c r="I687" s="425"/>
      <c r="J687" s="153"/>
      <c r="K687" s="153"/>
      <c r="L687" s="153"/>
      <c r="M687" s="153"/>
      <c r="N687" s="159"/>
      <c r="P687" s="1448"/>
    </row>
    <row r="688" spans="1:14" s="8" customFormat="1" ht="18" customHeight="1" hidden="1">
      <c r="A688" s="443">
        <v>680</v>
      </c>
      <c r="B688" s="123"/>
      <c r="C688" s="124"/>
      <c r="D688" s="125" t="s">
        <v>303</v>
      </c>
      <c r="E688" s="122"/>
      <c r="F688" s="122"/>
      <c r="G688" s="1245"/>
      <c r="H688" s="445"/>
      <c r="I688" s="426">
        <f>SUM(J688:N688)</f>
        <v>0</v>
      </c>
      <c r="J688" s="126"/>
      <c r="K688" s="126"/>
      <c r="L688" s="126"/>
      <c r="M688" s="126"/>
      <c r="N688" s="127"/>
    </row>
    <row r="689" spans="1:16" s="3" customFormat="1" ht="22.5" customHeight="1" hidden="1">
      <c r="A689" s="443">
        <v>681</v>
      </c>
      <c r="B689" s="119"/>
      <c r="C689" s="120"/>
      <c r="D689" s="121" t="s">
        <v>89</v>
      </c>
      <c r="E689" s="122"/>
      <c r="F689" s="122"/>
      <c r="G689" s="1245"/>
      <c r="H689" s="445" t="s">
        <v>23</v>
      </c>
      <c r="I689" s="426"/>
      <c r="J689" s="126"/>
      <c r="K689" s="126"/>
      <c r="L689" s="126"/>
      <c r="M689" s="126"/>
      <c r="N689" s="127"/>
      <c r="P689" s="8"/>
    </row>
    <row r="690" spans="1:14" s="8" customFormat="1" ht="18" customHeight="1" hidden="1">
      <c r="A690" s="443">
        <v>682</v>
      </c>
      <c r="B690" s="123"/>
      <c r="C690" s="124"/>
      <c r="D690" s="125" t="s">
        <v>303</v>
      </c>
      <c r="E690" s="122"/>
      <c r="F690" s="122"/>
      <c r="G690" s="1245"/>
      <c r="H690" s="445"/>
      <c r="I690" s="426">
        <f>SUM(J690:N690)</f>
        <v>0</v>
      </c>
      <c r="J690" s="126"/>
      <c r="K690" s="126"/>
      <c r="L690" s="126"/>
      <c r="M690" s="126"/>
      <c r="N690" s="127"/>
    </row>
    <row r="691" spans="1:14" s="8" customFormat="1" ht="30.75" hidden="1" thickBot="1">
      <c r="A691" s="443">
        <v>683</v>
      </c>
      <c r="B691" s="123"/>
      <c r="C691" s="423"/>
      <c r="D691" s="125" t="s">
        <v>492</v>
      </c>
      <c r="E691" s="122"/>
      <c r="F691" s="122"/>
      <c r="G691" s="1245"/>
      <c r="H691" s="445" t="s">
        <v>24</v>
      </c>
      <c r="I691" s="426"/>
      <c r="J691" s="126"/>
      <c r="K691" s="126"/>
      <c r="L691" s="126"/>
      <c r="M691" s="126"/>
      <c r="N691" s="127"/>
    </row>
    <row r="692" spans="1:14" s="8" customFormat="1" ht="18" customHeight="1" hidden="1">
      <c r="A692" s="443">
        <v>684</v>
      </c>
      <c r="B692" s="123"/>
      <c r="C692" s="124"/>
      <c r="D692" s="125" t="s">
        <v>303</v>
      </c>
      <c r="E692" s="122"/>
      <c r="F692" s="122"/>
      <c r="G692" s="1245"/>
      <c r="H692" s="445"/>
      <c r="I692" s="426">
        <f>SUM(J692:N692)</f>
        <v>0</v>
      </c>
      <c r="J692" s="126"/>
      <c r="K692" s="126"/>
      <c r="L692" s="126"/>
      <c r="M692" s="126"/>
      <c r="N692" s="127"/>
    </row>
    <row r="693" spans="1:14" s="8" customFormat="1" ht="22.5" customHeight="1" hidden="1">
      <c r="A693" s="443">
        <v>685</v>
      </c>
      <c r="B693" s="123"/>
      <c r="C693" s="120"/>
      <c r="D693" s="125" t="s">
        <v>440</v>
      </c>
      <c r="E693" s="122"/>
      <c r="F693" s="122"/>
      <c r="G693" s="1245"/>
      <c r="H693" s="445" t="s">
        <v>24</v>
      </c>
      <c r="I693" s="426"/>
      <c r="J693" s="126"/>
      <c r="K693" s="126"/>
      <c r="L693" s="126"/>
      <c r="M693" s="126"/>
      <c r="N693" s="127"/>
    </row>
    <row r="694" spans="1:14" s="8" customFormat="1" ht="18" customHeight="1" hidden="1">
      <c r="A694" s="443">
        <v>686</v>
      </c>
      <c r="B694" s="123"/>
      <c r="C694" s="124"/>
      <c r="D694" s="125" t="s">
        <v>303</v>
      </c>
      <c r="E694" s="122"/>
      <c r="F694" s="122"/>
      <c r="G694" s="1245"/>
      <c r="H694" s="445"/>
      <c r="I694" s="426">
        <f>SUM(J694:N694)</f>
        <v>0</v>
      </c>
      <c r="J694" s="126"/>
      <c r="K694" s="126"/>
      <c r="L694" s="126"/>
      <c r="M694" s="126"/>
      <c r="N694" s="127"/>
    </row>
    <row r="695" spans="1:14" s="8" customFormat="1" ht="22.5" customHeight="1" hidden="1">
      <c r="A695" s="443">
        <v>687</v>
      </c>
      <c r="B695" s="123"/>
      <c r="C695" s="120"/>
      <c r="D695" s="121" t="s">
        <v>468</v>
      </c>
      <c r="E695" s="122"/>
      <c r="F695" s="122"/>
      <c r="G695" s="1245"/>
      <c r="H695" s="445" t="s">
        <v>24</v>
      </c>
      <c r="I695" s="426"/>
      <c r="J695" s="126"/>
      <c r="K695" s="126"/>
      <c r="L695" s="126"/>
      <c r="M695" s="126"/>
      <c r="N695" s="127"/>
    </row>
    <row r="696" spans="1:14" s="8" customFormat="1" ht="18" customHeight="1" hidden="1">
      <c r="A696" s="443">
        <v>688</v>
      </c>
      <c r="B696" s="123"/>
      <c r="C696" s="124"/>
      <c r="D696" s="125" t="s">
        <v>303</v>
      </c>
      <c r="E696" s="122"/>
      <c r="F696" s="122"/>
      <c r="G696" s="1245"/>
      <c r="H696" s="445"/>
      <c r="I696" s="426">
        <f>SUM(J696:N696)</f>
        <v>0</v>
      </c>
      <c r="J696" s="126"/>
      <c r="K696" s="126"/>
      <c r="L696" s="126"/>
      <c r="M696" s="126"/>
      <c r="N696" s="127"/>
    </row>
    <row r="697" spans="1:14" s="8" customFormat="1" ht="22.5" customHeight="1" hidden="1">
      <c r="A697" s="443">
        <v>689</v>
      </c>
      <c r="B697" s="137"/>
      <c r="C697" s="120"/>
      <c r="D697" s="121" t="s">
        <v>112</v>
      </c>
      <c r="E697" s="122"/>
      <c r="F697" s="122"/>
      <c r="G697" s="1245"/>
      <c r="H697" s="445" t="s">
        <v>24</v>
      </c>
      <c r="I697" s="427"/>
      <c r="J697" s="129"/>
      <c r="K697" s="129"/>
      <c r="L697" s="129"/>
      <c r="M697" s="129"/>
      <c r="N697" s="130"/>
    </row>
    <row r="698" spans="1:14" s="8" customFormat="1" ht="18" customHeight="1" hidden="1">
      <c r="A698" s="443">
        <v>690</v>
      </c>
      <c r="B698" s="123"/>
      <c r="C698" s="124"/>
      <c r="D698" s="125" t="s">
        <v>303</v>
      </c>
      <c r="E698" s="122"/>
      <c r="F698" s="122"/>
      <c r="G698" s="1245"/>
      <c r="H698" s="445"/>
      <c r="I698" s="426">
        <f>SUM(J698:N698)</f>
        <v>0</v>
      </c>
      <c r="J698" s="126"/>
      <c r="K698" s="126"/>
      <c r="L698" s="126"/>
      <c r="M698" s="126"/>
      <c r="N698" s="127"/>
    </row>
    <row r="699" spans="1:14" s="8" customFormat="1" ht="22.5" customHeight="1" hidden="1">
      <c r="A699" s="443">
        <v>691</v>
      </c>
      <c r="B699" s="137"/>
      <c r="C699" s="120"/>
      <c r="D699" s="121" t="s">
        <v>413</v>
      </c>
      <c r="E699" s="122"/>
      <c r="F699" s="122"/>
      <c r="G699" s="1245"/>
      <c r="H699" s="445" t="s">
        <v>24</v>
      </c>
      <c r="I699" s="427"/>
      <c r="J699" s="129"/>
      <c r="K699" s="129"/>
      <c r="L699" s="129"/>
      <c r="M699" s="129"/>
      <c r="N699" s="130"/>
    </row>
    <row r="700" spans="1:14" s="8" customFormat="1" ht="18" customHeight="1" hidden="1">
      <c r="A700" s="443">
        <v>692</v>
      </c>
      <c r="B700" s="123"/>
      <c r="C700" s="124"/>
      <c r="D700" s="125" t="s">
        <v>303</v>
      </c>
      <c r="E700" s="122"/>
      <c r="F700" s="122"/>
      <c r="G700" s="1245"/>
      <c r="H700" s="445"/>
      <c r="I700" s="426">
        <f>SUM(J700:N700)</f>
        <v>0</v>
      </c>
      <c r="J700" s="126"/>
      <c r="K700" s="126"/>
      <c r="L700" s="126"/>
      <c r="M700" s="126"/>
      <c r="N700" s="127"/>
    </row>
    <row r="701" spans="1:14" s="8" customFormat="1" ht="22.5" customHeight="1" hidden="1">
      <c r="A701" s="443">
        <v>693</v>
      </c>
      <c r="B701" s="137"/>
      <c r="C701" s="120"/>
      <c r="D701" s="121" t="s">
        <v>414</v>
      </c>
      <c r="E701" s="122"/>
      <c r="F701" s="122"/>
      <c r="G701" s="1245"/>
      <c r="H701" s="445" t="s">
        <v>24</v>
      </c>
      <c r="I701" s="427"/>
      <c r="J701" s="129"/>
      <c r="K701" s="129"/>
      <c r="L701" s="129"/>
      <c r="M701" s="129"/>
      <c r="N701" s="130"/>
    </row>
    <row r="702" spans="1:14" s="8" customFormat="1" ht="18" customHeight="1" hidden="1">
      <c r="A702" s="443">
        <v>694</v>
      </c>
      <c r="B702" s="123"/>
      <c r="C702" s="124"/>
      <c r="D702" s="125" t="s">
        <v>303</v>
      </c>
      <c r="E702" s="122"/>
      <c r="F702" s="122"/>
      <c r="G702" s="1245"/>
      <c r="H702" s="445"/>
      <c r="I702" s="426">
        <f>SUM(J702:N702)</f>
        <v>0</v>
      </c>
      <c r="J702" s="126"/>
      <c r="K702" s="126"/>
      <c r="L702" s="126"/>
      <c r="M702" s="126"/>
      <c r="N702" s="127"/>
    </row>
    <row r="703" spans="1:14" s="8" customFormat="1" ht="22.5" customHeight="1" hidden="1">
      <c r="A703" s="443">
        <v>695</v>
      </c>
      <c r="B703" s="123"/>
      <c r="C703" s="120"/>
      <c r="D703" s="125" t="s">
        <v>421</v>
      </c>
      <c r="E703" s="122"/>
      <c r="F703" s="122"/>
      <c r="G703" s="1245"/>
      <c r="H703" s="445" t="s">
        <v>24</v>
      </c>
      <c r="I703" s="426"/>
      <c r="J703" s="126"/>
      <c r="K703" s="126"/>
      <c r="L703" s="126"/>
      <c r="M703" s="126"/>
      <c r="N703" s="127"/>
    </row>
    <row r="704" spans="1:14" s="8" customFormat="1" ht="18" customHeight="1" hidden="1">
      <c r="A704" s="443">
        <v>696</v>
      </c>
      <c r="B704" s="123"/>
      <c r="C704" s="124"/>
      <c r="D704" s="125" t="s">
        <v>303</v>
      </c>
      <c r="E704" s="122"/>
      <c r="F704" s="122"/>
      <c r="G704" s="1245"/>
      <c r="H704" s="445"/>
      <c r="I704" s="426">
        <f>SUM(J704:N704)</f>
        <v>0</v>
      </c>
      <c r="J704" s="126"/>
      <c r="K704" s="126"/>
      <c r="L704" s="126"/>
      <c r="M704" s="126"/>
      <c r="N704" s="127"/>
    </row>
    <row r="705" spans="1:14" s="3" customFormat="1" ht="22.5" customHeight="1" hidden="1">
      <c r="A705" s="443">
        <v>697</v>
      </c>
      <c r="B705" s="119"/>
      <c r="C705" s="120"/>
      <c r="D705" s="121" t="s">
        <v>513</v>
      </c>
      <c r="E705" s="122"/>
      <c r="F705" s="122"/>
      <c r="G705" s="1245"/>
      <c r="H705" s="445" t="s">
        <v>23</v>
      </c>
      <c r="I705" s="426"/>
      <c r="J705" s="126"/>
      <c r="K705" s="126"/>
      <c r="L705" s="126"/>
      <c r="M705" s="126"/>
      <c r="N705" s="127"/>
    </row>
    <row r="706" spans="1:14" s="8" customFormat="1" ht="18" customHeight="1" hidden="1">
      <c r="A706" s="443">
        <v>698</v>
      </c>
      <c r="B706" s="123"/>
      <c r="C706" s="124"/>
      <c r="D706" s="125" t="s">
        <v>303</v>
      </c>
      <c r="E706" s="122"/>
      <c r="F706" s="122"/>
      <c r="G706" s="1245"/>
      <c r="H706" s="445"/>
      <c r="I706" s="426">
        <f>SUM(J706:N706)</f>
        <v>0</v>
      </c>
      <c r="J706" s="126"/>
      <c r="K706" s="126"/>
      <c r="L706" s="126"/>
      <c r="M706" s="126"/>
      <c r="N706" s="127"/>
    </row>
    <row r="707" spans="1:14" s="8" customFormat="1" ht="31.5" customHeight="1" hidden="1">
      <c r="A707" s="443">
        <v>699</v>
      </c>
      <c r="B707" s="123"/>
      <c r="C707" s="423"/>
      <c r="D707" s="125" t="s">
        <v>445</v>
      </c>
      <c r="E707" s="122"/>
      <c r="F707" s="122"/>
      <c r="G707" s="1245"/>
      <c r="H707" s="445" t="s">
        <v>24</v>
      </c>
      <c r="I707" s="426"/>
      <c r="J707" s="126"/>
      <c r="K707" s="126"/>
      <c r="L707" s="126"/>
      <c r="M707" s="126"/>
      <c r="N707" s="127"/>
    </row>
    <row r="708" spans="1:14" s="8" customFormat="1" ht="18" customHeight="1" hidden="1">
      <c r="A708" s="443">
        <v>700</v>
      </c>
      <c r="B708" s="123"/>
      <c r="C708" s="124"/>
      <c r="D708" s="125" t="s">
        <v>303</v>
      </c>
      <c r="E708" s="122"/>
      <c r="F708" s="122"/>
      <c r="G708" s="1245"/>
      <c r="H708" s="445"/>
      <c r="I708" s="426">
        <f>SUM(J708:N708)</f>
        <v>0</v>
      </c>
      <c r="J708" s="126"/>
      <c r="K708" s="126"/>
      <c r="L708" s="126"/>
      <c r="M708" s="126"/>
      <c r="N708" s="127"/>
    </row>
    <row r="709" spans="1:16" s="9" customFormat="1" ht="30" customHeight="1" hidden="1">
      <c r="A709" s="443">
        <v>701</v>
      </c>
      <c r="B709" s="456"/>
      <c r="C709" s="423"/>
      <c r="D709" s="121" t="s">
        <v>491</v>
      </c>
      <c r="E709" s="154"/>
      <c r="F709" s="128"/>
      <c r="G709" s="1255"/>
      <c r="H709" s="447" t="s">
        <v>24</v>
      </c>
      <c r="I709" s="426"/>
      <c r="J709" s="458"/>
      <c r="K709" s="458"/>
      <c r="L709" s="153"/>
      <c r="M709" s="458"/>
      <c r="N709" s="459"/>
      <c r="P709" s="8"/>
    </row>
    <row r="710" spans="1:16" s="9" customFormat="1" ht="18" customHeight="1" hidden="1">
      <c r="A710" s="443">
        <v>702</v>
      </c>
      <c r="B710" s="456"/>
      <c r="C710" s="124"/>
      <c r="D710" s="125" t="s">
        <v>303</v>
      </c>
      <c r="E710" s="154"/>
      <c r="F710" s="128"/>
      <c r="G710" s="1255"/>
      <c r="H710" s="447"/>
      <c r="I710" s="426">
        <f>SUM(J710:N710)</f>
        <v>0</v>
      </c>
      <c r="J710" s="458"/>
      <c r="K710" s="458"/>
      <c r="L710" s="153"/>
      <c r="M710" s="458"/>
      <c r="N710" s="459"/>
      <c r="P710" s="8"/>
    </row>
    <row r="711" spans="1:16" s="472" customFormat="1" ht="22.5" customHeight="1" hidden="1">
      <c r="A711" s="443">
        <v>703</v>
      </c>
      <c r="B711" s="471"/>
      <c r="C711" s="120"/>
      <c r="D711" s="121" t="s">
        <v>512</v>
      </c>
      <c r="E711" s="154"/>
      <c r="F711" s="128"/>
      <c r="G711" s="1255"/>
      <c r="H711" s="447" t="s">
        <v>24</v>
      </c>
      <c r="I711" s="426"/>
      <c r="J711" s="458"/>
      <c r="K711" s="458"/>
      <c r="L711" s="153"/>
      <c r="M711" s="458"/>
      <c r="N711" s="459"/>
      <c r="P711" s="3"/>
    </row>
    <row r="712" spans="1:16" s="9" customFormat="1" ht="18" customHeight="1" hidden="1">
      <c r="A712" s="443">
        <v>704</v>
      </c>
      <c r="B712" s="456"/>
      <c r="C712" s="124"/>
      <c r="D712" s="125" t="s">
        <v>303</v>
      </c>
      <c r="E712" s="154"/>
      <c r="F712" s="128"/>
      <c r="G712" s="1255"/>
      <c r="H712" s="457"/>
      <c r="I712" s="426">
        <f>SUM(J712:N712)</f>
        <v>0</v>
      </c>
      <c r="J712" s="458"/>
      <c r="K712" s="458"/>
      <c r="L712" s="153"/>
      <c r="M712" s="458"/>
      <c r="N712" s="459"/>
      <c r="P712" s="8"/>
    </row>
    <row r="713" spans="1:16" s="472" customFormat="1" ht="22.5" customHeight="1" hidden="1">
      <c r="A713" s="443">
        <v>705</v>
      </c>
      <c r="B713" s="471"/>
      <c r="C713" s="120"/>
      <c r="D713" s="121" t="s">
        <v>357</v>
      </c>
      <c r="E713" s="154"/>
      <c r="F713" s="128"/>
      <c r="G713" s="1255"/>
      <c r="H713" s="447" t="s">
        <v>24</v>
      </c>
      <c r="I713" s="426"/>
      <c r="J713" s="458"/>
      <c r="K713" s="458"/>
      <c r="L713" s="153"/>
      <c r="M713" s="458"/>
      <c r="N713" s="459"/>
      <c r="P713" s="3"/>
    </row>
    <row r="714" spans="1:16" s="9" customFormat="1" ht="18" customHeight="1" hidden="1">
      <c r="A714" s="443">
        <v>706</v>
      </c>
      <c r="B714" s="456"/>
      <c r="C714" s="124"/>
      <c r="D714" s="125" t="s">
        <v>303</v>
      </c>
      <c r="E714" s="154"/>
      <c r="F714" s="128"/>
      <c r="G714" s="1255"/>
      <c r="H714" s="457"/>
      <c r="I714" s="426">
        <f>SUM(J714:N714)</f>
        <v>0</v>
      </c>
      <c r="J714" s="458"/>
      <c r="K714" s="458"/>
      <c r="L714" s="153"/>
      <c r="M714" s="458"/>
      <c r="N714" s="459"/>
      <c r="P714" s="8"/>
    </row>
    <row r="715" spans="1:14" s="8" customFormat="1" ht="22.5" customHeight="1" hidden="1">
      <c r="A715" s="443">
        <v>707</v>
      </c>
      <c r="B715" s="141"/>
      <c r="C715" s="120"/>
      <c r="D715" s="125" t="s">
        <v>558</v>
      </c>
      <c r="E715" s="154"/>
      <c r="F715" s="128"/>
      <c r="G715" s="1244"/>
      <c r="H715" s="447" t="s">
        <v>24</v>
      </c>
      <c r="I715" s="426"/>
      <c r="J715" s="153"/>
      <c r="K715" s="153"/>
      <c r="L715" s="153"/>
      <c r="M715" s="153"/>
      <c r="N715" s="159"/>
    </row>
    <row r="716" spans="1:14" s="8" customFormat="1" ht="18" customHeight="1" hidden="1">
      <c r="A716" s="443">
        <v>708</v>
      </c>
      <c r="B716" s="141"/>
      <c r="C716" s="120"/>
      <c r="D716" s="125" t="s">
        <v>303</v>
      </c>
      <c r="E716" s="154"/>
      <c r="F716" s="128"/>
      <c r="G716" s="1244"/>
      <c r="H716" s="447"/>
      <c r="I716" s="426">
        <f>SUM(J716:N716)</f>
        <v>0</v>
      </c>
      <c r="J716" s="153"/>
      <c r="K716" s="153"/>
      <c r="L716" s="153"/>
      <c r="M716" s="153"/>
      <c r="N716" s="159"/>
    </row>
    <row r="717" spans="1:14" s="8" customFormat="1" ht="22.5" customHeight="1" hidden="1">
      <c r="A717" s="443">
        <v>709</v>
      </c>
      <c r="B717" s="141"/>
      <c r="C717" s="120"/>
      <c r="D717" s="125" t="s">
        <v>559</v>
      </c>
      <c r="E717" s="154"/>
      <c r="F717" s="128"/>
      <c r="G717" s="1244"/>
      <c r="H717" s="447" t="s">
        <v>24</v>
      </c>
      <c r="I717" s="426"/>
      <c r="J717" s="153"/>
      <c r="K717" s="153"/>
      <c r="L717" s="153"/>
      <c r="M717" s="153"/>
      <c r="N717" s="159"/>
    </row>
    <row r="718" spans="1:14" s="8" customFormat="1" ht="18" customHeight="1" hidden="1">
      <c r="A718" s="443">
        <v>710</v>
      </c>
      <c r="B718" s="141"/>
      <c r="C718" s="120"/>
      <c r="D718" s="125" t="s">
        <v>303</v>
      </c>
      <c r="E718" s="154"/>
      <c r="F718" s="128"/>
      <c r="G718" s="1244"/>
      <c r="H718" s="447"/>
      <c r="I718" s="426">
        <f>SUM(J718:N718)</f>
        <v>0</v>
      </c>
      <c r="J718" s="153"/>
      <c r="K718" s="153"/>
      <c r="L718" s="153"/>
      <c r="M718" s="153"/>
      <c r="N718" s="159"/>
    </row>
    <row r="719" spans="1:14" s="8" customFormat="1" ht="33.75" customHeight="1" hidden="1">
      <c r="A719" s="443">
        <v>711</v>
      </c>
      <c r="B719" s="141"/>
      <c r="C719" s="120"/>
      <c r="D719" s="125" t="s">
        <v>561</v>
      </c>
      <c r="E719" s="154"/>
      <c r="F719" s="128"/>
      <c r="G719" s="1244"/>
      <c r="H719" s="447" t="s">
        <v>24</v>
      </c>
      <c r="I719" s="426"/>
      <c r="J719" s="153"/>
      <c r="K719" s="153"/>
      <c r="L719" s="153"/>
      <c r="M719" s="153"/>
      <c r="N719" s="159"/>
    </row>
    <row r="720" spans="1:14" s="8" customFormat="1" ht="18" customHeight="1" hidden="1">
      <c r="A720" s="443">
        <v>712</v>
      </c>
      <c r="B720" s="141"/>
      <c r="C720" s="120"/>
      <c r="D720" s="125" t="s">
        <v>303</v>
      </c>
      <c r="E720" s="154"/>
      <c r="F720" s="128"/>
      <c r="G720" s="1244"/>
      <c r="H720" s="447"/>
      <c r="I720" s="426">
        <f>SUM(J720:N720)</f>
        <v>0</v>
      </c>
      <c r="J720" s="153"/>
      <c r="K720" s="153"/>
      <c r="L720" s="153"/>
      <c r="M720" s="153"/>
      <c r="N720" s="159"/>
    </row>
    <row r="721" spans="1:14" s="8" customFormat="1" ht="22.5" customHeight="1" hidden="1">
      <c r="A721" s="443">
        <v>713</v>
      </c>
      <c r="B721" s="141"/>
      <c r="C721" s="120"/>
      <c r="D721" s="125" t="s">
        <v>560</v>
      </c>
      <c r="E721" s="154"/>
      <c r="F721" s="128"/>
      <c r="G721" s="1244"/>
      <c r="H721" s="447" t="s">
        <v>24</v>
      </c>
      <c r="I721" s="426"/>
      <c r="J721" s="153"/>
      <c r="K721" s="153"/>
      <c r="L721" s="153"/>
      <c r="M721" s="153"/>
      <c r="N721" s="159"/>
    </row>
    <row r="722" spans="1:14" s="8" customFormat="1" ht="18" customHeight="1" hidden="1">
      <c r="A722" s="443">
        <v>714</v>
      </c>
      <c r="B722" s="141"/>
      <c r="C722" s="120"/>
      <c r="D722" s="125" t="s">
        <v>303</v>
      </c>
      <c r="E722" s="154"/>
      <c r="F722" s="128"/>
      <c r="G722" s="1244"/>
      <c r="H722" s="447"/>
      <c r="I722" s="426">
        <f>SUM(J722:N722)</f>
        <v>0</v>
      </c>
      <c r="J722" s="153"/>
      <c r="K722" s="153"/>
      <c r="L722" s="153"/>
      <c r="M722" s="153"/>
      <c r="N722" s="159"/>
    </row>
    <row r="723" spans="1:14" s="8" customFormat="1" ht="22.5" customHeight="1" hidden="1">
      <c r="A723" s="443">
        <v>715</v>
      </c>
      <c r="B723" s="141"/>
      <c r="C723" s="120"/>
      <c r="D723" s="125" t="s">
        <v>555</v>
      </c>
      <c r="E723" s="154"/>
      <c r="F723" s="128"/>
      <c r="G723" s="1244"/>
      <c r="H723" s="447" t="s">
        <v>24</v>
      </c>
      <c r="I723" s="426"/>
      <c r="J723" s="153"/>
      <c r="K723" s="153"/>
      <c r="L723" s="153"/>
      <c r="M723" s="153"/>
      <c r="N723" s="159"/>
    </row>
    <row r="724" spans="1:14" s="8" customFormat="1" ht="18" customHeight="1" hidden="1">
      <c r="A724" s="443">
        <v>716</v>
      </c>
      <c r="B724" s="141"/>
      <c r="C724" s="120"/>
      <c r="D724" s="125" t="s">
        <v>303</v>
      </c>
      <c r="E724" s="154"/>
      <c r="F724" s="128"/>
      <c r="G724" s="1244"/>
      <c r="H724" s="447"/>
      <c r="I724" s="426">
        <f>SUM(J724:N724)</f>
        <v>0</v>
      </c>
      <c r="J724" s="153"/>
      <c r="K724" s="153"/>
      <c r="L724" s="153"/>
      <c r="M724" s="153"/>
      <c r="N724" s="159"/>
    </row>
    <row r="725" spans="1:14" s="8" customFormat="1" ht="22.5" customHeight="1" hidden="1">
      <c r="A725" s="443">
        <v>717</v>
      </c>
      <c r="B725" s="141"/>
      <c r="C725" s="120"/>
      <c r="D725" s="125" t="s">
        <v>554</v>
      </c>
      <c r="E725" s="154"/>
      <c r="F725" s="128"/>
      <c r="G725" s="1244"/>
      <c r="H725" s="447" t="s">
        <v>24</v>
      </c>
      <c r="I725" s="426"/>
      <c r="J725" s="153"/>
      <c r="K725" s="153"/>
      <c r="L725" s="153"/>
      <c r="M725" s="153"/>
      <c r="N725" s="159"/>
    </row>
    <row r="726" spans="1:14" s="8" customFormat="1" ht="18" customHeight="1" hidden="1">
      <c r="A726" s="443">
        <v>718</v>
      </c>
      <c r="B726" s="141"/>
      <c r="C726" s="120"/>
      <c r="D726" s="125" t="s">
        <v>303</v>
      </c>
      <c r="E726" s="154"/>
      <c r="F726" s="128"/>
      <c r="G726" s="1244"/>
      <c r="H726" s="447"/>
      <c r="I726" s="426">
        <f>SUM(J726:N726)</f>
        <v>0</v>
      </c>
      <c r="J726" s="153"/>
      <c r="K726" s="153"/>
      <c r="L726" s="153"/>
      <c r="M726" s="153"/>
      <c r="N726" s="159"/>
    </row>
    <row r="727" spans="1:16" s="9" customFormat="1" ht="18" customHeight="1" hidden="1">
      <c r="A727" s="443">
        <v>719</v>
      </c>
      <c r="B727" s="131"/>
      <c r="C727" s="120"/>
      <c r="D727" s="121" t="s">
        <v>476</v>
      </c>
      <c r="E727" s="122"/>
      <c r="F727" s="132"/>
      <c r="G727" s="1248"/>
      <c r="H727" s="445" t="s">
        <v>24</v>
      </c>
      <c r="I727" s="428"/>
      <c r="J727" s="143"/>
      <c r="K727" s="143"/>
      <c r="L727" s="143"/>
      <c r="M727" s="143"/>
      <c r="N727" s="144"/>
      <c r="P727" s="8"/>
    </row>
    <row r="728" spans="1:16" s="9" customFormat="1" ht="18" customHeight="1" hidden="1">
      <c r="A728" s="443">
        <v>720</v>
      </c>
      <c r="B728" s="131"/>
      <c r="C728" s="120"/>
      <c r="D728" s="121" t="s">
        <v>514</v>
      </c>
      <c r="E728" s="122"/>
      <c r="F728" s="132"/>
      <c r="G728" s="1248"/>
      <c r="H728" s="445" t="s">
        <v>24</v>
      </c>
      <c r="I728" s="428"/>
      <c r="J728" s="143"/>
      <c r="K728" s="143"/>
      <c r="L728" s="143"/>
      <c r="M728" s="143"/>
      <c r="N728" s="144"/>
      <c r="P728" s="8"/>
    </row>
    <row r="729" spans="1:16" s="9" customFormat="1" ht="18" customHeight="1" hidden="1">
      <c r="A729" s="443">
        <v>721</v>
      </c>
      <c r="B729" s="131"/>
      <c r="C729" s="120"/>
      <c r="D729" s="121" t="s">
        <v>446</v>
      </c>
      <c r="E729" s="122"/>
      <c r="F729" s="132"/>
      <c r="G729" s="1248"/>
      <c r="H729" s="445" t="s">
        <v>24</v>
      </c>
      <c r="I729" s="428"/>
      <c r="J729" s="143"/>
      <c r="K729" s="143"/>
      <c r="L729" s="143"/>
      <c r="M729" s="143"/>
      <c r="N729" s="144"/>
      <c r="P729" s="8"/>
    </row>
    <row r="730" spans="1:14" s="8" customFormat="1" ht="18" customHeight="1" hidden="1">
      <c r="A730" s="443">
        <v>722</v>
      </c>
      <c r="B730" s="141"/>
      <c r="C730" s="120"/>
      <c r="D730" s="125" t="s">
        <v>515</v>
      </c>
      <c r="E730" s="154"/>
      <c r="F730" s="128"/>
      <c r="G730" s="1244"/>
      <c r="H730" s="445" t="s">
        <v>24</v>
      </c>
      <c r="I730" s="426"/>
      <c r="J730" s="153"/>
      <c r="K730" s="153"/>
      <c r="L730" s="153"/>
      <c r="M730" s="153"/>
      <c r="N730" s="159"/>
    </row>
    <row r="731" spans="1:14" s="8" customFormat="1" ht="17.25" customHeight="1" hidden="1">
      <c r="A731" s="443">
        <v>723</v>
      </c>
      <c r="B731" s="141"/>
      <c r="C731" s="120"/>
      <c r="D731" s="125" t="s">
        <v>516</v>
      </c>
      <c r="E731" s="154"/>
      <c r="F731" s="128"/>
      <c r="G731" s="1244"/>
      <c r="H731" s="445" t="s">
        <v>24</v>
      </c>
      <c r="I731" s="426"/>
      <c r="J731" s="153"/>
      <c r="K731" s="153"/>
      <c r="L731" s="153"/>
      <c r="M731" s="153"/>
      <c r="N731" s="159"/>
    </row>
    <row r="732" spans="1:14" s="8" customFormat="1" ht="18" customHeight="1" hidden="1">
      <c r="A732" s="443">
        <v>724</v>
      </c>
      <c r="B732" s="141"/>
      <c r="C732" s="120"/>
      <c r="D732" s="125" t="s">
        <v>517</v>
      </c>
      <c r="E732" s="154"/>
      <c r="F732" s="128"/>
      <c r="G732" s="1244"/>
      <c r="H732" s="445" t="s">
        <v>24</v>
      </c>
      <c r="I732" s="426"/>
      <c r="J732" s="153"/>
      <c r="K732" s="153"/>
      <c r="L732" s="153"/>
      <c r="M732" s="153"/>
      <c r="N732" s="159"/>
    </row>
    <row r="733" spans="1:16" s="3" customFormat="1" ht="18" customHeight="1" hidden="1">
      <c r="A733" s="443">
        <v>725</v>
      </c>
      <c r="B733" s="140"/>
      <c r="C733" s="120"/>
      <c r="D733" s="125" t="s">
        <v>451</v>
      </c>
      <c r="E733" s="154"/>
      <c r="F733" s="154"/>
      <c r="G733" s="1244"/>
      <c r="H733" s="447" t="s">
        <v>24</v>
      </c>
      <c r="I733" s="426"/>
      <c r="J733" s="153"/>
      <c r="K733" s="153"/>
      <c r="L733" s="153"/>
      <c r="M733" s="153"/>
      <c r="N733" s="159"/>
      <c r="O733" s="8"/>
      <c r="P733" s="8"/>
    </row>
    <row r="734" spans="1:14" s="8" customFormat="1" ht="30" customHeight="1" hidden="1">
      <c r="A734" s="443">
        <v>726</v>
      </c>
      <c r="B734" s="141"/>
      <c r="C734" s="423"/>
      <c r="D734" s="125" t="s">
        <v>487</v>
      </c>
      <c r="E734" s="154"/>
      <c r="F734" s="128"/>
      <c r="G734" s="1244"/>
      <c r="H734" s="445" t="s">
        <v>24</v>
      </c>
      <c r="I734" s="426"/>
      <c r="J734" s="153"/>
      <c r="K734" s="153"/>
      <c r="L734" s="153"/>
      <c r="M734" s="153"/>
      <c r="N734" s="159"/>
    </row>
    <row r="735" spans="1:14" s="8" customFormat="1" ht="18" customHeight="1" hidden="1">
      <c r="A735" s="443">
        <v>727</v>
      </c>
      <c r="B735" s="141"/>
      <c r="C735" s="120"/>
      <c r="D735" s="125" t="s">
        <v>462</v>
      </c>
      <c r="E735" s="154"/>
      <c r="F735" s="128"/>
      <c r="G735" s="1244"/>
      <c r="H735" s="445" t="s">
        <v>24</v>
      </c>
      <c r="I735" s="426"/>
      <c r="J735" s="153"/>
      <c r="K735" s="153"/>
      <c r="L735" s="153"/>
      <c r="M735" s="153"/>
      <c r="N735" s="159"/>
    </row>
    <row r="736" spans="1:14" s="8" customFormat="1" ht="18" customHeight="1" hidden="1">
      <c r="A736" s="443">
        <v>728</v>
      </c>
      <c r="B736" s="141"/>
      <c r="C736" s="120"/>
      <c r="D736" s="125" t="s">
        <v>518</v>
      </c>
      <c r="E736" s="154"/>
      <c r="F736" s="128"/>
      <c r="G736" s="1244"/>
      <c r="H736" s="445" t="s">
        <v>24</v>
      </c>
      <c r="I736" s="426"/>
      <c r="J736" s="153"/>
      <c r="K736" s="153"/>
      <c r="L736" s="153"/>
      <c r="M736" s="153"/>
      <c r="N736" s="159"/>
    </row>
    <row r="737" spans="1:14" s="8" customFormat="1" ht="18" customHeight="1" hidden="1">
      <c r="A737" s="443">
        <v>729</v>
      </c>
      <c r="B737" s="141"/>
      <c r="C737" s="120"/>
      <c r="D737" s="125" t="s">
        <v>490</v>
      </c>
      <c r="E737" s="154"/>
      <c r="F737" s="128"/>
      <c r="G737" s="1244"/>
      <c r="H737" s="445" t="s">
        <v>24</v>
      </c>
      <c r="I737" s="426"/>
      <c r="J737" s="153"/>
      <c r="K737" s="153"/>
      <c r="L737" s="153"/>
      <c r="M737" s="153"/>
      <c r="N737" s="159"/>
    </row>
    <row r="738" spans="1:14" s="8" customFormat="1" ht="18" customHeight="1" hidden="1">
      <c r="A738" s="443">
        <v>730</v>
      </c>
      <c r="B738" s="141"/>
      <c r="C738" s="120"/>
      <c r="D738" s="125" t="s">
        <v>519</v>
      </c>
      <c r="E738" s="154"/>
      <c r="F738" s="128"/>
      <c r="G738" s="1244"/>
      <c r="H738" s="445" t="s">
        <v>24</v>
      </c>
      <c r="I738" s="426"/>
      <c r="J738" s="153"/>
      <c r="K738" s="153"/>
      <c r="L738" s="153"/>
      <c r="M738" s="153"/>
      <c r="N738" s="159"/>
    </row>
    <row r="739" spans="1:14" s="8" customFormat="1" ht="18" customHeight="1" hidden="1">
      <c r="A739" s="443">
        <v>731</v>
      </c>
      <c r="B739" s="141"/>
      <c r="C739" s="120"/>
      <c r="D739" s="125" t="s">
        <v>461</v>
      </c>
      <c r="E739" s="154"/>
      <c r="F739" s="128"/>
      <c r="G739" s="1244"/>
      <c r="H739" s="445" t="s">
        <v>24</v>
      </c>
      <c r="I739" s="426"/>
      <c r="J739" s="153"/>
      <c r="K739" s="153"/>
      <c r="L739" s="153"/>
      <c r="M739" s="153"/>
      <c r="N739" s="159"/>
    </row>
    <row r="740" spans="1:14" s="8" customFormat="1" ht="18" customHeight="1" hidden="1">
      <c r="A740" s="443">
        <v>732</v>
      </c>
      <c r="B740" s="141"/>
      <c r="C740" s="120"/>
      <c r="D740" s="125" t="s">
        <v>486</v>
      </c>
      <c r="E740" s="154"/>
      <c r="F740" s="128"/>
      <c r="G740" s="1244"/>
      <c r="H740" s="445" t="s">
        <v>24</v>
      </c>
      <c r="I740" s="426"/>
      <c r="J740" s="153"/>
      <c r="K740" s="153"/>
      <c r="L740" s="153"/>
      <c r="M740" s="153"/>
      <c r="N740" s="159"/>
    </row>
    <row r="741" spans="1:14" s="8" customFormat="1" ht="18" customHeight="1" hidden="1">
      <c r="A741" s="443">
        <v>733</v>
      </c>
      <c r="B741" s="141"/>
      <c r="C741" s="120"/>
      <c r="D741" s="125" t="s">
        <v>488</v>
      </c>
      <c r="E741" s="154"/>
      <c r="F741" s="128"/>
      <c r="G741" s="1244"/>
      <c r="H741" s="445" t="s">
        <v>24</v>
      </c>
      <c r="I741" s="426"/>
      <c r="J741" s="153"/>
      <c r="K741" s="153"/>
      <c r="L741" s="153"/>
      <c r="M741" s="153"/>
      <c r="N741" s="159"/>
    </row>
    <row r="742" spans="1:14" s="8" customFormat="1" ht="18" customHeight="1" hidden="1">
      <c r="A742" s="443">
        <v>734</v>
      </c>
      <c r="B742" s="141"/>
      <c r="C742" s="120"/>
      <c r="D742" s="125" t="s">
        <v>416</v>
      </c>
      <c r="E742" s="154"/>
      <c r="F742" s="128"/>
      <c r="G742" s="1244"/>
      <c r="H742" s="445" t="s">
        <v>23</v>
      </c>
      <c r="I742" s="426"/>
      <c r="J742" s="153"/>
      <c r="K742" s="153"/>
      <c r="L742" s="153"/>
      <c r="M742" s="153"/>
      <c r="N742" s="159"/>
    </row>
    <row r="743" spans="1:16" s="142" customFormat="1" ht="18" customHeight="1" hidden="1">
      <c r="A743" s="443">
        <v>735</v>
      </c>
      <c r="B743" s="141"/>
      <c r="C743" s="120"/>
      <c r="D743" s="125" t="s">
        <v>307</v>
      </c>
      <c r="E743" s="154"/>
      <c r="F743" s="128"/>
      <c r="G743" s="1244"/>
      <c r="H743" s="447" t="s">
        <v>24</v>
      </c>
      <c r="I743" s="426"/>
      <c r="J743" s="153"/>
      <c r="K743" s="153"/>
      <c r="L743" s="153"/>
      <c r="M743" s="153"/>
      <c r="N743" s="159"/>
      <c r="O743" s="115"/>
      <c r="P743" s="8"/>
    </row>
    <row r="744" spans="1:16" s="142" customFormat="1" ht="29.25" customHeight="1" hidden="1">
      <c r="A744" s="443">
        <v>736</v>
      </c>
      <c r="B744" s="141"/>
      <c r="C744" s="423"/>
      <c r="D744" s="121" t="s">
        <v>417</v>
      </c>
      <c r="E744" s="154"/>
      <c r="F744" s="154"/>
      <c r="G744" s="1244"/>
      <c r="H744" s="447" t="s">
        <v>24</v>
      </c>
      <c r="I744" s="426"/>
      <c r="J744" s="153"/>
      <c r="K744" s="153"/>
      <c r="L744" s="153"/>
      <c r="M744" s="153"/>
      <c r="N744" s="159"/>
      <c r="O744" s="115"/>
      <c r="P744" s="8"/>
    </row>
    <row r="745" spans="1:16" s="142" customFormat="1" ht="29.25" customHeight="1" hidden="1">
      <c r="A745" s="443">
        <v>737</v>
      </c>
      <c r="B745" s="141"/>
      <c r="C745" s="423"/>
      <c r="D745" s="121" t="s">
        <v>521</v>
      </c>
      <c r="E745" s="154"/>
      <c r="F745" s="154"/>
      <c r="G745" s="1244"/>
      <c r="H745" s="447" t="s">
        <v>24</v>
      </c>
      <c r="I745" s="426"/>
      <c r="J745" s="153"/>
      <c r="K745" s="153"/>
      <c r="L745" s="153"/>
      <c r="M745" s="153"/>
      <c r="N745" s="159"/>
      <c r="O745" s="115"/>
      <c r="P745" s="8"/>
    </row>
    <row r="746" spans="1:16" s="3" customFormat="1" ht="29.25" customHeight="1" hidden="1">
      <c r="A746" s="443">
        <v>738</v>
      </c>
      <c r="B746" s="123"/>
      <c r="C746" s="423"/>
      <c r="D746" s="125" t="s">
        <v>418</v>
      </c>
      <c r="E746" s="122"/>
      <c r="F746" s="122"/>
      <c r="G746" s="1245"/>
      <c r="H746" s="447" t="s">
        <v>24</v>
      </c>
      <c r="I746" s="426"/>
      <c r="J746" s="153"/>
      <c r="K746" s="153"/>
      <c r="L746" s="153"/>
      <c r="M746" s="153"/>
      <c r="N746" s="159"/>
      <c r="O746" s="8"/>
      <c r="P746" s="8"/>
    </row>
    <row r="747" spans="1:16" s="3" customFormat="1" ht="18" customHeight="1" hidden="1">
      <c r="A747" s="443">
        <v>739</v>
      </c>
      <c r="B747" s="140"/>
      <c r="C747" s="120"/>
      <c r="D747" s="125" t="s">
        <v>502</v>
      </c>
      <c r="E747" s="154"/>
      <c r="F747" s="154"/>
      <c r="G747" s="1244"/>
      <c r="H747" s="447" t="s">
        <v>24</v>
      </c>
      <c r="I747" s="426"/>
      <c r="J747" s="153"/>
      <c r="K747" s="153"/>
      <c r="L747" s="153"/>
      <c r="M747" s="153"/>
      <c r="N747" s="159"/>
      <c r="O747" s="8"/>
      <c r="P747" s="8"/>
    </row>
    <row r="748" spans="1:16" s="142" customFormat="1" ht="18" customHeight="1" hidden="1">
      <c r="A748" s="443">
        <v>740</v>
      </c>
      <c r="B748" s="141"/>
      <c r="C748" s="120"/>
      <c r="D748" s="121" t="s">
        <v>359</v>
      </c>
      <c r="E748" s="154"/>
      <c r="F748" s="154"/>
      <c r="G748" s="1244"/>
      <c r="H748" s="447" t="s">
        <v>24</v>
      </c>
      <c r="I748" s="426"/>
      <c r="J748" s="153"/>
      <c r="K748" s="153"/>
      <c r="L748" s="153"/>
      <c r="M748" s="153"/>
      <c r="N748" s="159"/>
      <c r="P748" s="8"/>
    </row>
    <row r="749" spans="1:16" s="3" customFormat="1" ht="18" customHeight="1" hidden="1">
      <c r="A749" s="443">
        <v>741</v>
      </c>
      <c r="B749" s="140"/>
      <c r="C749" s="120"/>
      <c r="D749" s="121" t="s">
        <v>360</v>
      </c>
      <c r="E749" s="154"/>
      <c r="F749" s="154"/>
      <c r="G749" s="1244"/>
      <c r="H749" s="447" t="s">
        <v>24</v>
      </c>
      <c r="I749" s="426"/>
      <c r="J749" s="153"/>
      <c r="K749" s="153"/>
      <c r="L749" s="153"/>
      <c r="M749" s="153"/>
      <c r="N749" s="159"/>
      <c r="O749" s="8"/>
      <c r="P749" s="8"/>
    </row>
    <row r="750" spans="1:14" s="8" customFormat="1" ht="18" customHeight="1" hidden="1">
      <c r="A750" s="443">
        <v>742</v>
      </c>
      <c r="B750" s="123"/>
      <c r="C750" s="120"/>
      <c r="D750" s="125" t="s">
        <v>371</v>
      </c>
      <c r="E750" s="122"/>
      <c r="F750" s="122"/>
      <c r="G750" s="1245"/>
      <c r="H750" s="447" t="s">
        <v>24</v>
      </c>
      <c r="I750" s="426"/>
      <c r="J750" s="153"/>
      <c r="K750" s="153"/>
      <c r="L750" s="153"/>
      <c r="M750" s="153"/>
      <c r="N750" s="159"/>
    </row>
    <row r="751" spans="1:16" s="3" customFormat="1" ht="18" customHeight="1" hidden="1">
      <c r="A751" s="443">
        <v>743</v>
      </c>
      <c r="B751" s="123"/>
      <c r="C751" s="120"/>
      <c r="D751" s="125" t="s">
        <v>370</v>
      </c>
      <c r="E751" s="122"/>
      <c r="F751" s="122"/>
      <c r="G751" s="1245"/>
      <c r="H751" s="447" t="s">
        <v>24</v>
      </c>
      <c r="I751" s="426"/>
      <c r="J751" s="153"/>
      <c r="K751" s="153"/>
      <c r="L751" s="153"/>
      <c r="M751" s="153"/>
      <c r="N751" s="159"/>
      <c r="O751" s="8"/>
      <c r="P751" s="8"/>
    </row>
    <row r="752" spans="1:16" s="3" customFormat="1" ht="18" customHeight="1" hidden="1">
      <c r="A752" s="443">
        <v>744</v>
      </c>
      <c r="B752" s="123"/>
      <c r="C752" s="120"/>
      <c r="D752" s="125" t="s">
        <v>522</v>
      </c>
      <c r="E752" s="122"/>
      <c r="F752" s="122"/>
      <c r="G752" s="1245"/>
      <c r="H752" s="447" t="s">
        <v>24</v>
      </c>
      <c r="I752" s="426"/>
      <c r="J752" s="153"/>
      <c r="K752" s="153"/>
      <c r="L752" s="153"/>
      <c r="M752" s="153"/>
      <c r="N752" s="159"/>
      <c r="O752" s="8"/>
      <c r="P752" s="8"/>
    </row>
    <row r="753" spans="1:16" s="3" customFormat="1" ht="18" customHeight="1" hidden="1">
      <c r="A753" s="443">
        <v>745</v>
      </c>
      <c r="B753" s="140"/>
      <c r="C753" s="120"/>
      <c r="D753" s="125" t="s">
        <v>452</v>
      </c>
      <c r="E753" s="154"/>
      <c r="F753" s="154"/>
      <c r="G753" s="1244"/>
      <c r="H753" s="447" t="s">
        <v>24</v>
      </c>
      <c r="I753" s="426"/>
      <c r="J753" s="153"/>
      <c r="K753" s="153"/>
      <c r="L753" s="153"/>
      <c r="M753" s="153"/>
      <c r="N753" s="159"/>
      <c r="O753" s="8"/>
      <c r="P753" s="8"/>
    </row>
    <row r="754" spans="1:16" s="3" customFormat="1" ht="29.25" customHeight="1" hidden="1">
      <c r="A754" s="443">
        <v>746</v>
      </c>
      <c r="B754" s="140"/>
      <c r="C754" s="423"/>
      <c r="D754" s="125" t="s">
        <v>426</v>
      </c>
      <c r="E754" s="154"/>
      <c r="F754" s="154"/>
      <c r="G754" s="1244"/>
      <c r="H754" s="460" t="s">
        <v>24</v>
      </c>
      <c r="I754" s="426"/>
      <c r="J754" s="153"/>
      <c r="K754" s="153"/>
      <c r="L754" s="153"/>
      <c r="M754" s="153"/>
      <c r="N754" s="159"/>
      <c r="O754" s="8"/>
      <c r="P754" s="8"/>
    </row>
    <row r="755" spans="1:16" s="3" customFormat="1" ht="29.25" customHeight="1" hidden="1">
      <c r="A755" s="443">
        <v>747</v>
      </c>
      <c r="B755" s="140"/>
      <c r="C755" s="423"/>
      <c r="D755" s="125" t="s">
        <v>523</v>
      </c>
      <c r="E755" s="154"/>
      <c r="F755" s="154"/>
      <c r="G755" s="1244"/>
      <c r="H755" s="460" t="s">
        <v>24</v>
      </c>
      <c r="I755" s="426"/>
      <c r="J755" s="153"/>
      <c r="K755" s="153"/>
      <c r="L755" s="153"/>
      <c r="M755" s="153"/>
      <c r="N755" s="159"/>
      <c r="O755" s="8"/>
      <c r="P755" s="8"/>
    </row>
    <row r="756" spans="1:16" s="3" customFormat="1" ht="18" customHeight="1" hidden="1">
      <c r="A756" s="443">
        <v>748</v>
      </c>
      <c r="B756" s="140"/>
      <c r="C756" s="120"/>
      <c r="D756" s="125" t="s">
        <v>524</v>
      </c>
      <c r="E756" s="154"/>
      <c r="F756" s="154"/>
      <c r="G756" s="1244"/>
      <c r="H756" s="460" t="s">
        <v>24</v>
      </c>
      <c r="I756" s="426"/>
      <c r="J756" s="153"/>
      <c r="K756" s="153"/>
      <c r="L756" s="153"/>
      <c r="M756" s="153"/>
      <c r="N756" s="159"/>
      <c r="O756" s="8"/>
      <c r="P756" s="8"/>
    </row>
    <row r="757" spans="1:16" s="3" customFormat="1" ht="18" customHeight="1" hidden="1">
      <c r="A757" s="443">
        <v>749</v>
      </c>
      <c r="B757" s="140"/>
      <c r="C757" s="120"/>
      <c r="D757" s="125" t="s">
        <v>525</v>
      </c>
      <c r="E757" s="154"/>
      <c r="F757" s="154"/>
      <c r="G757" s="1244"/>
      <c r="H757" s="460" t="s">
        <v>24</v>
      </c>
      <c r="I757" s="426"/>
      <c r="J757" s="153"/>
      <c r="K757" s="153"/>
      <c r="L757" s="153"/>
      <c r="M757" s="153"/>
      <c r="N757" s="159"/>
      <c r="O757" s="8"/>
      <c r="P757" s="8"/>
    </row>
    <row r="758" spans="1:16" s="3" customFormat="1" ht="18" customHeight="1" hidden="1">
      <c r="A758" s="443">
        <v>750</v>
      </c>
      <c r="B758" s="140"/>
      <c r="C758" s="120"/>
      <c r="D758" s="125" t="s">
        <v>526</v>
      </c>
      <c r="E758" s="154"/>
      <c r="F758" s="154"/>
      <c r="G758" s="1244"/>
      <c r="H758" s="460" t="s">
        <v>24</v>
      </c>
      <c r="I758" s="426"/>
      <c r="J758" s="153"/>
      <c r="K758" s="153"/>
      <c r="L758" s="153"/>
      <c r="M758" s="153"/>
      <c r="N758" s="159"/>
      <c r="O758" s="8"/>
      <c r="P758" s="8"/>
    </row>
    <row r="759" spans="1:16" s="3" customFormat="1" ht="18" customHeight="1" hidden="1">
      <c r="A759" s="443">
        <v>751</v>
      </c>
      <c r="B759" s="140"/>
      <c r="C759" s="120"/>
      <c r="D759" s="125" t="s">
        <v>453</v>
      </c>
      <c r="E759" s="154"/>
      <c r="F759" s="154"/>
      <c r="G759" s="1244"/>
      <c r="H759" s="447" t="s">
        <v>24</v>
      </c>
      <c r="I759" s="426"/>
      <c r="J759" s="153"/>
      <c r="K759" s="153"/>
      <c r="L759" s="153"/>
      <c r="M759" s="153"/>
      <c r="N759" s="159"/>
      <c r="O759" s="8"/>
      <c r="P759" s="8"/>
    </row>
    <row r="760" spans="1:16" s="3" customFormat="1" ht="18" customHeight="1" hidden="1">
      <c r="A760" s="443">
        <v>752</v>
      </c>
      <c r="B760" s="140"/>
      <c r="C760" s="120"/>
      <c r="D760" s="125" t="s">
        <v>527</v>
      </c>
      <c r="E760" s="154"/>
      <c r="F760" s="154"/>
      <c r="G760" s="1244"/>
      <c r="H760" s="447" t="s">
        <v>24</v>
      </c>
      <c r="I760" s="426"/>
      <c r="J760" s="153"/>
      <c r="K760" s="153"/>
      <c r="L760" s="153"/>
      <c r="M760" s="153"/>
      <c r="N760" s="159"/>
      <c r="O760" s="8"/>
      <c r="P760" s="8"/>
    </row>
    <row r="761" spans="1:16" s="3" customFormat="1" ht="29.25" customHeight="1" hidden="1">
      <c r="A761" s="443">
        <v>753</v>
      </c>
      <c r="B761" s="140"/>
      <c r="C761" s="423"/>
      <c r="D761" s="125" t="s">
        <v>467</v>
      </c>
      <c r="E761" s="154"/>
      <c r="F761" s="154"/>
      <c r="G761" s="1244"/>
      <c r="H761" s="460" t="s">
        <v>24</v>
      </c>
      <c r="I761" s="426"/>
      <c r="J761" s="153"/>
      <c r="K761" s="153"/>
      <c r="L761" s="153"/>
      <c r="M761" s="153"/>
      <c r="N761" s="159"/>
      <c r="O761" s="8"/>
      <c r="P761" s="8"/>
    </row>
    <row r="762" spans="1:16" s="3" customFormat="1" ht="18" customHeight="1" hidden="1">
      <c r="A762" s="443">
        <v>754</v>
      </c>
      <c r="B762" s="140"/>
      <c r="C762" s="120"/>
      <c r="D762" s="125" t="s">
        <v>466</v>
      </c>
      <c r="E762" s="154"/>
      <c r="F762" s="154"/>
      <c r="G762" s="1244"/>
      <c r="H762" s="447" t="s">
        <v>24</v>
      </c>
      <c r="I762" s="426"/>
      <c r="J762" s="153"/>
      <c r="K762" s="153"/>
      <c r="L762" s="153"/>
      <c r="M762" s="153"/>
      <c r="N762" s="159"/>
      <c r="O762" s="8"/>
      <c r="P762" s="8"/>
    </row>
    <row r="763" spans="1:16" s="3" customFormat="1" ht="18" customHeight="1" hidden="1">
      <c r="A763" s="443">
        <v>755</v>
      </c>
      <c r="B763" s="140"/>
      <c r="C763" s="120"/>
      <c r="D763" s="125" t="s">
        <v>469</v>
      </c>
      <c r="E763" s="154"/>
      <c r="F763" s="154"/>
      <c r="G763" s="1244"/>
      <c r="H763" s="447" t="s">
        <v>24</v>
      </c>
      <c r="I763" s="426"/>
      <c r="J763" s="153"/>
      <c r="K763" s="153"/>
      <c r="L763" s="153"/>
      <c r="M763" s="153"/>
      <c r="N763" s="159"/>
      <c r="O763" s="8"/>
      <c r="P763" s="8"/>
    </row>
    <row r="764" spans="1:16" s="3" customFormat="1" ht="18" customHeight="1" hidden="1">
      <c r="A764" s="443">
        <v>756</v>
      </c>
      <c r="B764" s="140"/>
      <c r="C764" s="120"/>
      <c r="D764" s="125" t="s">
        <v>528</v>
      </c>
      <c r="E764" s="154"/>
      <c r="F764" s="154"/>
      <c r="G764" s="1244"/>
      <c r="H764" s="447" t="s">
        <v>24</v>
      </c>
      <c r="I764" s="426"/>
      <c r="J764" s="153"/>
      <c r="K764" s="153"/>
      <c r="L764" s="153"/>
      <c r="M764" s="153"/>
      <c r="N764" s="159"/>
      <c r="O764" s="8"/>
      <c r="P764" s="8"/>
    </row>
    <row r="765" spans="1:16" s="3" customFormat="1" ht="18" customHeight="1" hidden="1">
      <c r="A765" s="443">
        <v>757</v>
      </c>
      <c r="B765" s="140"/>
      <c r="C765" s="120"/>
      <c r="D765" s="125" t="s">
        <v>529</v>
      </c>
      <c r="E765" s="154"/>
      <c r="F765" s="154"/>
      <c r="G765" s="1244"/>
      <c r="H765" s="447" t="s">
        <v>24</v>
      </c>
      <c r="I765" s="426"/>
      <c r="J765" s="153"/>
      <c r="K765" s="153"/>
      <c r="L765" s="153"/>
      <c r="M765" s="153"/>
      <c r="N765" s="159"/>
      <c r="O765" s="8"/>
      <c r="P765" s="8"/>
    </row>
    <row r="766" spans="1:16" s="3" customFormat="1" ht="18" customHeight="1" hidden="1">
      <c r="A766" s="443">
        <v>758</v>
      </c>
      <c r="B766" s="140"/>
      <c r="C766" s="120"/>
      <c r="D766" s="125" t="s">
        <v>530</v>
      </c>
      <c r="E766" s="154"/>
      <c r="F766" s="154"/>
      <c r="G766" s="1244"/>
      <c r="H766" s="447" t="s">
        <v>24</v>
      </c>
      <c r="I766" s="426"/>
      <c r="J766" s="153"/>
      <c r="K766" s="153"/>
      <c r="L766" s="153"/>
      <c r="M766" s="153"/>
      <c r="N766" s="159"/>
      <c r="O766" s="8"/>
      <c r="P766" s="8"/>
    </row>
    <row r="767" spans="1:16" s="3" customFormat="1" ht="18" customHeight="1" hidden="1">
      <c r="A767" s="443">
        <v>759</v>
      </c>
      <c r="B767" s="140"/>
      <c r="C767" s="120"/>
      <c r="D767" s="125" t="s">
        <v>531</v>
      </c>
      <c r="E767" s="154"/>
      <c r="F767" s="154"/>
      <c r="G767" s="1244"/>
      <c r="H767" s="447" t="s">
        <v>24</v>
      </c>
      <c r="I767" s="426"/>
      <c r="J767" s="153"/>
      <c r="K767" s="153"/>
      <c r="L767" s="153"/>
      <c r="M767" s="153"/>
      <c r="N767" s="159"/>
      <c r="O767" s="8"/>
      <c r="P767" s="8"/>
    </row>
    <row r="768" spans="1:16" s="3" customFormat="1" ht="18" customHeight="1" hidden="1">
      <c r="A768" s="443">
        <v>760</v>
      </c>
      <c r="B768" s="140"/>
      <c r="C768" s="120"/>
      <c r="D768" s="125" t="s">
        <v>532</v>
      </c>
      <c r="E768" s="154"/>
      <c r="F768" s="154"/>
      <c r="G768" s="1244"/>
      <c r="H768" s="447" t="s">
        <v>24</v>
      </c>
      <c r="I768" s="426"/>
      <c r="J768" s="153"/>
      <c r="K768" s="153"/>
      <c r="L768" s="153"/>
      <c r="M768" s="153"/>
      <c r="N768" s="159"/>
      <c r="O768" s="8"/>
      <c r="P768" s="8"/>
    </row>
    <row r="769" spans="1:16" s="3" customFormat="1" ht="18" customHeight="1" hidden="1">
      <c r="A769" s="443">
        <v>761</v>
      </c>
      <c r="B769" s="140"/>
      <c r="C769" s="120"/>
      <c r="D769" s="125" t="s">
        <v>533</v>
      </c>
      <c r="E769" s="154"/>
      <c r="F769" s="154"/>
      <c r="G769" s="1244"/>
      <c r="H769" s="447" t="s">
        <v>24</v>
      </c>
      <c r="I769" s="426"/>
      <c r="J769" s="153"/>
      <c r="K769" s="153"/>
      <c r="L769" s="153"/>
      <c r="M769" s="153"/>
      <c r="N769" s="159"/>
      <c r="O769" s="8"/>
      <c r="P769" s="8"/>
    </row>
    <row r="770" spans="1:16" s="3" customFormat="1" ht="29.25" customHeight="1" hidden="1">
      <c r="A770" s="443">
        <v>762</v>
      </c>
      <c r="B770" s="140"/>
      <c r="C770" s="423"/>
      <c r="D770" s="125" t="s">
        <v>463</v>
      </c>
      <c r="E770" s="154"/>
      <c r="F770" s="154"/>
      <c r="G770" s="1244"/>
      <c r="H770" s="460" t="s">
        <v>24</v>
      </c>
      <c r="I770" s="426"/>
      <c r="J770" s="153"/>
      <c r="K770" s="153"/>
      <c r="L770" s="153"/>
      <c r="M770" s="153"/>
      <c r="N770" s="159"/>
      <c r="O770" s="8"/>
      <c r="P770" s="8"/>
    </row>
    <row r="771" spans="1:16" s="142" customFormat="1" ht="18" customHeight="1" hidden="1">
      <c r="A771" s="443">
        <v>763</v>
      </c>
      <c r="B771" s="141"/>
      <c r="C771" s="120"/>
      <c r="D771" s="121" t="s">
        <v>119</v>
      </c>
      <c r="E771" s="154"/>
      <c r="F771" s="154"/>
      <c r="G771" s="1244"/>
      <c r="H771" s="447" t="s">
        <v>24</v>
      </c>
      <c r="I771" s="426"/>
      <c r="J771" s="153"/>
      <c r="K771" s="153"/>
      <c r="L771" s="153"/>
      <c r="M771" s="153"/>
      <c r="N771" s="159"/>
      <c r="O771" s="115"/>
      <c r="P771" s="8"/>
    </row>
    <row r="772" spans="1:16" s="142" customFormat="1" ht="18" customHeight="1" hidden="1">
      <c r="A772" s="443">
        <v>764</v>
      </c>
      <c r="B772" s="141"/>
      <c r="C772" s="120"/>
      <c r="D772" s="125" t="s">
        <v>449</v>
      </c>
      <c r="E772" s="154"/>
      <c r="F772" s="154"/>
      <c r="G772" s="1244"/>
      <c r="H772" s="447" t="s">
        <v>24</v>
      </c>
      <c r="I772" s="426"/>
      <c r="J772" s="153"/>
      <c r="K772" s="153"/>
      <c r="L772" s="153"/>
      <c r="M772" s="153"/>
      <c r="N772" s="159"/>
      <c r="O772" s="115"/>
      <c r="P772" s="8"/>
    </row>
    <row r="773" spans="1:16" s="142" customFormat="1" ht="18" customHeight="1" hidden="1">
      <c r="A773" s="443">
        <v>765</v>
      </c>
      <c r="B773" s="141"/>
      <c r="C773" s="120"/>
      <c r="D773" s="125" t="s">
        <v>541</v>
      </c>
      <c r="E773" s="154"/>
      <c r="F773" s="154"/>
      <c r="G773" s="1244"/>
      <c r="H773" s="447" t="s">
        <v>24</v>
      </c>
      <c r="I773" s="426"/>
      <c r="J773" s="153"/>
      <c r="K773" s="153"/>
      <c r="L773" s="153"/>
      <c r="M773" s="153"/>
      <c r="N773" s="159"/>
      <c r="O773" s="115"/>
      <c r="P773" s="8"/>
    </row>
    <row r="774" spans="1:16" s="142" customFormat="1" ht="18" customHeight="1" hidden="1">
      <c r="A774" s="443">
        <v>766</v>
      </c>
      <c r="B774" s="141"/>
      <c r="C774" s="120"/>
      <c r="D774" s="125" t="s">
        <v>542</v>
      </c>
      <c r="E774" s="154"/>
      <c r="F774" s="154"/>
      <c r="G774" s="1244"/>
      <c r="H774" s="447" t="s">
        <v>24</v>
      </c>
      <c r="I774" s="426"/>
      <c r="J774" s="153"/>
      <c r="K774" s="153"/>
      <c r="L774" s="153"/>
      <c r="M774" s="153"/>
      <c r="N774" s="159"/>
      <c r="O774" s="115"/>
      <c r="P774" s="8"/>
    </row>
    <row r="775" spans="1:16" s="3" customFormat="1" ht="29.25" customHeight="1" hidden="1">
      <c r="A775" s="443">
        <v>767</v>
      </c>
      <c r="B775" s="140"/>
      <c r="C775" s="423"/>
      <c r="D775" s="125" t="s">
        <v>545</v>
      </c>
      <c r="E775" s="154"/>
      <c r="F775" s="154"/>
      <c r="G775" s="1244"/>
      <c r="H775" s="460" t="s">
        <v>23</v>
      </c>
      <c r="I775" s="426"/>
      <c r="J775" s="153"/>
      <c r="K775" s="153"/>
      <c r="L775" s="153"/>
      <c r="M775" s="153"/>
      <c r="N775" s="159"/>
      <c r="O775" s="8"/>
      <c r="P775" s="8"/>
    </row>
    <row r="776" spans="1:14" s="8" customFormat="1" ht="22.5" customHeight="1" hidden="1">
      <c r="A776" s="443">
        <v>768</v>
      </c>
      <c r="B776" s="123"/>
      <c r="C776" s="120"/>
      <c r="D776" s="139" t="s">
        <v>268</v>
      </c>
      <c r="E776" s="122"/>
      <c r="F776" s="122"/>
      <c r="G776" s="1245"/>
      <c r="H776" s="447"/>
      <c r="I776" s="426"/>
      <c r="J776" s="153"/>
      <c r="K776" s="153"/>
      <c r="L776" s="153"/>
      <c r="M776" s="153"/>
      <c r="N776" s="159"/>
    </row>
    <row r="777" spans="1:16" s="3" customFormat="1" ht="18" customHeight="1" hidden="1">
      <c r="A777" s="443">
        <v>769</v>
      </c>
      <c r="B777" s="123"/>
      <c r="C777" s="120"/>
      <c r="D777" s="121" t="s">
        <v>534</v>
      </c>
      <c r="E777" s="122"/>
      <c r="F777" s="122"/>
      <c r="G777" s="1245"/>
      <c r="H777" s="445" t="s">
        <v>24</v>
      </c>
      <c r="I777" s="427"/>
      <c r="J777" s="129"/>
      <c r="K777" s="129"/>
      <c r="L777" s="129"/>
      <c r="M777" s="129"/>
      <c r="N777" s="130"/>
      <c r="O777" s="8"/>
      <c r="P777" s="8"/>
    </row>
    <row r="778" spans="1:16" s="3" customFormat="1" ht="18" customHeight="1" hidden="1">
      <c r="A778" s="443">
        <v>770</v>
      </c>
      <c r="B778" s="123"/>
      <c r="C778" s="120"/>
      <c r="D778" s="121" t="s">
        <v>271</v>
      </c>
      <c r="E778" s="122"/>
      <c r="F778" s="122"/>
      <c r="G778" s="1245"/>
      <c r="H778" s="445" t="s">
        <v>24</v>
      </c>
      <c r="I778" s="427"/>
      <c r="J778" s="129"/>
      <c r="K778" s="129"/>
      <c r="L778" s="129"/>
      <c r="M778" s="129"/>
      <c r="N778" s="130"/>
      <c r="O778" s="8"/>
      <c r="P778" s="8"/>
    </row>
    <row r="779" spans="1:16" s="3" customFormat="1" ht="18" customHeight="1" hidden="1">
      <c r="A779" s="443">
        <v>771</v>
      </c>
      <c r="B779" s="123"/>
      <c r="C779" s="120"/>
      <c r="D779" s="121" t="s">
        <v>535</v>
      </c>
      <c r="E779" s="122"/>
      <c r="F779" s="122"/>
      <c r="G779" s="1245"/>
      <c r="H779" s="445" t="s">
        <v>24</v>
      </c>
      <c r="I779" s="427"/>
      <c r="J779" s="129"/>
      <c r="K779" s="129"/>
      <c r="L779" s="129"/>
      <c r="M779" s="129"/>
      <c r="N779" s="130"/>
      <c r="O779" s="8"/>
      <c r="P779" s="8"/>
    </row>
    <row r="780" spans="1:16" s="3" customFormat="1" ht="18" customHeight="1" hidden="1">
      <c r="A780" s="443">
        <v>772</v>
      </c>
      <c r="B780" s="123"/>
      <c r="C780" s="120"/>
      <c r="D780" s="121" t="s">
        <v>32</v>
      </c>
      <c r="E780" s="122"/>
      <c r="F780" s="122"/>
      <c r="G780" s="1245"/>
      <c r="H780" s="445" t="s">
        <v>24</v>
      </c>
      <c r="I780" s="427"/>
      <c r="J780" s="129"/>
      <c r="K780" s="129"/>
      <c r="L780" s="129"/>
      <c r="M780" s="129"/>
      <c r="N780" s="130"/>
      <c r="O780" s="8"/>
      <c r="P780" s="8"/>
    </row>
    <row r="781" spans="1:16" s="3" customFormat="1" ht="18" customHeight="1" hidden="1">
      <c r="A781" s="443">
        <v>773</v>
      </c>
      <c r="B781" s="123"/>
      <c r="C781" s="120"/>
      <c r="D781" s="121" t="s">
        <v>456</v>
      </c>
      <c r="E781" s="122"/>
      <c r="F781" s="122"/>
      <c r="G781" s="1245"/>
      <c r="H781" s="445" t="s">
        <v>24</v>
      </c>
      <c r="I781" s="427"/>
      <c r="J781" s="129"/>
      <c r="K781" s="129"/>
      <c r="L781" s="129"/>
      <c r="M781" s="129"/>
      <c r="N781" s="130"/>
      <c r="O781" s="8"/>
      <c r="P781" s="8"/>
    </row>
    <row r="782" spans="1:16" s="3" customFormat="1" ht="18" customHeight="1" hidden="1">
      <c r="A782" s="443">
        <v>774</v>
      </c>
      <c r="B782" s="123"/>
      <c r="C782" s="120"/>
      <c r="D782" s="121" t="s">
        <v>457</v>
      </c>
      <c r="E782" s="122"/>
      <c r="F782" s="122"/>
      <c r="G782" s="1245"/>
      <c r="H782" s="445" t="s">
        <v>24</v>
      </c>
      <c r="I782" s="427"/>
      <c r="J782" s="129"/>
      <c r="K782" s="129"/>
      <c r="L782" s="129"/>
      <c r="M782" s="129"/>
      <c r="N782" s="130"/>
      <c r="O782" s="8"/>
      <c r="P782" s="8"/>
    </row>
    <row r="783" spans="1:16" s="3" customFormat="1" ht="18" customHeight="1" hidden="1">
      <c r="A783" s="443">
        <v>775</v>
      </c>
      <c r="B783" s="123"/>
      <c r="C783" s="120"/>
      <c r="D783" s="121" t="s">
        <v>458</v>
      </c>
      <c r="E783" s="122"/>
      <c r="F783" s="122"/>
      <c r="G783" s="1245"/>
      <c r="H783" s="445" t="s">
        <v>24</v>
      </c>
      <c r="I783" s="427"/>
      <c r="J783" s="129"/>
      <c r="K783" s="129"/>
      <c r="L783" s="129"/>
      <c r="M783" s="129"/>
      <c r="N783" s="130"/>
      <c r="O783" s="8"/>
      <c r="P783" s="8"/>
    </row>
    <row r="784" spans="1:16" s="3" customFormat="1" ht="18" customHeight="1" hidden="1">
      <c r="A784" s="443">
        <v>776</v>
      </c>
      <c r="B784" s="123"/>
      <c r="C784" s="120"/>
      <c r="D784" s="121" t="s">
        <v>459</v>
      </c>
      <c r="E784" s="122"/>
      <c r="F784" s="122"/>
      <c r="G784" s="1245"/>
      <c r="H784" s="445" t="s">
        <v>24</v>
      </c>
      <c r="I784" s="427"/>
      <c r="J784" s="129"/>
      <c r="K784" s="129"/>
      <c r="L784" s="129"/>
      <c r="M784" s="129"/>
      <c r="N784" s="130"/>
      <c r="O784" s="8"/>
      <c r="P784" s="8"/>
    </row>
    <row r="785" spans="1:16" s="3" customFormat="1" ht="18" customHeight="1" hidden="1">
      <c r="A785" s="443">
        <v>777</v>
      </c>
      <c r="B785" s="123"/>
      <c r="C785" s="120"/>
      <c r="D785" s="121" t="s">
        <v>642</v>
      </c>
      <c r="E785" s="122"/>
      <c r="F785" s="122"/>
      <c r="G785" s="1245"/>
      <c r="H785" s="445" t="s">
        <v>24</v>
      </c>
      <c r="I785" s="426"/>
      <c r="J785" s="129"/>
      <c r="K785" s="129"/>
      <c r="L785" s="129"/>
      <c r="M785" s="129"/>
      <c r="N785" s="130"/>
      <c r="O785" s="8"/>
      <c r="P785" s="8"/>
    </row>
    <row r="786" spans="1:16" s="3" customFormat="1" ht="18" customHeight="1" hidden="1">
      <c r="A786" s="443">
        <v>778</v>
      </c>
      <c r="B786" s="123"/>
      <c r="C786" s="120"/>
      <c r="D786" s="121" t="s">
        <v>643</v>
      </c>
      <c r="E786" s="122"/>
      <c r="F786" s="122"/>
      <c r="G786" s="1245"/>
      <c r="H786" s="445" t="s">
        <v>24</v>
      </c>
      <c r="I786" s="427"/>
      <c r="J786" s="129"/>
      <c r="K786" s="129"/>
      <c r="L786" s="129"/>
      <c r="M786" s="129"/>
      <c r="N786" s="130"/>
      <c r="O786" s="8"/>
      <c r="P786" s="8"/>
    </row>
    <row r="787" spans="1:16" s="3" customFormat="1" ht="18" customHeight="1" hidden="1">
      <c r="A787" s="443">
        <v>779</v>
      </c>
      <c r="B787" s="123"/>
      <c r="C787" s="120"/>
      <c r="D787" s="121" t="s">
        <v>536</v>
      </c>
      <c r="E787" s="122"/>
      <c r="F787" s="122"/>
      <c r="G787" s="1245"/>
      <c r="H787" s="445" t="s">
        <v>24</v>
      </c>
      <c r="I787" s="427"/>
      <c r="J787" s="129"/>
      <c r="K787" s="129"/>
      <c r="L787" s="129"/>
      <c r="M787" s="129"/>
      <c r="N787" s="130"/>
      <c r="O787" s="8"/>
      <c r="P787" s="8"/>
    </row>
    <row r="788" spans="1:16" s="3" customFormat="1" ht="22.5" customHeight="1" hidden="1">
      <c r="A788" s="443">
        <v>780</v>
      </c>
      <c r="B788" s="123"/>
      <c r="C788" s="120"/>
      <c r="D788" s="139" t="s">
        <v>273</v>
      </c>
      <c r="E788" s="122"/>
      <c r="F788" s="122"/>
      <c r="G788" s="1245"/>
      <c r="H788" s="445"/>
      <c r="I788" s="427"/>
      <c r="J788" s="129"/>
      <c r="K788" s="129"/>
      <c r="L788" s="129"/>
      <c r="M788" s="129"/>
      <c r="N788" s="130"/>
      <c r="O788" s="8"/>
      <c r="P788" s="8"/>
    </row>
    <row r="789" spans="1:16" s="3" customFormat="1" ht="18" customHeight="1" hidden="1">
      <c r="A789" s="443">
        <v>781</v>
      </c>
      <c r="B789" s="123"/>
      <c r="C789" s="120"/>
      <c r="D789" s="121" t="s">
        <v>538</v>
      </c>
      <c r="E789" s="122"/>
      <c r="F789" s="122"/>
      <c r="G789" s="1245"/>
      <c r="H789" s="445" t="s">
        <v>24</v>
      </c>
      <c r="I789" s="427"/>
      <c r="J789" s="129"/>
      <c r="K789" s="129"/>
      <c r="L789" s="129"/>
      <c r="M789" s="129"/>
      <c r="N789" s="130"/>
      <c r="O789" s="8"/>
      <c r="P789" s="8"/>
    </row>
    <row r="790" spans="1:16" s="3" customFormat="1" ht="18" customHeight="1" hidden="1">
      <c r="A790" s="443">
        <v>782</v>
      </c>
      <c r="B790" s="123"/>
      <c r="C790" s="120"/>
      <c r="D790" s="121" t="s">
        <v>285</v>
      </c>
      <c r="E790" s="122"/>
      <c r="F790" s="122"/>
      <c r="G790" s="1245"/>
      <c r="H790" s="445" t="s">
        <v>24</v>
      </c>
      <c r="I790" s="427"/>
      <c r="J790" s="129"/>
      <c r="K790" s="129"/>
      <c r="L790" s="129"/>
      <c r="M790" s="129"/>
      <c r="N790" s="130"/>
      <c r="O790" s="8"/>
      <c r="P790" s="8"/>
    </row>
    <row r="791" spans="1:16" s="3" customFormat="1" ht="18" customHeight="1" hidden="1">
      <c r="A791" s="443">
        <v>783</v>
      </c>
      <c r="B791" s="123"/>
      <c r="C791" s="120"/>
      <c r="D791" s="121" t="s">
        <v>308</v>
      </c>
      <c r="E791" s="122"/>
      <c r="F791" s="122"/>
      <c r="G791" s="1245"/>
      <c r="H791" s="445" t="s">
        <v>24</v>
      </c>
      <c r="I791" s="427"/>
      <c r="J791" s="129"/>
      <c r="K791" s="129"/>
      <c r="L791" s="129"/>
      <c r="M791" s="129"/>
      <c r="N791" s="130"/>
      <c r="O791" s="8"/>
      <c r="P791" s="8"/>
    </row>
    <row r="792" spans="1:16" s="3" customFormat="1" ht="18" customHeight="1" hidden="1">
      <c r="A792" s="443">
        <v>784</v>
      </c>
      <c r="B792" s="123"/>
      <c r="C792" s="120"/>
      <c r="D792" s="121" t="s">
        <v>539</v>
      </c>
      <c r="E792" s="122"/>
      <c r="F792" s="122"/>
      <c r="G792" s="1245"/>
      <c r="H792" s="445" t="s">
        <v>24</v>
      </c>
      <c r="I792" s="427"/>
      <c r="J792" s="129"/>
      <c r="K792" s="129"/>
      <c r="L792" s="129"/>
      <c r="M792" s="129"/>
      <c r="N792" s="130"/>
      <c r="O792" s="8"/>
      <c r="P792" s="8"/>
    </row>
    <row r="793" spans="1:16" s="3" customFormat="1" ht="18" customHeight="1" hidden="1">
      <c r="A793" s="443">
        <v>785</v>
      </c>
      <c r="B793" s="123"/>
      <c r="C793" s="120"/>
      <c r="D793" s="121" t="s">
        <v>540</v>
      </c>
      <c r="E793" s="122"/>
      <c r="F793" s="122"/>
      <c r="G793" s="1245"/>
      <c r="H793" s="445" t="s">
        <v>24</v>
      </c>
      <c r="I793" s="427"/>
      <c r="J793" s="129"/>
      <c r="K793" s="129"/>
      <c r="L793" s="129"/>
      <c r="M793" s="129"/>
      <c r="N793" s="130"/>
      <c r="O793" s="8"/>
      <c r="P793" s="8"/>
    </row>
    <row r="794" spans="1:14" s="8" customFormat="1" ht="19.5" customHeight="1" hidden="1">
      <c r="A794" s="443">
        <v>786</v>
      </c>
      <c r="B794" s="342"/>
      <c r="C794" s="120"/>
      <c r="D794" s="343"/>
      <c r="E794" s="477"/>
      <c r="F794" s="477"/>
      <c r="G794" s="1274"/>
      <c r="H794" s="445" t="s">
        <v>24</v>
      </c>
      <c r="I794" s="344"/>
      <c r="J794" s="345"/>
      <c r="K794" s="345"/>
      <c r="L794" s="345"/>
      <c r="M794" s="345"/>
      <c r="N794" s="418"/>
    </row>
    <row r="795" spans="1:14" s="8" customFormat="1" ht="19.5" customHeight="1" hidden="1">
      <c r="A795" s="443">
        <v>787</v>
      </c>
      <c r="B795" s="140"/>
      <c r="C795" s="120"/>
      <c r="D795" s="424" t="s">
        <v>419</v>
      </c>
      <c r="E795" s="154"/>
      <c r="F795" s="154"/>
      <c r="G795" s="1244"/>
      <c r="H795" s="445" t="s">
        <v>24</v>
      </c>
      <c r="I795" s="442"/>
      <c r="J795" s="461"/>
      <c r="K795" s="461"/>
      <c r="L795" s="461"/>
      <c r="M795" s="461"/>
      <c r="N795" s="465"/>
    </row>
    <row r="796" spans="1:14" s="8" customFormat="1" ht="19.5" customHeight="1" hidden="1">
      <c r="A796" s="443">
        <v>788</v>
      </c>
      <c r="B796" s="123"/>
      <c r="C796" s="120"/>
      <c r="D796" s="121" t="s">
        <v>447</v>
      </c>
      <c r="E796" s="122"/>
      <c r="F796" s="122"/>
      <c r="G796" s="1245"/>
      <c r="H796" s="445" t="s">
        <v>24</v>
      </c>
      <c r="I796" s="462"/>
      <c r="J796" s="129"/>
      <c r="K796" s="129"/>
      <c r="L796" s="129"/>
      <c r="M796" s="129"/>
      <c r="N796" s="130"/>
    </row>
    <row r="797" spans="1:14" s="8" customFormat="1" ht="19.5" customHeight="1" hidden="1">
      <c r="A797" s="443">
        <v>789</v>
      </c>
      <c r="B797" s="123"/>
      <c r="C797" s="120"/>
      <c r="D797" s="121" t="s">
        <v>448</v>
      </c>
      <c r="E797" s="122"/>
      <c r="F797" s="122"/>
      <c r="G797" s="1245"/>
      <c r="H797" s="445" t="s">
        <v>24</v>
      </c>
      <c r="I797" s="462"/>
      <c r="J797" s="129"/>
      <c r="K797" s="129"/>
      <c r="L797" s="129"/>
      <c r="M797" s="129"/>
      <c r="N797" s="130"/>
    </row>
    <row r="798" spans="1:14" s="8" customFormat="1" ht="19.5" customHeight="1" hidden="1">
      <c r="A798" s="443">
        <v>790</v>
      </c>
      <c r="B798" s="123"/>
      <c r="C798" s="120"/>
      <c r="D798" s="121" t="s">
        <v>450</v>
      </c>
      <c r="E798" s="122"/>
      <c r="F798" s="122"/>
      <c r="G798" s="1245"/>
      <c r="H798" s="445" t="s">
        <v>24</v>
      </c>
      <c r="I798" s="462"/>
      <c r="J798" s="129"/>
      <c r="K798" s="129"/>
      <c r="L798" s="129"/>
      <c r="M798" s="129"/>
      <c r="N798" s="130"/>
    </row>
    <row r="799" spans="1:14" s="8" customFormat="1" ht="19.5" customHeight="1" hidden="1">
      <c r="A799" s="443">
        <v>791</v>
      </c>
      <c r="B799" s="123"/>
      <c r="C799" s="120"/>
      <c r="D799" s="121" t="s">
        <v>361</v>
      </c>
      <c r="E799" s="122"/>
      <c r="F799" s="122"/>
      <c r="G799" s="1245"/>
      <c r="H799" s="445" t="s">
        <v>24</v>
      </c>
      <c r="I799" s="462"/>
      <c r="J799" s="129"/>
      <c r="K799" s="129"/>
      <c r="L799" s="129"/>
      <c r="M799" s="129"/>
      <c r="N799" s="130"/>
    </row>
    <row r="800" spans="1:14" s="8" customFormat="1" ht="19.5" customHeight="1" hidden="1">
      <c r="A800" s="443">
        <v>792</v>
      </c>
      <c r="B800" s="123"/>
      <c r="C800" s="120"/>
      <c r="D800" s="121" t="s">
        <v>296</v>
      </c>
      <c r="E800" s="122"/>
      <c r="F800" s="122"/>
      <c r="G800" s="1245"/>
      <c r="H800" s="445" t="s">
        <v>24</v>
      </c>
      <c r="I800" s="462"/>
      <c r="J800" s="129"/>
      <c r="K800" s="129"/>
      <c r="L800" s="129"/>
      <c r="M800" s="129"/>
      <c r="N800" s="130"/>
    </row>
    <row r="801" spans="1:14" s="8" customFormat="1" ht="29.25" customHeight="1" hidden="1">
      <c r="A801" s="443">
        <v>793</v>
      </c>
      <c r="B801" s="123"/>
      <c r="C801" s="423"/>
      <c r="D801" s="121" t="s">
        <v>372</v>
      </c>
      <c r="E801" s="122"/>
      <c r="F801" s="122"/>
      <c r="G801" s="1245"/>
      <c r="H801" s="445" t="s">
        <v>24</v>
      </c>
      <c r="I801" s="462"/>
      <c r="J801" s="129"/>
      <c r="K801" s="129"/>
      <c r="L801" s="129"/>
      <c r="M801" s="129"/>
      <c r="N801" s="130"/>
    </row>
    <row r="802" spans="1:14" s="8" customFormat="1" ht="29.25" customHeight="1" hidden="1">
      <c r="A802" s="443">
        <v>794</v>
      </c>
      <c r="B802" s="123"/>
      <c r="C802" s="423"/>
      <c r="D802" s="121" t="s">
        <v>454</v>
      </c>
      <c r="E802" s="122"/>
      <c r="F802" s="122"/>
      <c r="G802" s="1245"/>
      <c r="H802" s="445" t="s">
        <v>24</v>
      </c>
      <c r="I802" s="462"/>
      <c r="J802" s="129"/>
      <c r="K802" s="129"/>
      <c r="L802" s="129"/>
      <c r="M802" s="129"/>
      <c r="N802" s="130"/>
    </row>
    <row r="803" spans="1:14" s="8" customFormat="1" ht="19.5" customHeight="1" hidden="1">
      <c r="A803" s="443">
        <v>795</v>
      </c>
      <c r="B803" s="123"/>
      <c r="C803" s="120"/>
      <c r="D803" s="121" t="s">
        <v>270</v>
      </c>
      <c r="E803" s="122"/>
      <c r="F803" s="122"/>
      <c r="G803" s="1245"/>
      <c r="H803" s="445" t="s">
        <v>24</v>
      </c>
      <c r="I803" s="462"/>
      <c r="J803" s="129"/>
      <c r="K803" s="129"/>
      <c r="L803" s="129"/>
      <c r="M803" s="129"/>
      <c r="N803" s="130"/>
    </row>
    <row r="804" spans="1:14" s="8" customFormat="1" ht="19.5" customHeight="1" hidden="1">
      <c r="A804" s="443">
        <v>796</v>
      </c>
      <c r="B804" s="123"/>
      <c r="C804" s="120"/>
      <c r="D804" s="121" t="s">
        <v>272</v>
      </c>
      <c r="E804" s="122"/>
      <c r="F804" s="122"/>
      <c r="G804" s="1245"/>
      <c r="H804" s="445" t="s">
        <v>24</v>
      </c>
      <c r="I804" s="462"/>
      <c r="J804" s="129"/>
      <c r="K804" s="129"/>
      <c r="L804" s="129"/>
      <c r="M804" s="129"/>
      <c r="N804" s="130"/>
    </row>
    <row r="805" spans="1:14" s="8" customFormat="1" ht="19.5" customHeight="1" hidden="1">
      <c r="A805" s="443">
        <v>797</v>
      </c>
      <c r="B805" s="123"/>
      <c r="C805" s="120"/>
      <c r="D805" s="121" t="s">
        <v>543</v>
      </c>
      <c r="E805" s="122"/>
      <c r="F805" s="122"/>
      <c r="G805" s="1245"/>
      <c r="H805" s="445" t="s">
        <v>24</v>
      </c>
      <c r="I805" s="462"/>
      <c r="J805" s="129"/>
      <c r="K805" s="129"/>
      <c r="L805" s="129"/>
      <c r="M805" s="129"/>
      <c r="N805" s="130"/>
    </row>
    <row r="806" spans="1:14" s="8" customFormat="1" ht="19.5" customHeight="1" hidden="1">
      <c r="A806" s="443">
        <v>798</v>
      </c>
      <c r="B806" s="123"/>
      <c r="C806" s="120"/>
      <c r="D806" s="121" t="s">
        <v>295</v>
      </c>
      <c r="E806" s="122"/>
      <c r="F806" s="122"/>
      <c r="G806" s="1245"/>
      <c r="H806" s="445" t="s">
        <v>24</v>
      </c>
      <c r="I806" s="462"/>
      <c r="J806" s="129"/>
      <c r="K806" s="129"/>
      <c r="L806" s="129"/>
      <c r="M806" s="129"/>
      <c r="N806" s="130"/>
    </row>
    <row r="807" spans="1:14" s="8" customFormat="1" ht="19.5" customHeight="1" hidden="1">
      <c r="A807" s="443">
        <v>799</v>
      </c>
      <c r="B807" s="123"/>
      <c r="C807" s="120"/>
      <c r="D807" s="121" t="s">
        <v>390</v>
      </c>
      <c r="E807" s="122"/>
      <c r="F807" s="122"/>
      <c r="G807" s="1245"/>
      <c r="H807" s="445" t="s">
        <v>24</v>
      </c>
      <c r="I807" s="462"/>
      <c r="J807" s="129"/>
      <c r="K807" s="129"/>
      <c r="L807" s="129"/>
      <c r="M807" s="129"/>
      <c r="N807" s="130"/>
    </row>
    <row r="808" spans="1:14" s="8" customFormat="1" ht="19.5" customHeight="1" hidden="1">
      <c r="A808" s="443">
        <v>800</v>
      </c>
      <c r="B808" s="123"/>
      <c r="C808" s="120"/>
      <c r="D808" s="121" t="s">
        <v>33</v>
      </c>
      <c r="E808" s="122"/>
      <c r="F808" s="122"/>
      <c r="G808" s="1245"/>
      <c r="H808" s="445" t="s">
        <v>24</v>
      </c>
      <c r="I808" s="462"/>
      <c r="J808" s="129"/>
      <c r="K808" s="129"/>
      <c r="L808" s="129"/>
      <c r="M808" s="129"/>
      <c r="N808" s="130"/>
    </row>
    <row r="809" spans="1:14" s="8" customFormat="1" ht="19.5" customHeight="1" hidden="1">
      <c r="A809" s="443">
        <v>801</v>
      </c>
      <c r="B809" s="123"/>
      <c r="C809" s="120"/>
      <c r="D809" s="121" t="s">
        <v>455</v>
      </c>
      <c r="E809" s="122"/>
      <c r="F809" s="122"/>
      <c r="G809" s="1245"/>
      <c r="H809" s="445" t="s">
        <v>24</v>
      </c>
      <c r="I809" s="462"/>
      <c r="J809" s="129"/>
      <c r="K809" s="129"/>
      <c r="L809" s="129"/>
      <c r="M809" s="129"/>
      <c r="N809" s="130"/>
    </row>
    <row r="810" spans="1:14" s="8" customFormat="1" ht="19.5" customHeight="1" hidden="1">
      <c r="A810" s="443">
        <v>802</v>
      </c>
      <c r="B810" s="123"/>
      <c r="C810" s="120"/>
      <c r="D810" s="121" t="s">
        <v>392</v>
      </c>
      <c r="E810" s="122"/>
      <c r="F810" s="122"/>
      <c r="G810" s="1245"/>
      <c r="H810" s="445" t="s">
        <v>24</v>
      </c>
      <c r="I810" s="462"/>
      <c r="J810" s="129"/>
      <c r="K810" s="129"/>
      <c r="L810" s="129"/>
      <c r="M810" s="129"/>
      <c r="N810" s="130"/>
    </row>
    <row r="811" spans="1:14" s="8" customFormat="1" ht="19.5" customHeight="1" hidden="1">
      <c r="A811" s="443">
        <v>803</v>
      </c>
      <c r="B811" s="123"/>
      <c r="C811" s="120"/>
      <c r="D811" s="121" t="s">
        <v>391</v>
      </c>
      <c r="E811" s="122"/>
      <c r="F811" s="122"/>
      <c r="G811" s="1245"/>
      <c r="H811" s="445" t="s">
        <v>24</v>
      </c>
      <c r="I811" s="462"/>
      <c r="J811" s="129"/>
      <c r="K811" s="129"/>
      <c r="L811" s="129"/>
      <c r="M811" s="129"/>
      <c r="N811" s="130"/>
    </row>
    <row r="812" spans="1:14" s="8" customFormat="1" ht="19.5" customHeight="1" hidden="1">
      <c r="A812" s="443">
        <v>804</v>
      </c>
      <c r="B812" s="123"/>
      <c r="C812" s="120"/>
      <c r="D812" s="121" t="s">
        <v>393</v>
      </c>
      <c r="E812" s="122"/>
      <c r="F812" s="122"/>
      <c r="G812" s="1245"/>
      <c r="H812" s="445" t="s">
        <v>24</v>
      </c>
      <c r="I812" s="462"/>
      <c r="J812" s="129"/>
      <c r="K812" s="129"/>
      <c r="L812" s="129"/>
      <c r="M812" s="129"/>
      <c r="N812" s="130"/>
    </row>
    <row r="813" spans="1:14" s="8" customFormat="1" ht="29.25" customHeight="1" hidden="1">
      <c r="A813" s="443">
        <v>805</v>
      </c>
      <c r="B813" s="123"/>
      <c r="C813" s="423"/>
      <c r="D813" s="121" t="s">
        <v>460</v>
      </c>
      <c r="E813" s="122"/>
      <c r="F813" s="122"/>
      <c r="G813" s="1245"/>
      <c r="H813" s="463" t="s">
        <v>24</v>
      </c>
      <c r="I813" s="462"/>
      <c r="J813" s="129"/>
      <c r="K813" s="129"/>
      <c r="L813" s="129"/>
      <c r="M813" s="129"/>
      <c r="N813" s="130"/>
    </row>
    <row r="814" spans="1:14" s="8" customFormat="1" ht="19.5" customHeight="1" hidden="1">
      <c r="A814" s="443">
        <v>806</v>
      </c>
      <c r="B814" s="123"/>
      <c r="C814" s="120"/>
      <c r="D814" s="121" t="s">
        <v>539</v>
      </c>
      <c r="E814" s="122"/>
      <c r="F814" s="122"/>
      <c r="G814" s="1245"/>
      <c r="H814" s="445" t="s">
        <v>24</v>
      </c>
      <c r="I814" s="462"/>
      <c r="J814" s="129"/>
      <c r="K814" s="129"/>
      <c r="L814" s="129"/>
      <c r="M814" s="129"/>
      <c r="N814" s="130"/>
    </row>
    <row r="815" spans="1:14" s="8" customFormat="1" ht="19.5" customHeight="1" hidden="1" thickBot="1">
      <c r="A815" s="443">
        <v>807</v>
      </c>
      <c r="B815" s="1001"/>
      <c r="C815" s="1002"/>
      <c r="D815" s="1398" t="s">
        <v>544</v>
      </c>
      <c r="E815" s="1187"/>
      <c r="F815" s="1186"/>
      <c r="G815" s="1186"/>
      <c r="H815" s="1003"/>
      <c r="I815" s="1399"/>
      <c r="J815" s="1400"/>
      <c r="K815" s="1400"/>
      <c r="L815" s="1400"/>
      <c r="M815" s="1400"/>
      <c r="N815" s="1401"/>
    </row>
    <row r="816" spans="1:16" s="1447" customFormat="1" ht="19.5" customHeight="1" thickTop="1">
      <c r="A816" s="443">
        <v>670</v>
      </c>
      <c r="B816" s="2126" t="s">
        <v>865</v>
      </c>
      <c r="C816" s="2127"/>
      <c r="D816" s="2127"/>
      <c r="E816" s="2127"/>
      <c r="F816" s="2127"/>
      <c r="G816" s="2128"/>
      <c r="H816" s="1190"/>
      <c r="I816" s="1191"/>
      <c r="J816" s="1191"/>
      <c r="K816" s="1191"/>
      <c r="L816" s="1191"/>
      <c r="M816" s="1191"/>
      <c r="N816" s="1192"/>
      <c r="O816" s="1448"/>
      <c r="P816" s="8"/>
    </row>
    <row r="817" spans="1:16" s="1447" customFormat="1" ht="19.5" customHeight="1">
      <c r="A817" s="443">
        <v>680</v>
      </c>
      <c r="B817" s="435"/>
      <c r="C817" s="1009"/>
      <c r="D817" s="2129" t="s">
        <v>303</v>
      </c>
      <c r="E817" s="2130"/>
      <c r="F817" s="2130"/>
      <c r="G817" s="2131"/>
      <c r="H817" s="445"/>
      <c r="I817" s="900">
        <f>SUM(J817:N817)</f>
        <v>5630577</v>
      </c>
      <c r="J817" s="1353">
        <f>J665+J661+J657+J653+J649+J645+J641+J637+J633+J629+J625+J621+J617+J613+J609+J605+J601+J597+J593+J589+J585+J561+J554+J550+J546+J542+J538+J534+J530+J526+J522+J518+J514+J510+J506+J502+J498+J494+J490+J486+J482+J477+J473+J469+J465+J460+J456+J452+J448+J444+J440+J436+J432+J427+J423+J419+J415+J402+J398+J394+J390+J386+J382+J378+J374+J370+J366+J362+J358+J354+J350+J346+J342+J338+J334+J330+J326+J322+J318+J314+J310+J306+J302+J298+J294+J290+J286+J243+J239+J235+J231+J227+J207+J187+J183+J179+J175+J171+J167+J163+J159+J155+J148+J143+J139+J135+J129+J125+J121+J117+J93+J88+J84+J80+J76+J72+J50+J46+J42+J24+J17+J408+J675</f>
        <v>165592</v>
      </c>
      <c r="K817" s="1353">
        <f>K665+K661+K657+K653+K649+K645+K641+K637+K633+K629+K625+K621+K617+K613+K609+K605+K601+K597+K593+K589+K585+K561+K554+K550+K546+K542+K538+K534+K530+K526+K522+K518+K514+K510+K506+K502+K498+K494+K490+K486+K482+K477+K473+K469+K465+K460+K456+K452+K448+K444+K440+K436+K432+K427+K423+K419+K415+K402+K398+K394+K390+K386+K382+K378+K374+K370+K366+K362+K358+K354+K350+K346+K342+K338+K334+K330+K326+K322+K318+K314+K310+K306+K302+K298+K294+K290+K286+K243+K239+K235+K231+K227+K207+K187+K183+K179+K175+K171+K167+K163+K159+K155+K148+K143+K139+K135+K129+K125+K121+K117+K93+K88+K84+K80+K76+K72+K50+K46+K42+K24+K17+K408+K675</f>
        <v>28844</v>
      </c>
      <c r="L817" s="1353">
        <f>L665+L661+L657+L653+L649+L645+L641+L637+L633+L629+L625+L621+L617+L613+L609+L605+L601+L597+L593+L589+L585+L561+L554+L550+L546+L542+L538+L534+L530+L526+L522+L518+L514+L510+L506+L502+L498+L494+L490+L486+L482+L477+L473+L469+L465+L460+L456+L452+L448+L444+L440+L436+L432+L427+L423+L419+L415+L402+L398+L394+L390+L386+L382+L378+L374+L370+L366+L362+L358+L354+L350+L346+L342+L338+L334+L330+L326+L322+L318+L314+L310+L306+L302+L298+L294+L290+L286+L243+L239+L235+L231+L227+L207+L187+L183+L179+L175+L171+L167+L163+L159+L155+L148+L143+L139+L135+L129+L125+L121+L117+L93+L88+L84+L80+L76+L72+L50+L46+L42+L24+L17+L408+L675</f>
        <v>1972869</v>
      </c>
      <c r="M817" s="1353">
        <f>M665+M661+M657+M653+M649+M645+M641+M637+M633+M629+M625+M621+M617+M613+M609+M605+M601+M597+M593+M589+M585+M561+M554+M550+M546+M542+M538+M534+M530+M526+M522+M518+M514+M510+M506+M502+M498+M494+M490+M486+M482+M477+M473+M469+M465+M460+M456+M452+M448+M444+M440+M436+M432+M427+M423+M419+M415+M402+M398+M394+M390+M386+M382+M378+M374+M370+M366+M362+M358+M354+M350+M346+M342+M338+M334+M330+M326+M322+M318+M314+M310+M306+M302+M298+M294+M290+M286+M243+M239+M235+M231+M227+M207+M187+M183+M179+M175+M171+M167+M163+M159+M155+M148+M143+M139+M135+M129+M125+M121+M117+M93+M88+M84+M80+M76+M72+M50+M46+M42+M24+M17+M408+M675</f>
        <v>23248</v>
      </c>
      <c r="N817" s="1354">
        <f>N665+N661+N657+N653+N649+N645+N641+N637+N633+N629+N625+N621+N617+N613+N609+N605+N601+N597+N593+N589+N585+N561+N554+N550+N546+N542+N538+N534+N530+N526+N522+N518+N514+N510+N506+N502+N498+N494+N490+N486+N482+N477+N473+N469+N465+N460+N456+N452+N448+N444+N440+N436+N432+N427+N423+N419+N415+N402+N398+N394+N390+N386+N382+N378+N374+N370+N366+N362+N358+N354+N350+N346+N342+N338+N334+N330+N326+N322+N318+N314+N310+N306+N302+N298+N294+N290+N286+N243+N239+N235+N231+N227+N207+N187+N183+N179+N175+N171+N167+N163+N159+N155+N148+N143+N139+N135+N129+N125+N121+N117+N93+N88+N84+N80+N76+N72+N50+N46+N42+N24+N17+N408+N675</f>
        <v>3440024</v>
      </c>
      <c r="O817" s="1448"/>
      <c r="P817" s="8"/>
    </row>
    <row r="818" spans="1:16" s="1447" customFormat="1" ht="19.5" customHeight="1">
      <c r="A818" s="443">
        <v>690</v>
      </c>
      <c r="B818" s="435"/>
      <c r="C818" s="1009"/>
      <c r="D818" s="1307" t="s">
        <v>994</v>
      </c>
      <c r="E818" s="1480"/>
      <c r="F818" s="1480"/>
      <c r="G818" s="1481"/>
      <c r="H818" s="447"/>
      <c r="I818" s="426">
        <f>SUM(J818:N818)</f>
        <v>5768894</v>
      </c>
      <c r="J818" s="1010">
        <f>J666+J662+J658+J654+J650+J646+J642+J638+J634+J630+J626+J622+J618+J614+J610+J606+J602+J598+J594+J590+J586+J562+J555+J551+J547+J543+J539+J535+J531+J527+J523+J519+J515+J511+J507+J503+J499+J495+J491+J487+J483+J478+J474+J470+J466+J461+J457+J453+J449+J445+J441+J437+J433+J428+J424+J420+J416+J403+J399+J395+J391+J387+J383+J379+J375+J371+J367+J363+J359+J355+J351+J347+J343+J339+J335+J331+J327+J323+J319+J315+J311+J307+J303+J299+J295+J291+J287+J244+J240+J236+J232+J228+J208+J188+J184+J180+J176+J172+J168+J164+J160+J156+J149+J144+J140+J136+J130+J126+J122+J118+J94+J89+J85+J81+J77+J73+J51+J47+J43+J25+J18+J409+J676+J672+J669+J558+J412+J39+J36+J21+J14+J11+J152</f>
        <v>170084</v>
      </c>
      <c r="K818" s="1010">
        <f>K666+K662+K658+K654+K650+K646+K642+K638+K634+K630+K626+K622+K618+K614+K610+K606+K602+K598+K594+K590+K586+K562+K555+K551+K547+K543+K539+K535+K531+K527+K523+K519+K515+K511+K507+K503+K499+K495+K491+K487+K483+K478+K474+K470+K466+K461+K457+K453+K449+K445+K441+K437+K433+K428+K424+K420+K416+K403+K399+K395+K391+K387+K383+K379+K375+K371+K367+K363+K359+K355+K351+K347+K343+K339+K335+K331+K327+K323+K319+K315+K311+K307+K303+K299+K295+K291+K287+K244+K240+K236+K232+K228+K208+K188+K184+K180+K176+K172+K168+K164+K160+K156+K149+K144+K140+K136+K130+K126+K122+K118+K94+K89+K85+K81+K77+K73+K51+K47+K43+K25+K18+K409+K676+K672+K669+K558+K412+K39+K36+K21+K14+K11+K152</f>
        <v>33208</v>
      </c>
      <c r="L818" s="1010">
        <f>L666+L662+L658+L654+L650+L646+L642+L638+L634+L630+L626+L622+L618+L614+L610+L606+L602+L598+L594+L590+L586+L562+L555+L551+L547+L543+L539+L535+L531+L527+L523+L519+L515+L511+L507+L503+L499+L495+L491+L487+L483+L478+L474+L470+L466+L461+L457+L453+L449+L445+L441+L437+L433+L428+L424+L420+L416+L403+L399+L395+L391+L387+L383+L379+L375+L371+L367+L363+L359+L355+L351+L347+L343+L339+L335+L331+L327+L323+L319+L315+L311+L307+L303+L299+L295+L291+L287+L244+L240+L236+L232+L228+L208+L188+L184+L180+L176+L172+L168+L164+L160+L156+L149+L144+L140+L136+L130+L126+L122+L118+L94+L89+L85+L81+L77+L73+L51+L47+L43+L25+L18+L409+L676+L672+L669+L558+L412+L39+L36+L21+L14+L11+L152</f>
        <v>1889550</v>
      </c>
      <c r="M818" s="1010">
        <f>M666+M662+M658+M654+M650+M646+M642+M638+M634+M630+M626+M622+M618+M614+M610+M606+M602+M598+M594+M590+M586+M562+M555+M551+M547+M543+M539+M535+M531+M527+M523+M519+M515+M511+M507+M503+M499+M495+M491+M487+M483+M478+M474+M470+M466+M461+M457+M453+M449+M445+M441+M437+M433+M428+M424+M420+M416+M403+M399+M395+M391+M387+M383+M379+M375+M371+M367+M363+M359+M355+M351+M347+M343+M339+M335+M331+M327+M323+M319+M315+M311+M307+M303+M299+M295+M291+M287+M244+M240+M236+M232+M228+M208+M188+M184+M180+M176+M172+M168+M164+M160+M156+M149+M144+M140+M136+M130+M126+M122+M118+M94+M89+M85+M81+M77+M73+M51+M47+M43+M25+M18+M409+M676+M672+M669+M558+M412+M39+M36+M21+M14+M11+M152</f>
        <v>32338</v>
      </c>
      <c r="N818" s="1474">
        <f>N666+N662+N658+N654+N650+N646+N642+N638+N634+N630+N626+N622+N618+N614+N610+N606+N602+N598+N594+N590+N586+N562+N555+N551+N547+N543+N539+N535+N531+N527+N523+N519+N515+N511+N507+N503+N499+N495+N491+N487+N483+N478+N474+N470+N466+N461+N457+N453+N449+N445+N441+N437+N433+N428+N424+N420+N416+N403+N399+N395+N391+N387+N383+N379+N375+N371+N367+N363+N359+N355+N351+N347+N343+N339+N335+N331+N327+N323+N319+N315+N311+N307+N303+N299+N295+N291+N287+N244+N240+N236+N232+N228+N208+N188+N184+N180+N176+N172+N168+N164+N160+N156+N149+N144+N140+N136+N130+N126+N122+N118+N94+N89+N85+N81+N77+N73+N51+N47+N43+N25+N18+N409+N676+N672+N669+N558+N412+N39+N36+N21+N14+N11+N152</f>
        <v>3643714</v>
      </c>
      <c r="O818" s="1448"/>
      <c r="P818" s="8"/>
    </row>
    <row r="819" spans="1:16" s="1447" customFormat="1" ht="19.5" customHeight="1" thickBot="1">
      <c r="A819" s="443">
        <v>700</v>
      </c>
      <c r="B819" s="435"/>
      <c r="C819" s="1009"/>
      <c r="D819" s="2132" t="s">
        <v>1036</v>
      </c>
      <c r="E819" s="2133"/>
      <c r="F819" s="2133"/>
      <c r="G819" s="2134"/>
      <c r="H819" s="447"/>
      <c r="I819" s="990">
        <f>SUM(J819:N819)</f>
        <v>5078326</v>
      </c>
      <c r="J819" s="1193">
        <f>J667+J663+J659+J655+J651+J647+J643+J639+J635+J631+J627+J623+J619+J615+J611+J607+J603+J599+J595+J591+J587+J563+J559+J556+J552+J548+J544+J540+J536+J532+J528+J524+J520+J516+J512+J508+J504+J500+J496+J492+J488+J484+J479+J475+J471+J467+J462+J458+J454+J450+J446+J442+J438+J434+J429+J425+J421+J417+J410+J404+J400+J396+J392+J388+J384+J380+J376+J372+J364+J360+J356+J352+J348+J344+J340+J336+J332+J328+J324+J320+J312+J308+J304+J300+J296+J292+J288+J245+J241+J237+J233+J229+J209+J189+J185+J181+J177+J173+J169+J165+J161+J157+J150+J145+J141+J137+J131+J127+J123+J119+J95+J90+J86+J82+J78+J74+J52+J48+J44+J40+J37+J26+J19+J15+J12+J316+J677+J670+J413+J22+J673+J368+J153</f>
        <v>125416</v>
      </c>
      <c r="K819" s="1193">
        <f>K667+K663+K659+K655+K651+K647+K643+K639+K635+K631+K627+K623+K619+K615+K611+K607+K603+K599+K595+K591+K587+K563+K559+K556+K552+K548+K544+K540+K536+K532+K528+K524+K520+K516+K512+K508+K504+K500+K496+K492+K488+K484+K479+K475+K471+K467+K462+K458+K454+K450+K446+K442+K438+K434+K429+K425+K421+K417+K410+K404+K400+K396+K392+K388+K384+K380+K376+K372+K364+K360+K356+K352+K348+K344+K340+K336+K332+K328+K324+K320+K312+K308+K304+K300+K296+K292+K288+K245+K241+K237+K233+K229+K209+K189+K185+K181+K177+K173+K169+K165+K161+K157+K150+K145+K141+K137+K131+K127+K123+K119+K95+K90+K86+K82+K78+K74+K52+K48+K44+K40+K37+K26+K19+K15+K12+K316+K677+K670+K413+K22+K673+K368+K153</f>
        <v>19180</v>
      </c>
      <c r="L819" s="1193">
        <f>L667+L663+L659+L655+L651+L647+L643+L639+L635+L631+L627+L623+L619+L615+L611+L607+L603+L599+L595+L591+L587+L563+L559+L556+L552+L548+L544+L540+L536+L532+L528+L524+L520+L516+L512+L508+L504+L500+L496+L492+L488+L484+L479+L475+L471+L467+L462+L458+L454+L450+L446+L442+L438+L434+L429+L425+L421+L417+L410+L404+L400+L396+L392+L388+L384+L380+L376+L372+L364+L360+L356+L352+L348+L344+L340+L336+L332+L328+L324+L320+L312+L308+L304+L300+L296+L292+L288+L245+L241+L237+L233+L229+L209+L189+L185+L181+L177+L173+L169+L165+L161+L157+L150+L145+L141+L137+L131+L127+L123+L119+L95+L90+L86+L82+L78+L74+L52+L48+L44+L40+L37+L26+L19+L15+L12+L316+L677+L670+L413+L22+L673+L368+L153</f>
        <v>1581731</v>
      </c>
      <c r="M819" s="1193">
        <f>M667+M663+M659+M655+M651+M647+M643+M639+M635+M631+M627+M623+M619+M615+M611+M607+M603+M599+M595+M591+M587+M563+M559+M556+M552+M548+M544+M540+M536+M532+M528+M524+M520+M516+M512+M508+M504+M500+M496+M492+M488+M484+M479+M475+M471+M467+M462+M458+M454+M450+M446+M442+M438+M434+M429+M425+M421+M417+M410+M404+M400+M396+M392+M388+M384+M380+M376+M372+M364+M360+M356+M352+M348+M344+M340+M336+M332+M328+M324+M320+M312+M308+M304+M300+M296+M292+M288+M245+M241+M237+M233+M229+M209+M189+M185+M181+M177+M173+M169+M165+M161+M157+M150+M145+M141+M137+M131+M127+M123+M119+M95+M90+M86+M82+M78+M74+M52+M48+M44+M40+M37+M26+M19+M15+M12+M316+M677+M670+M413+M22+M673+M368+M153</f>
        <v>20125</v>
      </c>
      <c r="N819" s="1456">
        <f>N667+N663+N659+N655+N651+N647+N643+N639+N635+N631+N627+N623+N619+N615+N611+N607+N603+N599+N595+N591+N587+N563+N559+N556+N552+N548+N544+N540+N536+N532+N528+N524+N520+N516+N512+N508+N504+N500+N496+N492+N488+N484+N479+N475+N471+N467+N462+N458+N454+N450+N446+N442+N438+N434+N429+N425+N421+N417+N410+N404+N400+N396+N392+N388+N384+N380+N376+N372+N364+N360+N356+N352+N348+N344+N340+N336+N332+N328+N324+N320+N312+N308+N304+N300+N296+N292+N288+N245+N241+N237+N233+N229+N209+N189+N185+N181+N177+N173+N169+N165+N161+N157+N150+N145+N141+N137+N131+N127+N123+N119+N95+N90+N86+N82+N78+N74+N52+N48+N44+N40+N37+N26+N19+N15+N12+N316+N677+N670+N413+N22+N673+N368+N153</f>
        <v>3331874</v>
      </c>
      <c r="O819" s="1448"/>
      <c r="P819" s="8"/>
    </row>
    <row r="820" spans="1:16" s="1447" customFormat="1" ht="18" customHeight="1" thickTop="1">
      <c r="A820" s="443">
        <v>710</v>
      </c>
      <c r="B820" s="91"/>
      <c r="C820" s="92"/>
      <c r="D820" s="2157" t="s">
        <v>120</v>
      </c>
      <c r="E820" s="2158"/>
      <c r="F820" s="2158"/>
      <c r="G820" s="2159"/>
      <c r="H820" s="448"/>
      <c r="I820" s="430"/>
      <c r="J820" s="346"/>
      <c r="K820" s="346"/>
      <c r="L820" s="346"/>
      <c r="M820" s="346"/>
      <c r="N820" s="450"/>
      <c r="O820" s="1448"/>
      <c r="P820" s="8"/>
    </row>
    <row r="821" spans="1:16" s="946" customFormat="1" ht="18" customHeight="1">
      <c r="A821" s="443">
        <v>720</v>
      </c>
      <c r="B821" s="905"/>
      <c r="C821" s="906"/>
      <c r="D821" s="2129" t="s">
        <v>303</v>
      </c>
      <c r="E821" s="2133"/>
      <c r="F821" s="2133"/>
      <c r="G821" s="2134"/>
      <c r="H821" s="909"/>
      <c r="I821" s="900">
        <f>SUM(J821:N821)</f>
        <v>4410268</v>
      </c>
      <c r="J821" s="901">
        <v>153862</v>
      </c>
      <c r="K821" s="901">
        <v>26611</v>
      </c>
      <c r="L821" s="901">
        <v>1312527</v>
      </c>
      <c r="M821" s="901">
        <v>7735</v>
      </c>
      <c r="N821" s="902">
        <v>2909533</v>
      </c>
      <c r="O821" s="910"/>
      <c r="P821" s="910"/>
    </row>
    <row r="822" spans="1:16" s="946" customFormat="1" ht="18" customHeight="1">
      <c r="A822" s="443">
        <v>730</v>
      </c>
      <c r="B822" s="905"/>
      <c r="C822" s="906"/>
      <c r="D822" s="1971" t="s">
        <v>994</v>
      </c>
      <c r="E822" s="1969"/>
      <c r="F822" s="1478"/>
      <c r="G822" s="1479"/>
      <c r="H822" s="909"/>
      <c r="I822" s="426">
        <f>SUM(J822:N822)</f>
        <v>4876800</v>
      </c>
      <c r="J822" s="341">
        <f>J669+J610+J562+J555+J551+J539+J535+J531+J527+J523+J519+J515+J511+J507+J503+J499+J495+J491+J487+J483+J478+J474+J470+J466+J457+J453+J449+J445+J441+J433+J387+J379+J371+J367+J363+J359+J351+J347+J319+J315+J311+J307+J303+J287+J248+J239+J236+J232+J176+J172+J168+J164+J11</f>
        <v>158556</v>
      </c>
      <c r="K822" s="341">
        <f>K669+K610+K562+K555+K551+K539+K535+K531+K527+K523+K519+K515+K511+K507+K503+K499+K495+K491+K487+K483+K478+K474+K470+K466+K457+K453+K449+K445+K441+K433+K387+K379+K371+K367+K363+K359+K351+K347+K319+K315+K311+K307+K303+K287+K248+K239+K236+K232+K176+K172+K168+K164+K11</f>
        <v>30937</v>
      </c>
      <c r="L822" s="341">
        <f>L669+L610+L562+L555+L551+L539+L535+L531+L527+L523+L519+L515+L511+L507+L503+L499+L495+L491+L487+L483+L478+L474+L470+L466+L457+L453+L449+L445+L441+L433+L387+L379+L371+L367+L363+L359+L351+L347+L319+L315+L311+L307+L303+L287+L248+L239+L236+L232+L176+L172+L168+L164+L11</f>
        <v>1475820</v>
      </c>
      <c r="M822" s="341">
        <f>M669+M610+M562+M555+M551+M539+M535+M531+M527+M523+M519+M515+M511+M507+M503+M499+M495+M491+M487+M483+M478+M474+M470+M466+M457+M453+M449+M445+M441+M433+M387+M379+M371+M367+M363+M359+M351+M347+M319+M315+M311+M307+M303+M287+M248+M239+M236+M232+M176+M172+M168+M164+M11</f>
        <v>10285</v>
      </c>
      <c r="N822" s="337">
        <f>N669+N610+N562+N555+N551+N539+N535+N531+N527+N523+N519+N515+N511+N507+N503+N499+N495+N491+N487+N483+N478+N474+N470+N466+N457+N453+N449+N445+N441+N433+N387+N379+N371+N367+N363+N359+N351+N347+N319+N315+N311+N307+N303+N287+N248+N239+N236+N232+N176+N172+N168+N164+N11</f>
        <v>3201202</v>
      </c>
      <c r="O822" s="910"/>
      <c r="P822" s="910"/>
    </row>
    <row r="823" spans="1:16" s="946" customFormat="1" ht="18" customHeight="1">
      <c r="A823" s="443">
        <v>740</v>
      </c>
      <c r="B823" s="905"/>
      <c r="C823" s="906"/>
      <c r="D823" s="2132" t="s">
        <v>1036</v>
      </c>
      <c r="E823" s="2138"/>
      <c r="F823" s="2138"/>
      <c r="G823" s="2139"/>
      <c r="H823" s="909"/>
      <c r="I823" s="990">
        <f>SUM(J823:N823)</f>
        <v>4292038</v>
      </c>
      <c r="J823" s="143">
        <f>J670+J611+J563+J556+J540+J536+J532+J528+J524+J520+J516+J512+J508+J504+J500+J496+J492+J488+J484+J479+J475+J471+J467+J454+J450+J446+J442+J434+J388+J380+J372+J368+J364+J360+J352+J348+J320+J316+J312+J308+J304+J288+J249+J241+J237+J233+J177+J173+J169+J165+J12+J458+J552</f>
        <v>120096</v>
      </c>
      <c r="K823" s="143">
        <f>K670+K611+K563+K556+K540+K536+K532+K528+K524+K520+K516+K512+K508+K504+K500+K496+K492+K488+K484+K479+K475+K471+K467+K454+K450+K446+K442+K434+K388+K380+K372+K368+K364+K360+K352+K348+K320+K316+K312+K308+K304+K288+K249+K241+K237+K233+K177+K173+K169+K165+K12+K458+K552</f>
        <v>18154</v>
      </c>
      <c r="L823" s="143">
        <f>L670+L611+L563+L556+L540+L536+L532+L528+L524+L520+L516+L512+L508+L504+L500+L496+L492+L488+L484+L479+L475+L471+L467+L454+L450+L446+L442+L434+L388+L380+L372+L368+L364+L360+L352+L348+L320+L316+L312+L308+L304+L288+L249+L241+L237+L233+L177+L173+L169+L165+L12+L458+L552</f>
        <v>1253337</v>
      </c>
      <c r="M823" s="143">
        <f>M670+M611+M563+M556+M540+M536+M532+M528+M524+M520+M516+M512+M508+M504+M500+M496+M492+M488+M484+M479+M475+M471+M467+M454+M450+M446+M442+M434+M388+M380+M372+M368+M364+M360+M352+M348+M320+M316+M312+M308+M304+M288+M249+M241+M237+M233+M177+M173+M169+M165+M12+M458+M552</f>
        <v>7798</v>
      </c>
      <c r="N823" s="144">
        <f>N670+N611+N563+N556+N540+N536+N532+N528+N524+N520+N516+N512+N508+N504+N500+N496+N492+N488+N484+N479+N475+N471+N467+N454+N450+N446+N442+N434+N388+N380+N372+N368+N364+N360+N352+N348+N320+N316+N312+N308+N304+N288+N249+N241+N237+N233+N177+N173+N169+N165+N12+N458+N552</f>
        <v>2892653</v>
      </c>
      <c r="O823" s="910"/>
      <c r="P823" s="910"/>
    </row>
    <row r="824" spans="1:16" s="1447" customFormat="1" ht="18" customHeight="1">
      <c r="A824" s="443">
        <v>750</v>
      </c>
      <c r="B824" s="93"/>
      <c r="C824" s="94"/>
      <c r="D824" s="2160" t="s">
        <v>121</v>
      </c>
      <c r="E824" s="2133"/>
      <c r="F824" s="2133"/>
      <c r="G824" s="2134"/>
      <c r="H824" s="449"/>
      <c r="I824" s="434"/>
      <c r="J824" s="126"/>
      <c r="K824" s="126"/>
      <c r="L824" s="126"/>
      <c r="M824" s="126"/>
      <c r="N824" s="127"/>
      <c r="O824" s="1448"/>
      <c r="P824" s="8"/>
    </row>
    <row r="825" spans="1:16" s="1447" customFormat="1" ht="18" customHeight="1">
      <c r="A825" s="443">
        <v>760</v>
      </c>
      <c r="B825" s="1011"/>
      <c r="C825" s="1012"/>
      <c r="D825" s="2129" t="s">
        <v>303</v>
      </c>
      <c r="E825" s="2133"/>
      <c r="F825" s="2133"/>
      <c r="G825" s="2134"/>
      <c r="H825" s="1013"/>
      <c r="I825" s="900">
        <f>SUM(J825:N825)</f>
        <v>1220309</v>
      </c>
      <c r="J825" s="1270">
        <v>11730</v>
      </c>
      <c r="K825" s="1270">
        <v>2233</v>
      </c>
      <c r="L825" s="1270">
        <v>660342</v>
      </c>
      <c r="M825" s="1270">
        <v>15513</v>
      </c>
      <c r="N825" s="1271">
        <v>530491</v>
      </c>
      <c r="O825" s="1448"/>
      <c r="P825" s="8"/>
    </row>
    <row r="826" spans="1:16" s="1447" customFormat="1" ht="18" customHeight="1">
      <c r="A826" s="443">
        <v>770</v>
      </c>
      <c r="B826" s="1011"/>
      <c r="C826" s="1012"/>
      <c r="D826" s="1971" t="s">
        <v>994</v>
      </c>
      <c r="E826" s="1969"/>
      <c r="F826" s="1478"/>
      <c r="G826" s="1479"/>
      <c r="H826" s="1013"/>
      <c r="I826" s="426">
        <f>SUM(J826:N826)</f>
        <v>892094</v>
      </c>
      <c r="J826" s="1312">
        <f>J676+J672+J666+J662+J658+J654+J650+J646+J642+J638+J634+J630+J626+J622+J618+J614+J606+J602+J598+J594+J590+J586+J558+J547+J543+J461+J437+J428+J424+J420+J416+J412+J409+J403+J399+J395+J391+J383+J375+J355+J343+J339+J335+J331+J327+J323+J299+J295+J291+J283+J279+J275+J271+J267+J263+J259+J255+J251+J228+J208+J188+J184+J180+J160+J156+J149+J144+J140+J136+J130+J126+J122+J118+J94+J89+J85+J81+J77+J73+J51+J47+J43+J39+J36+J25+J21+J18+J14+J152</f>
        <v>11528</v>
      </c>
      <c r="K826" s="1312">
        <f>K676+K672+K666+K662+K658+K654+K650+K646+K642+K638+K634+K630+K626+K622+K618+K614+K606+K602+K598+K594+K590+K586+K558+K547+K543+K461+K437+K428+K424+K420+K416+K412+K409+K403+K399+K395+K391+K383+K375+K355+K343+K339+K335+K331+K327+K323+K299+K295+K291+K283+K279+K275+K271+K267+K263+K259+K255+K251+K228+K208+K188+K184+K180+K160+K156+K149+K144+K140+K136+K130+K126+K122+K118+K94+K89+K85+K81+K77+K73+K51+K47+K43+K39+K36+K25+K21+K18+K14+K152</f>
        <v>2271</v>
      </c>
      <c r="L826" s="1312">
        <f>L676+L672+L666+L662+L658+L654+L650+L646+L642+L638+L634+L630+L626+L622+L618+L614+L606+L602+L598+L594+L590+L586+L558+L547+L543+L461+L437+L428+L424+L420+L416+L412+L409+L403+L399+L395+L391+L383+L375+L355+L343+L339+L335+L331+L327+L323+L299+L295+L291+L283+L279+L275+L271+L267+L263+L259+L255+L251+L228+L208+L188+L184+L180+L160+L156+L149+L144+L140+L136+L130+L126+L122+L118+L94+L89+L85+L81+L77+L73+L51+L47+L43+L39+L36+L25+L21+L18+L14+L152</f>
        <v>413730</v>
      </c>
      <c r="M826" s="1312">
        <f>M676+M672+M666+M662+M658+M654+M650+M646+M642+M638+M634+M630+M626+M622+M618+M614+M606+M602+M598+M594+M590+M586+M558+M547+M543+M461+M437+M428+M424+M420+M416+M412+M409+M403+M399+M395+M391+M383+M375+M355+M343+M339+M335+M331+M327+M323+M299+M295+M291+M283+M279+M275+M271+M267+M263+M259+M255+M251+M228+M208+M188+M184+M180+M160+M156+M149+M144+M140+M136+M130+M126+M122+M118+M94+M89+M85+M81+M77+M73+M51+M47+M43+M39+M36+M25+M21+M18+M14+M152</f>
        <v>22053</v>
      </c>
      <c r="N826" s="1475">
        <f>N676+N672+N666+N662+N658+N654+N650+N646+N642+N638+N634+N630+N626+N622+N618+N614+N606+N602+N598+N594+N590+N586+N558+N547+N543+N461+N437+N428+N424+N420+N416+N412+N409+N403+N399+N395+N391+N383+N375+N355+N343+N339+N335+N331+N327+N323+N299+N295+N291+N283+N279+N275+N271+N267+N263+N259+N255+N251+N228+N208+N188+N184+N180+N160+N156+N149+N144+N140+N136+N130+N126+N122+N118+N94+N89+N85+N81+N77+N73+N51+N47+N43+N39+N36+N25+N21+N18+N14+N152</f>
        <v>442512</v>
      </c>
      <c r="O826" s="1448"/>
      <c r="P826" s="8"/>
    </row>
    <row r="827" spans="1:16" s="1447" customFormat="1" ht="18" customHeight="1" thickBot="1">
      <c r="A827" s="443">
        <v>780</v>
      </c>
      <c r="B827" s="1532"/>
      <c r="C827" s="1533"/>
      <c r="D827" s="2161" t="s">
        <v>1036</v>
      </c>
      <c r="E827" s="2162"/>
      <c r="F827" s="2162"/>
      <c r="G827" s="2163"/>
      <c r="H827" s="1534"/>
      <c r="I827" s="1535">
        <f>SUM(J827:N827)</f>
        <v>786288</v>
      </c>
      <c r="J827" s="1536">
        <f>J673+J677+J667+J663+J659+J655+J651+J647+J643+J639+J635+J631+J627+J623+J619+J615+J607+J603+J599+J595+J591+J587+J559+J548+J544+J462+J438+J429+J425+J421+J417+J413+J410+J404+J400+J396+J392+J384+J376+J356+J344+J340+J336+J332+J328+J324+J300+J296+J292+J284+J280+J276+J272+J268+J264+J260+J256+J229+J209+J189+J185+J181+J161+J157+J150+J145+J141+J137+J131+J127+J123+J119+J95+J90+J86+J82+J78+J74+J52+J48+J44+J40+J37+J26+J22+J19+J15+J252+J153</f>
        <v>5320</v>
      </c>
      <c r="K827" s="1536">
        <f>K673+K677+K667+K663+K659+K655+K651+K647+K643+K639+K635+K631+K627+K623+K619+K615+K607+K603+K599+K595+K591+K587+K559+K548+K544+K462+K438+K429+K425+K421+K417+K413+K410+K404+K400+K396+K392+K384+K376+K356+K344+K340+K336+K332+K328+K324+K300+K296+K292+K284+K280+K276+K272+K268+K264+K260+K256+K229+K209+K189+K185+K181+K161+K157+K150+K145+K141+K137+K131+K127+K123+K119+K95+K90+K86+K82+K78+K74+K52+K48+K44+K40+K37+K26+K22+K19+K15+K252+K153</f>
        <v>1026</v>
      </c>
      <c r="L827" s="1536">
        <f>L673+L677+L667+L663+L659+L655+L651+L647+L643+L639+L635+L631+L627+L623+L619+L615+L607+L603+L599+L595+L591+L587+L559+L548+L544+L462+L438+L429+L425+L421+L417+L413+L410+L404+L400+L396+L392+L384+L376+L356+L344+L340+L336+L332+L328+L324+L300+L296+L292+L284+L280+L276+L272+L268+L264+L260+L256+L229+L209+L189+L185+L181+L161+L157+L150+L145+L141+L137+L131+L127+L123+L119+L95+L90+L86+L82+L78+L74+L52+L48+L44+L40+L37+L26+L22+L19+L15+L252+L153</f>
        <v>328394</v>
      </c>
      <c r="M827" s="1536">
        <f>M673+M677+M667+M663+M659+M655+M651+M647+M643+M639+M635+M631+M627+M623+M619+M615+M607+M603+M599+M595+M591+M587+M559+M548+M544+M462+M438+M429+M425+M421+M417+M413+M410+M404+M400+M396+M392+M384+M376+M356+M344+M340+M336+M332+M328+M324+M300+M296+M292+M284+M280+M276+M272+M268+M264+M260+M256+M229+M209+M189+M185+M181+M161+M157+M150+M145+M141+M137+M131+M127+M123+M119+M95+M90+M86+M82+M78+M74+M52+M48+M44+M40+M37+M26+M22+M19+M15+M252+M153</f>
        <v>12327</v>
      </c>
      <c r="N827" s="1537">
        <f>N673+N677+N667+N663+N659+N655+N651+N647+N643+N639+N635+N631+N627+N623+N619+N615+N607+N603+N599+N595+N591+N587+N559+N548+N544+N462+N438+N429+N425+N421+N417+N413+N410+N404+N400+N396+N392+N384+N376+N356+N344+N340+N336+N332+N328+N324+N300+N296+N292+N284+N280+N276+N272+N268+N264+N260+N256+N229+N209+N189+N185+N181+N161+N157+N150+N145+N141+N137+N131+N127+N123+N119+N95+N90+N86+N82+N78+N74+N52+N48+N44+N40+N37+N26+N22+N19+N15+N252+N153</f>
        <v>439221</v>
      </c>
      <c r="O827" s="1448"/>
      <c r="P827" s="8"/>
    </row>
    <row r="828" spans="1:14" ht="18" customHeight="1">
      <c r="A828" s="444"/>
      <c r="B828" s="2125" t="s">
        <v>27</v>
      </c>
      <c r="C828" s="2125"/>
      <c r="D828" s="2125"/>
      <c r="E828" s="117"/>
      <c r="F828" s="117"/>
      <c r="G828" s="117"/>
      <c r="H828" s="433"/>
      <c r="I828" s="118"/>
      <c r="J828" s="117"/>
      <c r="K828" s="117"/>
      <c r="L828" s="117"/>
      <c r="M828" s="117"/>
      <c r="N828" s="117"/>
    </row>
    <row r="829" spans="1:14" ht="18" customHeight="1">
      <c r="A829" s="444"/>
      <c r="B829" s="464" t="s">
        <v>28</v>
      </c>
      <c r="C829" s="464"/>
      <c r="D829" s="464"/>
      <c r="E829" s="117"/>
      <c r="F829" s="117"/>
      <c r="G829" s="117"/>
      <c r="H829" s="433"/>
      <c r="I829" s="118"/>
      <c r="J829" s="117"/>
      <c r="K829" s="117"/>
      <c r="L829" s="117"/>
      <c r="M829" s="117"/>
      <c r="N829" s="117"/>
    </row>
    <row r="830" spans="1:14" ht="18" customHeight="1">
      <c r="A830" s="444"/>
      <c r="B830" s="2125" t="s">
        <v>29</v>
      </c>
      <c r="C830" s="2125"/>
      <c r="D830" s="2125"/>
      <c r="E830" s="117"/>
      <c r="F830" s="117"/>
      <c r="G830" s="117"/>
      <c r="H830" s="433"/>
      <c r="I830" s="118"/>
      <c r="J830" s="117"/>
      <c r="K830" s="117"/>
      <c r="L830" s="117"/>
      <c r="M830" s="117"/>
      <c r="N830" s="117"/>
    </row>
    <row r="831" spans="4:14" ht="18" customHeight="1">
      <c r="D831" s="11"/>
      <c r="E831" s="287"/>
      <c r="F831" s="287"/>
      <c r="G831" s="287"/>
      <c r="H831" s="12"/>
      <c r="I831" s="287">
        <f aca="true" t="shared" si="5" ref="I831:N831">+I816-I820-I824</f>
        <v>0</v>
      </c>
      <c r="J831" s="287">
        <f t="shared" si="5"/>
        <v>0</v>
      </c>
      <c r="K831" s="287">
        <f t="shared" si="5"/>
        <v>0</v>
      </c>
      <c r="L831" s="287">
        <f t="shared" si="5"/>
        <v>0</v>
      </c>
      <c r="M831" s="287">
        <f t="shared" si="5"/>
        <v>0</v>
      </c>
      <c r="N831" s="287">
        <f t="shared" si="5"/>
        <v>0</v>
      </c>
    </row>
    <row r="832" spans="4:8" ht="18" customHeight="1">
      <c r="D832" s="11"/>
      <c r="E832" s="287"/>
      <c r="F832" s="287"/>
      <c r="G832" s="287"/>
      <c r="H832" s="12"/>
    </row>
    <row r="833" spans="4:8" ht="18" customHeight="1">
      <c r="D833" s="11"/>
      <c r="E833" s="287"/>
      <c r="F833" s="287"/>
      <c r="G833" s="287"/>
      <c r="H833" s="12"/>
    </row>
    <row r="834" spans="1:15" s="13" customFormat="1" ht="18" customHeight="1">
      <c r="A834" s="443"/>
      <c r="B834" s="3"/>
      <c r="C834" s="7"/>
      <c r="D834" s="11"/>
      <c r="E834" s="287"/>
      <c r="F834" s="287"/>
      <c r="G834" s="287"/>
      <c r="H834" s="12"/>
      <c r="J834" s="287"/>
      <c r="K834" s="287"/>
      <c r="L834" s="287"/>
      <c r="M834" s="287"/>
      <c r="N834" s="287"/>
      <c r="O834" s="4"/>
    </row>
    <row r="835" spans="1:15" s="13" customFormat="1" ht="18" customHeight="1">
      <c r="A835" s="443"/>
      <c r="B835" s="3"/>
      <c r="C835" s="7"/>
      <c r="D835" s="11"/>
      <c r="E835" s="287"/>
      <c r="F835" s="287"/>
      <c r="G835" s="287"/>
      <c r="H835" s="12"/>
      <c r="J835" s="287"/>
      <c r="K835" s="287"/>
      <c r="L835" s="287"/>
      <c r="M835" s="287"/>
      <c r="N835" s="287"/>
      <c r="O835" s="4"/>
    </row>
    <row r="836" spans="1:15" s="13" customFormat="1" ht="18" customHeight="1">
      <c r="A836" s="443"/>
      <c r="B836" s="3"/>
      <c r="C836" s="7"/>
      <c r="D836" s="11"/>
      <c r="E836" s="287"/>
      <c r="F836" s="287"/>
      <c r="G836" s="287"/>
      <c r="H836" s="12"/>
      <c r="J836" s="287"/>
      <c r="K836" s="287"/>
      <c r="L836" s="287"/>
      <c r="M836" s="287"/>
      <c r="N836" s="287"/>
      <c r="O836" s="4"/>
    </row>
    <row r="837" spans="1:15" s="13" customFormat="1" ht="18" customHeight="1">
      <c r="A837" s="443"/>
      <c r="B837" s="3"/>
      <c r="C837" s="7"/>
      <c r="D837" s="11"/>
      <c r="E837" s="287"/>
      <c r="F837" s="287"/>
      <c r="G837" s="287"/>
      <c r="H837" s="12"/>
      <c r="J837" s="287"/>
      <c r="K837" s="287"/>
      <c r="L837" s="287"/>
      <c r="M837" s="287"/>
      <c r="N837" s="287"/>
      <c r="O837" s="4"/>
    </row>
    <row r="838" spans="1:15" s="13" customFormat="1" ht="18" customHeight="1">
      <c r="A838" s="443"/>
      <c r="B838" s="3"/>
      <c r="C838" s="7"/>
      <c r="D838" s="11"/>
      <c r="E838" s="287"/>
      <c r="F838" s="287"/>
      <c r="G838" s="287"/>
      <c r="H838" s="12"/>
      <c r="J838" s="287"/>
      <c r="K838" s="287"/>
      <c r="L838" s="287"/>
      <c r="M838" s="287"/>
      <c r="N838" s="287"/>
      <c r="O838" s="4"/>
    </row>
    <row r="839" spans="1:15" s="13" customFormat="1" ht="18" customHeight="1">
      <c r="A839" s="443"/>
      <c r="B839" s="3"/>
      <c r="C839" s="7"/>
      <c r="D839" s="14"/>
      <c r="E839" s="287"/>
      <c r="F839" s="287"/>
      <c r="G839" s="287"/>
      <c r="H839" s="12"/>
      <c r="J839" s="287"/>
      <c r="K839" s="287"/>
      <c r="L839" s="287"/>
      <c r="M839" s="287"/>
      <c r="N839" s="287"/>
      <c r="O839" s="4"/>
    </row>
    <row r="840" spans="1:15" s="13" customFormat="1" ht="18" customHeight="1">
      <c r="A840" s="443"/>
      <c r="B840" s="3"/>
      <c r="C840" s="7"/>
      <c r="D840" s="14"/>
      <c r="E840" s="287"/>
      <c r="F840" s="287"/>
      <c r="G840" s="287"/>
      <c r="H840" s="12"/>
      <c r="J840" s="287"/>
      <c r="K840" s="287"/>
      <c r="L840" s="287"/>
      <c r="M840" s="287"/>
      <c r="N840" s="287"/>
      <c r="O840" s="4"/>
    </row>
    <row r="841" spans="1:15" s="13" customFormat="1" ht="18" customHeight="1">
      <c r="A841" s="443"/>
      <c r="B841" s="3"/>
      <c r="C841" s="7"/>
      <c r="D841" s="11"/>
      <c r="E841" s="287"/>
      <c r="F841" s="287"/>
      <c r="G841" s="287"/>
      <c r="H841" s="12"/>
      <c r="J841" s="287"/>
      <c r="K841" s="287"/>
      <c r="L841" s="287"/>
      <c r="M841" s="287"/>
      <c r="N841" s="287"/>
      <c r="O841" s="4"/>
    </row>
    <row r="842" spans="1:15" s="13" customFormat="1" ht="18" customHeight="1">
      <c r="A842" s="443"/>
      <c r="B842" s="3"/>
      <c r="C842" s="7"/>
      <c r="D842" s="11"/>
      <c r="E842" s="287"/>
      <c r="F842" s="287"/>
      <c r="G842" s="287"/>
      <c r="H842" s="12"/>
      <c r="J842" s="287"/>
      <c r="K842" s="287"/>
      <c r="L842" s="287"/>
      <c r="M842" s="287"/>
      <c r="N842" s="287"/>
      <c r="O842" s="4"/>
    </row>
    <row r="843" spans="1:15" s="13" customFormat="1" ht="18" customHeight="1">
      <c r="A843" s="443"/>
      <c r="B843" s="3"/>
      <c r="C843" s="7"/>
      <c r="D843" s="16"/>
      <c r="E843" s="4"/>
      <c r="F843" s="4"/>
      <c r="G843" s="4"/>
      <c r="H843" s="3"/>
      <c r="J843" s="287"/>
      <c r="K843" s="287"/>
      <c r="L843" s="287"/>
      <c r="M843" s="287"/>
      <c r="N843" s="287"/>
      <c r="O843" s="4"/>
    </row>
    <row r="844" spans="1:15" s="13" customFormat="1" ht="18" customHeight="1">
      <c r="A844" s="443"/>
      <c r="B844" s="3"/>
      <c r="C844" s="7"/>
      <c r="D844" s="16"/>
      <c r="E844" s="4"/>
      <c r="F844" s="4"/>
      <c r="G844" s="4"/>
      <c r="H844" s="3"/>
      <c r="J844" s="287"/>
      <c r="K844" s="287"/>
      <c r="L844" s="287"/>
      <c r="M844" s="287"/>
      <c r="N844" s="287"/>
      <c r="O844" s="4"/>
    </row>
    <row r="845" spans="1:15" s="13" customFormat="1" ht="18" customHeight="1">
      <c r="A845" s="443"/>
      <c r="B845" s="3"/>
      <c r="C845" s="7"/>
      <c r="D845" s="16"/>
      <c r="E845" s="4"/>
      <c r="F845" s="4"/>
      <c r="G845" s="4"/>
      <c r="H845" s="3"/>
      <c r="J845" s="287"/>
      <c r="K845" s="287"/>
      <c r="L845" s="287"/>
      <c r="M845" s="287"/>
      <c r="N845" s="287"/>
      <c r="O845" s="4"/>
    </row>
    <row r="846" spans="1:15" s="13" customFormat="1" ht="18" customHeight="1">
      <c r="A846" s="443"/>
      <c r="B846" s="3"/>
      <c r="C846" s="7"/>
      <c r="D846" s="16"/>
      <c r="E846" s="4"/>
      <c r="F846" s="4"/>
      <c r="G846" s="4"/>
      <c r="H846" s="3"/>
      <c r="J846" s="287"/>
      <c r="K846" s="287"/>
      <c r="L846" s="287"/>
      <c r="M846" s="287"/>
      <c r="N846" s="287"/>
      <c r="O846" s="4"/>
    </row>
    <row r="847" spans="1:15" s="13" customFormat="1" ht="18" customHeight="1">
      <c r="A847" s="443"/>
      <c r="B847" s="3"/>
      <c r="C847" s="7"/>
      <c r="D847" s="16"/>
      <c r="E847" s="4"/>
      <c r="F847" s="4"/>
      <c r="G847" s="4"/>
      <c r="H847" s="3"/>
      <c r="J847" s="287"/>
      <c r="K847" s="287"/>
      <c r="L847" s="287"/>
      <c r="M847" s="287"/>
      <c r="N847" s="287"/>
      <c r="O847" s="4"/>
    </row>
    <row r="848" spans="1:15" s="13" customFormat="1" ht="18" customHeight="1">
      <c r="A848" s="443"/>
      <c r="B848" s="3"/>
      <c r="C848" s="7"/>
      <c r="D848" s="16"/>
      <c r="E848" s="4"/>
      <c r="F848" s="4"/>
      <c r="G848" s="4"/>
      <c r="H848" s="3"/>
      <c r="J848" s="287"/>
      <c r="K848" s="287"/>
      <c r="L848" s="287"/>
      <c r="M848" s="287"/>
      <c r="N848" s="287"/>
      <c r="O848" s="4"/>
    </row>
    <row r="849" spans="1:15" s="13" customFormat="1" ht="18" customHeight="1">
      <c r="A849" s="443"/>
      <c r="B849" s="3"/>
      <c r="C849" s="7"/>
      <c r="D849" s="16"/>
      <c r="E849" s="4"/>
      <c r="F849" s="4"/>
      <c r="G849" s="4"/>
      <c r="H849" s="3"/>
      <c r="J849" s="287"/>
      <c r="K849" s="287"/>
      <c r="L849" s="287"/>
      <c r="M849" s="287"/>
      <c r="N849" s="287"/>
      <c r="O849" s="4"/>
    </row>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spans="4:8" ht="18" customHeight="1">
      <c r="D862" s="11"/>
      <c r="E862" s="287"/>
      <c r="F862" s="287"/>
      <c r="G862" s="287"/>
      <c r="H862" s="12"/>
    </row>
    <row r="863" spans="4:8" ht="18" customHeight="1">
      <c r="D863" s="11"/>
      <c r="E863" s="287"/>
      <c r="F863" s="287"/>
      <c r="G863" s="287"/>
      <c r="H863" s="12"/>
    </row>
    <row r="864" spans="4:8" ht="18" customHeight="1">
      <c r="D864" s="11"/>
      <c r="E864" s="287"/>
      <c r="F864" s="287"/>
      <c r="G864" s="287"/>
      <c r="H864" s="12"/>
    </row>
    <row r="865" spans="4:14" ht="18" customHeight="1">
      <c r="D865" s="17"/>
      <c r="E865" s="12"/>
      <c r="F865" s="12"/>
      <c r="G865" s="12"/>
      <c r="H865" s="12"/>
      <c r="I865" s="15"/>
      <c r="J865" s="12"/>
      <c r="K865" s="12"/>
      <c r="L865" s="12"/>
      <c r="M865" s="12"/>
      <c r="N865" s="12"/>
    </row>
    <row r="866" spans="4:14" ht="18" customHeight="1">
      <c r="D866" s="17"/>
      <c r="E866" s="12"/>
      <c r="F866" s="12"/>
      <c r="G866" s="12"/>
      <c r="H866" s="12"/>
      <c r="I866" s="15"/>
      <c r="J866" s="12"/>
      <c r="K866" s="12"/>
      <c r="L866" s="12"/>
      <c r="M866" s="12"/>
      <c r="N866" s="12"/>
    </row>
    <row r="867" spans="4:14" ht="18" customHeight="1">
      <c r="D867" s="17"/>
      <c r="E867" s="12"/>
      <c r="F867" s="12"/>
      <c r="G867" s="12"/>
      <c r="H867" s="12"/>
      <c r="I867" s="15"/>
      <c r="J867" s="12"/>
      <c r="K867" s="12"/>
      <c r="L867" s="12"/>
      <c r="M867" s="12"/>
      <c r="N867" s="12"/>
    </row>
    <row r="868" spans="4:14" ht="18" customHeight="1">
      <c r="D868" s="17"/>
      <c r="E868" s="12"/>
      <c r="F868" s="12"/>
      <c r="G868" s="12"/>
      <c r="H868" s="12"/>
      <c r="I868" s="15"/>
      <c r="J868" s="12"/>
      <c r="K868" s="12"/>
      <c r="L868" s="12"/>
      <c r="M868" s="12"/>
      <c r="N868" s="12"/>
    </row>
    <row r="869" spans="4:8" ht="18" customHeight="1">
      <c r="D869" s="11"/>
      <c r="E869" s="287"/>
      <c r="F869" s="287"/>
      <c r="G869" s="287"/>
      <c r="H869" s="12"/>
    </row>
    <row r="870" spans="4:8" ht="18" customHeight="1">
      <c r="D870" s="11"/>
      <c r="E870" s="287"/>
      <c r="F870" s="287"/>
      <c r="G870" s="287"/>
      <c r="H870" s="12"/>
    </row>
    <row r="871" spans="4:8" ht="18" customHeight="1">
      <c r="D871" s="11"/>
      <c r="E871" s="287"/>
      <c r="F871" s="287"/>
      <c r="G871" s="287"/>
      <c r="H871" s="12"/>
    </row>
    <row r="872" spans="4:8" ht="18" customHeight="1">
      <c r="D872" s="11"/>
      <c r="E872" s="287"/>
      <c r="F872" s="287"/>
      <c r="G872" s="287"/>
      <c r="H872" s="12"/>
    </row>
    <row r="873" spans="4:8" ht="18" customHeight="1">
      <c r="D873" s="11"/>
      <c r="E873" s="287"/>
      <c r="F873" s="287"/>
      <c r="G873" s="287"/>
      <c r="H873" s="12"/>
    </row>
    <row r="874" spans="4:8" ht="18" customHeight="1">
      <c r="D874" s="14"/>
      <c r="E874" s="287"/>
      <c r="F874" s="287"/>
      <c r="G874" s="287"/>
      <c r="H874" s="12"/>
    </row>
    <row r="875" spans="4:8" ht="18" customHeight="1">
      <c r="D875" s="14"/>
      <c r="E875" s="287"/>
      <c r="F875" s="287"/>
      <c r="G875" s="287"/>
      <c r="H875" s="12"/>
    </row>
    <row r="876" spans="1:14" s="5" customFormat="1" ht="18" customHeight="1">
      <c r="A876" s="443"/>
      <c r="B876" s="3"/>
      <c r="C876" s="7"/>
      <c r="D876" s="18"/>
      <c r="E876" s="4"/>
      <c r="F876" s="4"/>
      <c r="G876" s="4"/>
      <c r="H876" s="3"/>
      <c r="I876" s="13"/>
      <c r="J876" s="287"/>
      <c r="K876" s="287"/>
      <c r="L876" s="287"/>
      <c r="M876" s="287"/>
      <c r="N876" s="287"/>
    </row>
    <row r="877" spans="1:14" s="5" customFormat="1" ht="18" customHeight="1">
      <c r="A877" s="443"/>
      <c r="B877" s="3"/>
      <c r="C877" s="7"/>
      <c r="D877" s="18"/>
      <c r="E877" s="4"/>
      <c r="F877" s="4"/>
      <c r="G877" s="4"/>
      <c r="H877" s="3"/>
      <c r="I877" s="13"/>
      <c r="J877" s="287"/>
      <c r="K877" s="287"/>
      <c r="L877" s="287"/>
      <c r="M877" s="287"/>
      <c r="N877" s="287"/>
    </row>
    <row r="878" spans="1:14" s="5" customFormat="1" ht="18" customHeight="1">
      <c r="A878" s="443"/>
      <c r="B878" s="3"/>
      <c r="C878" s="7"/>
      <c r="D878" s="14"/>
      <c r="E878" s="287"/>
      <c r="F878" s="287"/>
      <c r="G878" s="287"/>
      <c r="H878" s="12"/>
      <c r="I878" s="13"/>
      <c r="J878" s="287"/>
      <c r="K878" s="287"/>
      <c r="L878" s="287"/>
      <c r="M878" s="287"/>
      <c r="N878" s="287"/>
    </row>
    <row r="879" spans="1:14" s="5" customFormat="1" ht="18" customHeight="1">
      <c r="A879" s="443"/>
      <c r="B879" s="3"/>
      <c r="C879" s="7"/>
      <c r="D879" s="14"/>
      <c r="E879" s="287"/>
      <c r="F879" s="287"/>
      <c r="G879" s="287"/>
      <c r="H879" s="12"/>
      <c r="I879" s="13"/>
      <c r="J879" s="287"/>
      <c r="K879" s="287"/>
      <c r="L879" s="287"/>
      <c r="M879" s="287"/>
      <c r="N879" s="287"/>
    </row>
    <row r="880" spans="1:14" s="5" customFormat="1" ht="18" customHeight="1">
      <c r="A880" s="443"/>
      <c r="B880" s="3"/>
      <c r="C880" s="7"/>
      <c r="D880" s="14"/>
      <c r="E880" s="287"/>
      <c r="F880" s="287"/>
      <c r="G880" s="287"/>
      <c r="H880" s="12"/>
      <c r="I880" s="13"/>
      <c r="J880" s="287"/>
      <c r="K880" s="287"/>
      <c r="L880" s="287"/>
      <c r="M880" s="287"/>
      <c r="N880" s="287"/>
    </row>
    <row r="881" spans="1:14" s="5" customFormat="1" ht="18" customHeight="1">
      <c r="A881" s="443"/>
      <c r="B881" s="3"/>
      <c r="C881" s="7"/>
      <c r="D881" s="14"/>
      <c r="E881" s="287"/>
      <c r="F881" s="287"/>
      <c r="G881" s="287"/>
      <c r="H881" s="12"/>
      <c r="I881" s="13"/>
      <c r="J881" s="287"/>
      <c r="K881" s="287"/>
      <c r="L881" s="287"/>
      <c r="M881" s="287"/>
      <c r="N881" s="287"/>
    </row>
    <row r="882" spans="1:14" s="5" customFormat="1" ht="18" customHeight="1">
      <c r="A882" s="443"/>
      <c r="B882" s="3"/>
      <c r="C882" s="7"/>
      <c r="D882" s="14"/>
      <c r="E882" s="287"/>
      <c r="F882" s="287"/>
      <c r="G882" s="287"/>
      <c r="H882" s="12"/>
      <c r="I882" s="13"/>
      <c r="J882" s="287"/>
      <c r="K882" s="287"/>
      <c r="L882" s="287"/>
      <c r="M882" s="287"/>
      <c r="N882" s="287"/>
    </row>
    <row r="883" spans="4:8" ht="18" customHeight="1">
      <c r="D883" s="11"/>
      <c r="E883" s="287"/>
      <c r="F883" s="287"/>
      <c r="G883" s="287"/>
      <c r="H883" s="12"/>
    </row>
    <row r="884" spans="4:8" ht="18" customHeight="1">
      <c r="D884" s="11"/>
      <c r="E884" s="287"/>
      <c r="F884" s="287"/>
      <c r="G884" s="287"/>
      <c r="H884" s="12"/>
    </row>
    <row r="885" spans="4:8" ht="18" customHeight="1">
      <c r="D885" s="11"/>
      <c r="E885" s="287"/>
      <c r="F885" s="287"/>
      <c r="G885" s="287"/>
      <c r="H885" s="12"/>
    </row>
    <row r="886" spans="4:8" ht="18" customHeight="1">
      <c r="D886" s="11"/>
      <c r="E886" s="287"/>
      <c r="F886" s="287"/>
      <c r="G886" s="287"/>
      <c r="H886" s="12"/>
    </row>
    <row r="887" spans="4:8" ht="18" customHeight="1">
      <c r="D887" s="11"/>
      <c r="E887" s="287"/>
      <c r="F887" s="287"/>
      <c r="G887" s="287"/>
      <c r="H887" s="12"/>
    </row>
    <row r="888" spans="4:8" ht="18" customHeight="1">
      <c r="D888" s="11"/>
      <c r="E888" s="287"/>
      <c r="F888" s="287"/>
      <c r="G888" s="287"/>
      <c r="H888" s="12"/>
    </row>
    <row r="889" spans="4:8" ht="18" customHeight="1">
      <c r="D889" s="11"/>
      <c r="E889" s="287"/>
      <c r="F889" s="287"/>
      <c r="G889" s="287"/>
      <c r="H889" s="12"/>
    </row>
    <row r="890" spans="4:8" ht="18" customHeight="1">
      <c r="D890" s="11"/>
      <c r="E890" s="287"/>
      <c r="F890" s="287"/>
      <c r="G890" s="287"/>
      <c r="H890" s="12"/>
    </row>
    <row r="891" spans="4:8" ht="18" customHeight="1">
      <c r="D891" s="11"/>
      <c r="E891" s="287"/>
      <c r="F891" s="287"/>
      <c r="G891" s="287"/>
      <c r="H891" s="12"/>
    </row>
    <row r="892" spans="4:8" ht="18" customHeight="1">
      <c r="D892" s="11"/>
      <c r="E892" s="287"/>
      <c r="F892" s="287"/>
      <c r="G892" s="287"/>
      <c r="H892" s="12"/>
    </row>
    <row r="893" spans="4:8" ht="18" customHeight="1">
      <c r="D893" s="11"/>
      <c r="E893" s="287"/>
      <c r="F893" s="287"/>
      <c r="G893" s="287"/>
      <c r="H893" s="12"/>
    </row>
    <row r="894" spans="4:8" ht="18" customHeight="1">
      <c r="D894" s="11"/>
      <c r="E894" s="287"/>
      <c r="F894" s="287"/>
      <c r="G894" s="287"/>
      <c r="H894" s="12"/>
    </row>
    <row r="895" spans="4:8" ht="18" customHeight="1">
      <c r="D895" s="11"/>
      <c r="E895" s="287"/>
      <c r="F895" s="287"/>
      <c r="G895" s="287"/>
      <c r="H895" s="12"/>
    </row>
    <row r="896" spans="1:14" s="5" customFormat="1" ht="18" customHeight="1">
      <c r="A896" s="443"/>
      <c r="B896" s="3"/>
      <c r="C896" s="7"/>
      <c r="D896" s="14"/>
      <c r="E896" s="287"/>
      <c r="F896" s="287"/>
      <c r="G896" s="287"/>
      <c r="H896" s="12"/>
      <c r="I896" s="13"/>
      <c r="J896" s="287"/>
      <c r="K896" s="287"/>
      <c r="L896" s="287"/>
      <c r="M896" s="287"/>
      <c r="N896" s="287"/>
    </row>
    <row r="897" spans="4:8" ht="18" customHeight="1">
      <c r="D897" s="11"/>
      <c r="E897" s="287"/>
      <c r="F897" s="287"/>
      <c r="G897" s="287"/>
      <c r="H897" s="12"/>
    </row>
    <row r="898" spans="1:15" s="13" customFormat="1" ht="18" customHeight="1">
      <c r="A898" s="443"/>
      <c r="B898" s="3"/>
      <c r="C898" s="7"/>
      <c r="D898" s="11"/>
      <c r="E898" s="287"/>
      <c r="F898" s="287"/>
      <c r="G898" s="287"/>
      <c r="H898" s="12"/>
      <c r="J898" s="287"/>
      <c r="K898" s="287"/>
      <c r="L898" s="287"/>
      <c r="M898" s="287"/>
      <c r="N898" s="287"/>
      <c r="O898" s="4"/>
    </row>
    <row r="899" spans="1:15" s="13" customFormat="1" ht="18" customHeight="1">
      <c r="A899" s="443"/>
      <c r="B899" s="3"/>
      <c r="C899" s="7"/>
      <c r="D899" s="11"/>
      <c r="E899" s="287"/>
      <c r="F899" s="287"/>
      <c r="G899" s="287"/>
      <c r="H899" s="12"/>
      <c r="J899" s="287"/>
      <c r="K899" s="287"/>
      <c r="L899" s="287"/>
      <c r="M899" s="287"/>
      <c r="N899" s="287"/>
      <c r="O899" s="4"/>
    </row>
    <row r="900" spans="1:15" s="13" customFormat="1" ht="17.25">
      <c r="A900" s="443"/>
      <c r="B900" s="3"/>
      <c r="C900" s="7"/>
      <c r="D900" s="11"/>
      <c r="E900" s="287"/>
      <c r="F900" s="287"/>
      <c r="G900" s="287"/>
      <c r="H900" s="12"/>
      <c r="J900" s="287"/>
      <c r="K900" s="287"/>
      <c r="L900" s="287"/>
      <c r="M900" s="287"/>
      <c r="N900" s="287"/>
      <c r="O900" s="4"/>
    </row>
    <row r="901" spans="1:15" s="13" customFormat="1" ht="17.25">
      <c r="A901" s="443"/>
      <c r="B901" s="3"/>
      <c r="C901" s="7"/>
      <c r="D901" s="11"/>
      <c r="E901" s="287"/>
      <c r="F901" s="287"/>
      <c r="G901" s="287"/>
      <c r="H901" s="12"/>
      <c r="J901" s="287"/>
      <c r="K901" s="287"/>
      <c r="L901" s="287"/>
      <c r="M901" s="287"/>
      <c r="N901" s="287"/>
      <c r="O901" s="4"/>
    </row>
    <row r="902" spans="1:15" s="13" customFormat="1" ht="17.25">
      <c r="A902" s="443"/>
      <c r="B902" s="3"/>
      <c r="C902" s="7"/>
      <c r="D902" s="11"/>
      <c r="E902" s="287"/>
      <c r="F902" s="287"/>
      <c r="G902" s="287"/>
      <c r="H902" s="12"/>
      <c r="J902" s="287"/>
      <c r="K902" s="287"/>
      <c r="L902" s="287"/>
      <c r="M902" s="287"/>
      <c r="N902" s="287"/>
      <c r="O902" s="4"/>
    </row>
    <row r="903" spans="1:15" s="13" customFormat="1" ht="17.25">
      <c r="A903" s="443"/>
      <c r="B903" s="3"/>
      <c r="C903" s="7"/>
      <c r="D903" s="11"/>
      <c r="E903" s="287"/>
      <c r="F903" s="287"/>
      <c r="G903" s="287"/>
      <c r="H903" s="12"/>
      <c r="J903" s="287"/>
      <c r="K903" s="287"/>
      <c r="L903" s="287"/>
      <c r="M903" s="287"/>
      <c r="N903" s="287"/>
      <c r="O903" s="4"/>
    </row>
    <row r="904" spans="1:15" s="13" customFormat="1" ht="17.25">
      <c r="A904" s="443"/>
      <c r="B904" s="3"/>
      <c r="C904" s="7"/>
      <c r="D904" s="11"/>
      <c r="E904" s="287"/>
      <c r="F904" s="287"/>
      <c r="G904" s="287"/>
      <c r="H904" s="12"/>
      <c r="J904" s="287"/>
      <c r="K904" s="287"/>
      <c r="L904" s="287"/>
      <c r="M904" s="287"/>
      <c r="N904" s="287"/>
      <c r="O904" s="4"/>
    </row>
    <row r="905" spans="1:15" s="13" customFormat="1" ht="17.25">
      <c r="A905" s="443"/>
      <c r="B905" s="3"/>
      <c r="C905" s="7"/>
      <c r="D905" s="11"/>
      <c r="E905" s="287"/>
      <c r="F905" s="287"/>
      <c r="G905" s="287"/>
      <c r="H905" s="12"/>
      <c r="J905" s="287"/>
      <c r="K905" s="287"/>
      <c r="L905" s="287"/>
      <c r="M905" s="287"/>
      <c r="N905" s="287"/>
      <c r="O905" s="4"/>
    </row>
    <row r="906" spans="1:15" s="13" customFormat="1" ht="17.25">
      <c r="A906" s="443"/>
      <c r="B906" s="3"/>
      <c r="C906" s="7"/>
      <c r="D906" s="11"/>
      <c r="E906" s="287"/>
      <c r="F906" s="287"/>
      <c r="G906" s="287"/>
      <c r="H906" s="12"/>
      <c r="J906" s="287"/>
      <c r="K906" s="287"/>
      <c r="L906" s="287"/>
      <c r="M906" s="287"/>
      <c r="N906" s="287"/>
      <c r="O906" s="4"/>
    </row>
    <row r="907" spans="1:15" s="13" customFormat="1" ht="17.25">
      <c r="A907" s="443"/>
      <c r="B907" s="3"/>
      <c r="C907" s="7"/>
      <c r="D907" s="11"/>
      <c r="E907" s="287"/>
      <c r="F907" s="287"/>
      <c r="G907" s="287"/>
      <c r="H907" s="12"/>
      <c r="J907" s="287"/>
      <c r="K907" s="287"/>
      <c r="L907" s="287"/>
      <c r="M907" s="287"/>
      <c r="N907" s="287"/>
      <c r="O907" s="4"/>
    </row>
    <row r="908" spans="1:15" s="13" customFormat="1" ht="17.25">
      <c r="A908" s="443"/>
      <c r="B908" s="3"/>
      <c r="C908" s="7"/>
      <c r="D908" s="11"/>
      <c r="E908" s="287"/>
      <c r="F908" s="287"/>
      <c r="G908" s="287"/>
      <c r="H908" s="12"/>
      <c r="J908" s="287"/>
      <c r="K908" s="287"/>
      <c r="L908" s="287"/>
      <c r="M908" s="287"/>
      <c r="N908" s="287"/>
      <c r="O908" s="4"/>
    </row>
    <row r="909" spans="1:15" s="13" customFormat="1" ht="17.25">
      <c r="A909" s="443"/>
      <c r="B909" s="3"/>
      <c r="C909" s="7"/>
      <c r="D909" s="11"/>
      <c r="E909" s="287"/>
      <c r="F909" s="287"/>
      <c r="G909" s="287"/>
      <c r="H909" s="12"/>
      <c r="J909" s="287"/>
      <c r="K909" s="287"/>
      <c r="L909" s="287"/>
      <c r="M909" s="287"/>
      <c r="N909" s="287"/>
      <c r="O909" s="4"/>
    </row>
    <row r="910" spans="1:15" s="13" customFormat="1" ht="17.25">
      <c r="A910" s="443"/>
      <c r="B910" s="3"/>
      <c r="C910" s="7"/>
      <c r="D910" s="11"/>
      <c r="E910" s="287"/>
      <c r="F910" s="287"/>
      <c r="G910" s="287"/>
      <c r="H910" s="12"/>
      <c r="J910" s="287"/>
      <c r="K910" s="287"/>
      <c r="L910" s="287"/>
      <c r="M910" s="287"/>
      <c r="N910" s="287"/>
      <c r="O910" s="4"/>
    </row>
    <row r="911" spans="1:15" s="13" customFormat="1" ht="17.25">
      <c r="A911" s="443"/>
      <c r="B911" s="3"/>
      <c r="C911" s="7"/>
      <c r="D911" s="11"/>
      <c r="E911" s="287"/>
      <c r="F911" s="287"/>
      <c r="G911" s="287"/>
      <c r="H911" s="12"/>
      <c r="J911" s="287"/>
      <c r="K911" s="287"/>
      <c r="L911" s="287"/>
      <c r="M911" s="287"/>
      <c r="N911" s="287"/>
      <c r="O911" s="4"/>
    </row>
    <row r="912" spans="1:15" s="13" customFormat="1" ht="17.25">
      <c r="A912" s="443"/>
      <c r="B912" s="3"/>
      <c r="C912" s="7"/>
      <c r="D912" s="11"/>
      <c r="E912" s="287"/>
      <c r="F912" s="287"/>
      <c r="G912" s="287"/>
      <c r="H912" s="12"/>
      <c r="J912" s="287"/>
      <c r="K912" s="287"/>
      <c r="L912" s="287"/>
      <c r="M912" s="287"/>
      <c r="N912" s="287"/>
      <c r="O912" s="4"/>
    </row>
    <row r="913" spans="1:15" s="13" customFormat="1" ht="17.25">
      <c r="A913" s="443"/>
      <c r="B913" s="3"/>
      <c r="C913" s="7"/>
      <c r="D913" s="11"/>
      <c r="E913" s="287"/>
      <c r="F913" s="287"/>
      <c r="G913" s="287"/>
      <c r="H913" s="12"/>
      <c r="J913" s="287"/>
      <c r="K913" s="287"/>
      <c r="L913" s="287"/>
      <c r="M913" s="287"/>
      <c r="N913" s="287"/>
      <c r="O913" s="4"/>
    </row>
    <row r="914" spans="1:15" s="13" customFormat="1" ht="17.25">
      <c r="A914" s="443"/>
      <c r="B914" s="3"/>
      <c r="C914" s="7"/>
      <c r="D914" s="11"/>
      <c r="E914" s="287"/>
      <c r="F914" s="287"/>
      <c r="G914" s="287"/>
      <c r="H914" s="12"/>
      <c r="J914" s="287"/>
      <c r="K914" s="287"/>
      <c r="L914" s="287"/>
      <c r="M914" s="287"/>
      <c r="N914" s="287"/>
      <c r="O914" s="4"/>
    </row>
    <row r="915" spans="1:15" s="13" customFormat="1" ht="17.25">
      <c r="A915" s="443"/>
      <c r="B915" s="3"/>
      <c r="C915" s="7"/>
      <c r="D915" s="11"/>
      <c r="E915" s="287"/>
      <c r="F915" s="287"/>
      <c r="G915" s="287"/>
      <c r="H915" s="12"/>
      <c r="J915" s="287"/>
      <c r="K915" s="287"/>
      <c r="L915" s="287"/>
      <c r="M915" s="287"/>
      <c r="N915" s="287"/>
      <c r="O915" s="4"/>
    </row>
    <row r="916" spans="1:15" s="13" customFormat="1" ht="17.25">
      <c r="A916" s="443"/>
      <c r="B916" s="3"/>
      <c r="C916" s="7"/>
      <c r="D916" s="11"/>
      <c r="E916" s="287"/>
      <c r="F916" s="287"/>
      <c r="G916" s="287"/>
      <c r="H916" s="12"/>
      <c r="J916" s="287"/>
      <c r="K916" s="287"/>
      <c r="L916" s="287"/>
      <c r="M916" s="287"/>
      <c r="N916" s="287"/>
      <c r="O916" s="4"/>
    </row>
    <row r="917" spans="1:15" s="13" customFormat="1" ht="17.25">
      <c r="A917" s="443"/>
      <c r="B917" s="3"/>
      <c r="C917" s="7"/>
      <c r="D917" s="11"/>
      <c r="E917" s="287"/>
      <c r="F917" s="287"/>
      <c r="G917" s="287"/>
      <c r="H917" s="12"/>
      <c r="J917" s="287"/>
      <c r="K917" s="287"/>
      <c r="L917" s="287"/>
      <c r="M917" s="287"/>
      <c r="N917" s="287"/>
      <c r="O917" s="4"/>
    </row>
    <row r="918" spans="1:15" s="13" customFormat="1" ht="17.25">
      <c r="A918" s="443"/>
      <c r="B918" s="3"/>
      <c r="C918" s="7"/>
      <c r="D918" s="11"/>
      <c r="E918" s="287"/>
      <c r="F918" s="287"/>
      <c r="G918" s="287"/>
      <c r="H918" s="12"/>
      <c r="J918" s="287"/>
      <c r="K918" s="287"/>
      <c r="L918" s="287"/>
      <c r="M918" s="287"/>
      <c r="N918" s="287"/>
      <c r="O918" s="4"/>
    </row>
    <row r="919" spans="1:15" s="13" customFormat="1" ht="17.25">
      <c r="A919" s="443"/>
      <c r="B919" s="3"/>
      <c r="C919" s="7"/>
      <c r="D919" s="11"/>
      <c r="E919" s="287"/>
      <c r="F919" s="287"/>
      <c r="G919" s="287"/>
      <c r="H919" s="12"/>
      <c r="J919" s="287"/>
      <c r="K919" s="287"/>
      <c r="L919" s="287"/>
      <c r="M919" s="287"/>
      <c r="N919" s="287"/>
      <c r="O919" s="4"/>
    </row>
    <row r="920" spans="1:15" s="13" customFormat="1" ht="17.25">
      <c r="A920" s="443"/>
      <c r="B920" s="3"/>
      <c r="C920" s="7"/>
      <c r="D920" s="11"/>
      <c r="E920" s="287"/>
      <c r="F920" s="287"/>
      <c r="G920" s="287"/>
      <c r="H920" s="12"/>
      <c r="J920" s="287"/>
      <c r="K920" s="287"/>
      <c r="L920" s="287"/>
      <c r="M920" s="287"/>
      <c r="N920" s="287"/>
      <c r="O920" s="4"/>
    </row>
    <row r="921" spans="1:15" s="13" customFormat="1" ht="17.25">
      <c r="A921" s="443"/>
      <c r="B921" s="3"/>
      <c r="C921" s="7"/>
      <c r="D921" s="11"/>
      <c r="E921" s="287"/>
      <c r="F921" s="287"/>
      <c r="G921" s="287"/>
      <c r="H921" s="12"/>
      <c r="J921" s="287"/>
      <c r="K921" s="287"/>
      <c r="L921" s="287"/>
      <c r="M921" s="287"/>
      <c r="N921" s="287"/>
      <c r="O921" s="4"/>
    </row>
    <row r="922" spans="1:15" s="13" customFormat="1" ht="17.25">
      <c r="A922" s="443"/>
      <c r="B922" s="3"/>
      <c r="C922" s="7"/>
      <c r="D922" s="11"/>
      <c r="E922" s="287"/>
      <c r="F922" s="287"/>
      <c r="G922" s="287"/>
      <c r="H922" s="12"/>
      <c r="J922" s="287"/>
      <c r="K922" s="287"/>
      <c r="L922" s="287"/>
      <c r="M922" s="287"/>
      <c r="N922" s="287"/>
      <c r="O922" s="4"/>
    </row>
    <row r="923" spans="1:15" s="13" customFormat="1" ht="17.25">
      <c r="A923" s="443"/>
      <c r="B923" s="3"/>
      <c r="C923" s="7"/>
      <c r="D923" s="11"/>
      <c r="E923" s="287"/>
      <c r="F923" s="287"/>
      <c r="G923" s="287"/>
      <c r="H923" s="12"/>
      <c r="J923" s="287"/>
      <c r="K923" s="287"/>
      <c r="L923" s="287"/>
      <c r="M923" s="287"/>
      <c r="N923" s="287"/>
      <c r="O923" s="4"/>
    </row>
    <row r="924" spans="1:15" s="13" customFormat="1" ht="17.25">
      <c r="A924" s="443"/>
      <c r="B924" s="3"/>
      <c r="C924" s="7"/>
      <c r="D924" s="11"/>
      <c r="E924" s="287"/>
      <c r="F924" s="287"/>
      <c r="G924" s="287"/>
      <c r="H924" s="12"/>
      <c r="J924" s="287"/>
      <c r="K924" s="287"/>
      <c r="L924" s="287"/>
      <c r="M924" s="287"/>
      <c r="N924" s="287"/>
      <c r="O924" s="4"/>
    </row>
    <row r="925" spans="1:15" s="13" customFormat="1" ht="17.25">
      <c r="A925" s="443"/>
      <c r="B925" s="3"/>
      <c r="C925" s="7"/>
      <c r="D925" s="11"/>
      <c r="E925" s="287"/>
      <c r="F925" s="287"/>
      <c r="G925" s="287"/>
      <c r="H925" s="12"/>
      <c r="J925" s="287"/>
      <c r="K925" s="287"/>
      <c r="L925" s="287"/>
      <c r="M925" s="287"/>
      <c r="N925" s="287"/>
      <c r="O925" s="4"/>
    </row>
    <row r="926" spans="1:15" s="13" customFormat="1" ht="17.25">
      <c r="A926" s="443"/>
      <c r="B926" s="3"/>
      <c r="C926" s="7"/>
      <c r="D926" s="11"/>
      <c r="E926" s="287"/>
      <c r="F926" s="287"/>
      <c r="G926" s="287"/>
      <c r="H926" s="12"/>
      <c r="J926" s="287"/>
      <c r="K926" s="287"/>
      <c r="L926" s="287"/>
      <c r="M926" s="287"/>
      <c r="N926" s="287"/>
      <c r="O926" s="4"/>
    </row>
    <row r="927" spans="1:15" s="13" customFormat="1" ht="17.25">
      <c r="A927" s="443"/>
      <c r="B927" s="3"/>
      <c r="C927" s="7"/>
      <c r="D927" s="11"/>
      <c r="E927" s="287"/>
      <c r="F927" s="287"/>
      <c r="G927" s="287"/>
      <c r="H927" s="12"/>
      <c r="J927" s="287"/>
      <c r="K927" s="287"/>
      <c r="L927" s="287"/>
      <c r="M927" s="287"/>
      <c r="N927" s="287"/>
      <c r="O927" s="4"/>
    </row>
    <row r="928" spans="1:15" s="13" customFormat="1" ht="17.25">
      <c r="A928" s="443"/>
      <c r="B928" s="3"/>
      <c r="C928" s="7"/>
      <c r="D928" s="11"/>
      <c r="E928" s="287"/>
      <c r="F928" s="287"/>
      <c r="G928" s="287"/>
      <c r="H928" s="12"/>
      <c r="J928" s="287"/>
      <c r="K928" s="287"/>
      <c r="L928" s="287"/>
      <c r="M928" s="287"/>
      <c r="N928" s="287"/>
      <c r="O928" s="4"/>
    </row>
    <row r="929" spans="1:15" s="13" customFormat="1" ht="17.25">
      <c r="A929" s="443"/>
      <c r="B929" s="3"/>
      <c r="C929" s="7"/>
      <c r="D929" s="11"/>
      <c r="E929" s="287"/>
      <c r="F929" s="287"/>
      <c r="G929" s="287"/>
      <c r="H929" s="12"/>
      <c r="J929" s="287"/>
      <c r="K929" s="287"/>
      <c r="L929" s="287"/>
      <c r="M929" s="287"/>
      <c r="N929" s="287"/>
      <c r="O929" s="4"/>
    </row>
    <row r="930" spans="1:15" s="13" customFormat="1" ht="17.25">
      <c r="A930" s="443"/>
      <c r="B930" s="3"/>
      <c r="C930" s="7"/>
      <c r="D930" s="11"/>
      <c r="E930" s="287"/>
      <c r="F930" s="287"/>
      <c r="G930" s="287"/>
      <c r="H930" s="12"/>
      <c r="J930" s="287"/>
      <c r="K930" s="287"/>
      <c r="L930" s="287"/>
      <c r="M930" s="287"/>
      <c r="N930" s="287"/>
      <c r="O930" s="4"/>
    </row>
    <row r="931" spans="1:15" s="13" customFormat="1" ht="17.25">
      <c r="A931" s="443"/>
      <c r="B931" s="3"/>
      <c r="C931" s="7"/>
      <c r="D931" s="11"/>
      <c r="E931" s="287"/>
      <c r="F931" s="287"/>
      <c r="G931" s="287"/>
      <c r="H931" s="12"/>
      <c r="J931" s="287"/>
      <c r="K931" s="287"/>
      <c r="L931" s="287"/>
      <c r="M931" s="287"/>
      <c r="N931" s="287"/>
      <c r="O931" s="4"/>
    </row>
    <row r="932" spans="1:15" s="13" customFormat="1" ht="17.25">
      <c r="A932" s="443"/>
      <c r="B932" s="3"/>
      <c r="C932" s="7"/>
      <c r="D932" s="11"/>
      <c r="E932" s="287"/>
      <c r="F932" s="287"/>
      <c r="G932" s="287"/>
      <c r="H932" s="12"/>
      <c r="J932" s="287"/>
      <c r="K932" s="287"/>
      <c r="L932" s="287"/>
      <c r="M932" s="287"/>
      <c r="N932" s="287"/>
      <c r="O932" s="4"/>
    </row>
    <row r="933" spans="1:15" s="13" customFormat="1" ht="17.25">
      <c r="A933" s="443"/>
      <c r="B933" s="3"/>
      <c r="C933" s="7"/>
      <c r="D933" s="11"/>
      <c r="E933" s="287"/>
      <c r="F933" s="287"/>
      <c r="G933" s="287"/>
      <c r="H933" s="12"/>
      <c r="J933" s="287"/>
      <c r="K933" s="287"/>
      <c r="L933" s="287"/>
      <c r="M933" s="287"/>
      <c r="N933" s="287"/>
      <c r="O933" s="4"/>
    </row>
    <row r="934" spans="1:15" s="13" customFormat="1" ht="17.25">
      <c r="A934" s="443"/>
      <c r="B934" s="3"/>
      <c r="C934" s="7"/>
      <c r="D934" s="11"/>
      <c r="E934" s="287"/>
      <c r="F934" s="287"/>
      <c r="G934" s="287"/>
      <c r="H934" s="12"/>
      <c r="J934" s="287"/>
      <c r="K934" s="287"/>
      <c r="L934" s="287"/>
      <c r="M934" s="287"/>
      <c r="N934" s="287"/>
      <c r="O934" s="4"/>
    </row>
    <row r="935" spans="1:15" s="13" customFormat="1" ht="17.25">
      <c r="A935" s="443"/>
      <c r="B935" s="3"/>
      <c r="C935" s="7"/>
      <c r="D935" s="11"/>
      <c r="E935" s="287"/>
      <c r="F935" s="287"/>
      <c r="G935" s="287"/>
      <c r="H935" s="12"/>
      <c r="J935" s="287"/>
      <c r="K935" s="287"/>
      <c r="L935" s="287"/>
      <c r="M935" s="287"/>
      <c r="N935" s="287"/>
      <c r="O935" s="4"/>
    </row>
    <row r="936" spans="1:15" s="13" customFormat="1" ht="17.25">
      <c r="A936" s="443"/>
      <c r="B936" s="3"/>
      <c r="C936" s="7"/>
      <c r="D936" s="11"/>
      <c r="E936" s="287"/>
      <c r="F936" s="287"/>
      <c r="G936" s="287"/>
      <c r="H936" s="12"/>
      <c r="J936" s="287"/>
      <c r="K936" s="287"/>
      <c r="L936" s="287"/>
      <c r="M936" s="287"/>
      <c r="N936" s="287"/>
      <c r="O936" s="4"/>
    </row>
    <row r="937" spans="1:15" s="13" customFormat="1" ht="17.25">
      <c r="A937" s="443"/>
      <c r="B937" s="3"/>
      <c r="C937" s="7"/>
      <c r="D937" s="11"/>
      <c r="E937" s="287"/>
      <c r="F937" s="287"/>
      <c r="G937" s="287"/>
      <c r="H937" s="12"/>
      <c r="J937" s="287"/>
      <c r="K937" s="287"/>
      <c r="L937" s="287"/>
      <c r="M937" s="287"/>
      <c r="N937" s="287"/>
      <c r="O937" s="4"/>
    </row>
    <row r="938" spans="1:15" s="13" customFormat="1" ht="17.25">
      <c r="A938" s="443"/>
      <c r="B938" s="3"/>
      <c r="C938" s="7"/>
      <c r="D938" s="11"/>
      <c r="E938" s="287"/>
      <c r="F938" s="287"/>
      <c r="G938" s="287"/>
      <c r="H938" s="12"/>
      <c r="J938" s="287"/>
      <c r="K938" s="287"/>
      <c r="L938" s="287"/>
      <c r="M938" s="287"/>
      <c r="N938" s="287"/>
      <c r="O938" s="4"/>
    </row>
    <row r="939" spans="1:15" s="13" customFormat="1" ht="17.25">
      <c r="A939" s="443"/>
      <c r="B939" s="3"/>
      <c r="C939" s="7"/>
      <c r="D939" s="11"/>
      <c r="E939" s="287"/>
      <c r="F939" s="287"/>
      <c r="G939" s="287"/>
      <c r="H939" s="12"/>
      <c r="J939" s="287"/>
      <c r="K939" s="287"/>
      <c r="L939" s="287"/>
      <c r="M939" s="287"/>
      <c r="N939" s="287"/>
      <c r="O939" s="4"/>
    </row>
    <row r="940" spans="1:15" s="13" customFormat="1" ht="17.25">
      <c r="A940" s="443"/>
      <c r="B940" s="3"/>
      <c r="C940" s="7"/>
      <c r="D940" s="11"/>
      <c r="E940" s="287"/>
      <c r="F940" s="287"/>
      <c r="G940" s="287"/>
      <c r="H940" s="12"/>
      <c r="J940" s="287"/>
      <c r="K940" s="287"/>
      <c r="L940" s="287"/>
      <c r="M940" s="287"/>
      <c r="N940" s="287"/>
      <c r="O940" s="4"/>
    </row>
    <row r="941" spans="1:15" s="13" customFormat="1" ht="17.25">
      <c r="A941" s="443"/>
      <c r="B941" s="3"/>
      <c r="C941" s="7"/>
      <c r="D941" s="16"/>
      <c r="E941" s="4"/>
      <c r="F941" s="4"/>
      <c r="G941" s="4"/>
      <c r="H941" s="3"/>
      <c r="J941" s="287"/>
      <c r="K941" s="287"/>
      <c r="L941" s="287"/>
      <c r="M941" s="287"/>
      <c r="N941" s="287"/>
      <c r="O941" s="4"/>
    </row>
    <row r="942" spans="1:15" s="13" customFormat="1" ht="17.25">
      <c r="A942" s="443"/>
      <c r="B942" s="3"/>
      <c r="C942" s="7"/>
      <c r="D942" s="16"/>
      <c r="E942" s="4"/>
      <c r="F942" s="4"/>
      <c r="G942" s="4"/>
      <c r="H942" s="3"/>
      <c r="J942" s="287"/>
      <c r="K942" s="287"/>
      <c r="L942" s="287"/>
      <c r="M942" s="287"/>
      <c r="N942" s="287"/>
      <c r="O942" s="4"/>
    </row>
    <row r="943" spans="1:15" s="13" customFormat="1" ht="17.25">
      <c r="A943" s="443"/>
      <c r="B943" s="3"/>
      <c r="C943" s="7"/>
      <c r="D943" s="16"/>
      <c r="E943" s="4"/>
      <c r="F943" s="4"/>
      <c r="G943" s="4"/>
      <c r="H943" s="3"/>
      <c r="J943" s="287"/>
      <c r="K943" s="287"/>
      <c r="L943" s="287"/>
      <c r="M943" s="287"/>
      <c r="N943" s="287"/>
      <c r="O943" s="4"/>
    </row>
    <row r="944" spans="1:15" s="13" customFormat="1" ht="17.25">
      <c r="A944" s="443"/>
      <c r="B944" s="3"/>
      <c r="C944" s="7"/>
      <c r="D944" s="16"/>
      <c r="E944" s="4"/>
      <c r="F944" s="4"/>
      <c r="G944" s="4"/>
      <c r="H944" s="3"/>
      <c r="J944" s="287"/>
      <c r="K944" s="287"/>
      <c r="L944" s="287"/>
      <c r="M944" s="287"/>
      <c r="N944" s="287"/>
      <c r="O944" s="4"/>
    </row>
    <row r="945" spans="1:15" s="13" customFormat="1" ht="17.25">
      <c r="A945" s="443"/>
      <c r="B945" s="3"/>
      <c r="C945" s="7"/>
      <c r="D945" s="16"/>
      <c r="E945" s="4"/>
      <c r="F945" s="4"/>
      <c r="G945" s="4"/>
      <c r="H945" s="3"/>
      <c r="J945" s="287"/>
      <c r="K945" s="287"/>
      <c r="L945" s="287"/>
      <c r="M945" s="287"/>
      <c r="N945" s="287"/>
      <c r="O945" s="4"/>
    </row>
    <row r="946" spans="1:15" s="13" customFormat="1" ht="17.25">
      <c r="A946" s="443"/>
      <c r="B946" s="3"/>
      <c r="C946" s="7"/>
      <c r="D946" s="16"/>
      <c r="E946" s="4"/>
      <c r="F946" s="4"/>
      <c r="G946" s="4"/>
      <c r="H946" s="3"/>
      <c r="J946" s="287"/>
      <c r="K946" s="287"/>
      <c r="L946" s="287"/>
      <c r="M946" s="287"/>
      <c r="N946" s="287"/>
      <c r="O946" s="4"/>
    </row>
    <row r="947" spans="1:15" s="13" customFormat="1" ht="17.25">
      <c r="A947" s="443"/>
      <c r="B947" s="3"/>
      <c r="C947" s="7"/>
      <c r="D947" s="16"/>
      <c r="E947" s="4"/>
      <c r="F947" s="4"/>
      <c r="G947" s="4"/>
      <c r="H947" s="3"/>
      <c r="J947" s="287"/>
      <c r="K947" s="287"/>
      <c r="L947" s="287"/>
      <c r="M947" s="287"/>
      <c r="N947" s="287"/>
      <c r="O947" s="4"/>
    </row>
    <row r="948" spans="1:15" s="13" customFormat="1" ht="17.25">
      <c r="A948" s="443"/>
      <c r="B948" s="3"/>
      <c r="C948" s="7"/>
      <c r="D948" s="16"/>
      <c r="E948" s="4"/>
      <c r="F948" s="4"/>
      <c r="G948" s="4"/>
      <c r="H948" s="3"/>
      <c r="J948" s="287"/>
      <c r="K948" s="287"/>
      <c r="L948" s="287"/>
      <c r="M948" s="287"/>
      <c r="N948" s="287"/>
      <c r="O948" s="4"/>
    </row>
    <row r="949" spans="1:15" s="13" customFormat="1" ht="17.25">
      <c r="A949" s="443"/>
      <c r="B949" s="3"/>
      <c r="C949" s="7"/>
      <c r="D949" s="16"/>
      <c r="E949" s="4"/>
      <c r="F949" s="4"/>
      <c r="G949" s="4"/>
      <c r="H949" s="3"/>
      <c r="J949" s="287"/>
      <c r="K949" s="287"/>
      <c r="L949" s="287"/>
      <c r="M949" s="287"/>
      <c r="N949" s="287"/>
      <c r="O949" s="4"/>
    </row>
    <row r="950" spans="1:15" s="13" customFormat="1" ht="17.25">
      <c r="A950" s="443"/>
      <c r="B950" s="3"/>
      <c r="C950" s="7"/>
      <c r="D950" s="16"/>
      <c r="E950" s="4"/>
      <c r="F950" s="4"/>
      <c r="G950" s="4"/>
      <c r="H950" s="3"/>
      <c r="J950" s="287"/>
      <c r="K950" s="287"/>
      <c r="L950" s="287"/>
      <c r="M950" s="287"/>
      <c r="N950" s="287"/>
      <c r="O950" s="4"/>
    </row>
  </sheetData>
  <sheetProtection/>
  <mergeCells count="24">
    <mergeCell ref="B1:Q1"/>
    <mergeCell ref="B830:D830"/>
    <mergeCell ref="I7:I8"/>
    <mergeCell ref="J7:N7"/>
    <mergeCell ref="E7:E8"/>
    <mergeCell ref="B7:B8"/>
    <mergeCell ref="C7:C8"/>
    <mergeCell ref="G7:G8"/>
    <mergeCell ref="D7:D8"/>
    <mergeCell ref="F7:F8"/>
    <mergeCell ref="H7:H8"/>
    <mergeCell ref="D820:G820"/>
    <mergeCell ref="D821:G821"/>
    <mergeCell ref="D824:G824"/>
    <mergeCell ref="D827:G827"/>
    <mergeCell ref="D825:G825"/>
    <mergeCell ref="B828:D828"/>
    <mergeCell ref="B816:G816"/>
    <mergeCell ref="D817:G817"/>
    <mergeCell ref="D819:G819"/>
    <mergeCell ref="B3:N3"/>
    <mergeCell ref="B4:N4"/>
    <mergeCell ref="M5:N5"/>
    <mergeCell ref="D823:G823"/>
  </mergeCells>
  <printOptions horizontalCentered="1"/>
  <pageMargins left="0.1968503937007874" right="0.1968503937007874" top="0.5905511811023623" bottom="0.5905511811023623" header="0.31496062992125984" footer="0.31496062992125984"/>
  <pageSetup fitToHeight="0" horizontalDpi="600" verticalDpi="600" orientation="landscape" paperSize="9" scale="63"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Q71"/>
  <sheetViews>
    <sheetView view="pageBreakPreview" zoomScaleSheetLayoutView="100" zoomScalePageLayoutView="0" workbookViewId="0" topLeftCell="A1">
      <selection activeCell="B1" sqref="B1:Q1"/>
    </sheetView>
  </sheetViews>
  <sheetFormatPr defaultColWidth="9.125" defaultRowHeight="12.75"/>
  <cols>
    <col min="1" max="1" width="3.75390625" style="476" customWidth="1"/>
    <col min="2" max="2" width="80.75390625" style="224" customWidth="1"/>
    <col min="3" max="3" width="15.75390625" style="224" customWidth="1"/>
    <col min="4" max="4" width="9.125" style="224" customWidth="1"/>
    <col min="5" max="5" width="90.375" style="224" customWidth="1"/>
    <col min="6" max="16384" width="9.125" style="224" customWidth="1"/>
  </cols>
  <sheetData>
    <row r="1" spans="1:17" ht="16.5" customHeight="1">
      <c r="A1" s="729"/>
      <c r="B1" s="2140" t="s">
        <v>1464</v>
      </c>
      <c r="C1" s="2140"/>
      <c r="D1" s="2140"/>
      <c r="E1" s="2140"/>
      <c r="F1" s="2140"/>
      <c r="G1" s="2140"/>
      <c r="H1" s="2140"/>
      <c r="I1" s="2140"/>
      <c r="J1" s="2140"/>
      <c r="K1" s="2140"/>
      <c r="L1" s="2140"/>
      <c r="M1" s="2140"/>
      <c r="N1" s="2140"/>
      <c r="O1" s="2140"/>
      <c r="P1" s="2140"/>
      <c r="Q1" s="2140"/>
    </row>
    <row r="2" spans="1:3" s="360" customFormat="1" ht="16.5">
      <c r="A2" s="729"/>
      <c r="B2" s="1414"/>
      <c r="C2" s="1414"/>
    </row>
    <row r="3" spans="1:3" ht="19.5" customHeight="1">
      <c r="A3" s="729"/>
      <c r="B3" s="2136" t="s">
        <v>122</v>
      </c>
      <c r="C3" s="2136"/>
    </row>
    <row r="4" spans="1:3" ht="19.5" customHeight="1">
      <c r="A4" s="729"/>
      <c r="B4" s="2136" t="s">
        <v>310</v>
      </c>
      <c r="C4" s="2136"/>
    </row>
    <row r="5" spans="1:3" ht="33.75" customHeight="1">
      <c r="A5" s="729"/>
      <c r="B5" s="2169" t="s">
        <v>939</v>
      </c>
      <c r="C5" s="2169"/>
    </row>
    <row r="6" spans="1:3" s="730" customFormat="1" ht="19.5" customHeight="1">
      <c r="A6" s="728"/>
      <c r="B6" s="2164" t="s">
        <v>0</v>
      </c>
      <c r="C6" s="2164"/>
    </row>
    <row r="7" spans="1:3" s="103" customFormat="1" ht="15" thickBot="1">
      <c r="A7" s="475"/>
      <c r="B7" s="697" t="s">
        <v>1</v>
      </c>
      <c r="C7" s="696" t="s">
        <v>3</v>
      </c>
    </row>
    <row r="8" spans="1:3" ht="19.5" customHeight="1">
      <c r="A8" s="156"/>
      <c r="B8" s="2165" t="s">
        <v>316</v>
      </c>
      <c r="C8" s="2167" t="s">
        <v>311</v>
      </c>
    </row>
    <row r="9" spans="1:3" ht="19.5" customHeight="1" thickBot="1">
      <c r="A9" s="156"/>
      <c r="B9" s="2166"/>
      <c r="C9" s="2168"/>
    </row>
    <row r="10" spans="1:5" s="225" customFormat="1" ht="32.25" customHeight="1" thickTop="1">
      <c r="A10" s="155">
        <v>1</v>
      </c>
      <c r="B10" s="149" t="s">
        <v>972</v>
      </c>
      <c r="C10" s="1314">
        <v>10200</v>
      </c>
      <c r="D10" s="226"/>
      <c r="E10" s="227"/>
    </row>
    <row r="11" spans="1:5" s="225" customFormat="1" ht="18" customHeight="1">
      <c r="A11" s="155">
        <v>2</v>
      </c>
      <c r="B11" s="149" t="s">
        <v>737</v>
      </c>
      <c r="C11" s="150">
        <f>2550-1550</f>
        <v>1000</v>
      </c>
      <c r="D11" s="226"/>
      <c r="E11" s="227"/>
    </row>
    <row r="12" spans="1:5" s="225" customFormat="1" ht="18" customHeight="1">
      <c r="A12" s="155">
        <v>3</v>
      </c>
      <c r="B12" s="149" t="s">
        <v>738</v>
      </c>
      <c r="C12" s="150">
        <f>2550-1550</f>
        <v>1000</v>
      </c>
      <c r="D12" s="226"/>
      <c r="E12" s="227"/>
    </row>
    <row r="13" spans="1:5" s="225" customFormat="1" ht="18" customHeight="1">
      <c r="A13" s="155">
        <v>4</v>
      </c>
      <c r="B13" s="149" t="s">
        <v>739</v>
      </c>
      <c r="C13" s="150">
        <f>850-400</f>
        <v>450</v>
      </c>
      <c r="D13" s="226"/>
      <c r="E13" s="227"/>
    </row>
    <row r="14" spans="1:5" s="225" customFormat="1" ht="18" customHeight="1">
      <c r="A14" s="155">
        <v>5</v>
      </c>
      <c r="B14" s="149" t="s">
        <v>546</v>
      </c>
      <c r="C14" s="150">
        <f>553-553+500</f>
        <v>500</v>
      </c>
      <c r="D14" s="226"/>
      <c r="E14" s="227"/>
    </row>
    <row r="15" spans="1:5" s="225" customFormat="1" ht="18" customHeight="1">
      <c r="A15" s="155">
        <v>6</v>
      </c>
      <c r="B15" s="149" t="s">
        <v>363</v>
      </c>
      <c r="C15" s="150">
        <f>25975+4880+43245</f>
        <v>74100</v>
      </c>
      <c r="D15" s="226"/>
      <c r="E15" s="227"/>
    </row>
    <row r="16" spans="1:5" s="225" customFormat="1" ht="18" customHeight="1">
      <c r="A16" s="155">
        <v>7</v>
      </c>
      <c r="B16" s="149" t="s">
        <v>313</v>
      </c>
      <c r="C16" s="150">
        <f>6460-5994</f>
        <v>466</v>
      </c>
      <c r="D16" s="226"/>
      <c r="E16" s="227"/>
    </row>
    <row r="17" spans="1:5" s="225" customFormat="1" ht="18" customHeight="1">
      <c r="A17" s="155">
        <v>8</v>
      </c>
      <c r="B17" s="149" t="s">
        <v>312</v>
      </c>
      <c r="C17" s="150">
        <f>11900-1900-4445</f>
        <v>5555</v>
      </c>
      <c r="D17" s="422"/>
      <c r="E17" s="227"/>
    </row>
    <row r="18" spans="1:5" s="225" customFormat="1" ht="18" customHeight="1">
      <c r="A18" s="155">
        <v>9</v>
      </c>
      <c r="B18" s="149" t="s">
        <v>474</v>
      </c>
      <c r="C18" s="150">
        <v>60000</v>
      </c>
      <c r="D18" s="422"/>
      <c r="E18" s="227"/>
    </row>
    <row r="19" spans="1:5" s="225" customFormat="1" ht="30.75" customHeight="1">
      <c r="A19" s="155">
        <v>10</v>
      </c>
      <c r="B19" s="149" t="s">
        <v>752</v>
      </c>
      <c r="C19" s="1314">
        <v>1275</v>
      </c>
      <c r="D19" s="422"/>
      <c r="E19" s="227"/>
    </row>
    <row r="20" spans="1:5" s="225" customFormat="1" ht="19.5" customHeight="1">
      <c r="A20" s="155">
        <v>11</v>
      </c>
      <c r="B20" s="149" t="s">
        <v>1067</v>
      </c>
      <c r="C20" s="1314">
        <v>2500</v>
      </c>
      <c r="D20" s="422"/>
      <c r="E20" s="227"/>
    </row>
    <row r="21" spans="1:5" s="225" customFormat="1" ht="18" customHeight="1">
      <c r="A21" s="155">
        <v>12</v>
      </c>
      <c r="B21" s="1277" t="s">
        <v>811</v>
      </c>
      <c r="C21" s="150">
        <v>50</v>
      </c>
      <c r="D21" s="422"/>
      <c r="E21" s="227"/>
    </row>
    <row r="22" spans="1:5" s="225" customFormat="1" ht="18" customHeight="1">
      <c r="A22" s="155">
        <v>13</v>
      </c>
      <c r="B22" s="1277" t="s">
        <v>855</v>
      </c>
      <c r="C22" s="1194">
        <v>10000</v>
      </c>
      <c r="D22" s="422"/>
      <c r="E22" s="227"/>
    </row>
    <row r="23" spans="1:5" s="225" customFormat="1" ht="18" customHeight="1">
      <c r="A23" s="155">
        <v>14</v>
      </c>
      <c r="B23" s="1277" t="s">
        <v>835</v>
      </c>
      <c r="C23" s="150">
        <v>375</v>
      </c>
      <c r="D23" s="422"/>
      <c r="E23" s="227"/>
    </row>
    <row r="24" spans="1:5" s="225" customFormat="1" ht="18" customHeight="1">
      <c r="A24" s="155">
        <v>15</v>
      </c>
      <c r="B24" s="1277" t="s">
        <v>836</v>
      </c>
      <c r="C24" s="150">
        <v>83</v>
      </c>
      <c r="D24" s="422"/>
      <c r="E24" s="227"/>
    </row>
    <row r="25" spans="1:5" s="225" customFormat="1" ht="18" customHeight="1">
      <c r="A25" s="155">
        <v>16</v>
      </c>
      <c r="B25" s="1277" t="s">
        <v>837</v>
      </c>
      <c r="C25" s="150">
        <v>250</v>
      </c>
      <c r="D25" s="422"/>
      <c r="E25" s="227"/>
    </row>
    <row r="26" spans="1:5" s="225" customFormat="1" ht="18" customHeight="1">
      <c r="A26" s="155">
        <v>17</v>
      </c>
      <c r="B26" s="1195" t="s">
        <v>842</v>
      </c>
      <c r="C26" s="1194">
        <v>1375</v>
      </c>
      <c r="D26" s="422"/>
      <c r="E26" s="227"/>
    </row>
    <row r="27" spans="1:5" s="225" customFormat="1" ht="18" customHeight="1">
      <c r="A27" s="155">
        <v>18</v>
      </c>
      <c r="B27" s="1277" t="s">
        <v>956</v>
      </c>
      <c r="C27" s="150">
        <v>1500</v>
      </c>
      <c r="D27" s="422"/>
      <c r="E27" s="227"/>
    </row>
    <row r="28" spans="1:5" s="225" customFormat="1" ht="18" customHeight="1">
      <c r="A28" s="155">
        <v>19</v>
      </c>
      <c r="B28" s="1277" t="s">
        <v>957</v>
      </c>
      <c r="C28" s="1194">
        <v>4375</v>
      </c>
      <c r="D28" s="422"/>
      <c r="E28" s="227"/>
    </row>
    <row r="29" spans="1:5" s="225" customFormat="1" ht="18" customHeight="1">
      <c r="A29" s="155">
        <v>20</v>
      </c>
      <c r="B29" s="1277" t="s">
        <v>959</v>
      </c>
      <c r="C29" s="150">
        <v>600</v>
      </c>
      <c r="D29" s="422"/>
      <c r="E29" s="227"/>
    </row>
    <row r="30" spans="1:5" s="225" customFormat="1" ht="18" customHeight="1">
      <c r="A30" s="155">
        <v>21</v>
      </c>
      <c r="B30" s="1379" t="s">
        <v>960</v>
      </c>
      <c r="C30" s="150"/>
      <c r="D30" s="422"/>
      <c r="E30" s="227"/>
    </row>
    <row r="31" spans="1:5" s="225" customFormat="1" ht="18" customHeight="1">
      <c r="A31" s="155">
        <v>22</v>
      </c>
      <c r="B31" s="149" t="s">
        <v>472</v>
      </c>
      <c r="C31" s="150">
        <v>300</v>
      </c>
      <c r="D31" s="422"/>
      <c r="E31" s="227"/>
    </row>
    <row r="32" spans="1:5" s="225" customFormat="1" ht="18" customHeight="1">
      <c r="A32" s="155">
        <v>23</v>
      </c>
      <c r="B32" s="149" t="s">
        <v>971</v>
      </c>
      <c r="C32" s="150">
        <v>300</v>
      </c>
      <c r="D32" s="422"/>
      <c r="E32" s="227"/>
    </row>
    <row r="33" spans="1:5" s="225" customFormat="1" ht="18" customHeight="1">
      <c r="A33" s="155">
        <v>24</v>
      </c>
      <c r="B33" s="149" t="s">
        <v>874</v>
      </c>
      <c r="C33" s="150">
        <v>900</v>
      </c>
      <c r="D33" s="422"/>
      <c r="E33" s="227"/>
    </row>
    <row r="34" spans="1:5" s="225" customFormat="1" ht="18" customHeight="1">
      <c r="A34" s="155">
        <v>25</v>
      </c>
      <c r="B34" s="149" t="s">
        <v>992</v>
      </c>
      <c r="C34" s="150">
        <v>1000</v>
      </c>
      <c r="D34" s="422"/>
      <c r="E34" s="227"/>
    </row>
    <row r="35" spans="1:5" s="225" customFormat="1" ht="18" customHeight="1">
      <c r="A35" s="155">
        <v>26</v>
      </c>
      <c r="B35" s="1379" t="s">
        <v>897</v>
      </c>
      <c r="C35" s="150"/>
      <c r="D35" s="422"/>
      <c r="E35" s="227"/>
    </row>
    <row r="36" spans="1:5" s="225" customFormat="1" ht="18" customHeight="1">
      <c r="A36" s="155">
        <v>27</v>
      </c>
      <c r="B36" s="149" t="s">
        <v>471</v>
      </c>
      <c r="C36" s="150">
        <f>17000-8500</f>
        <v>8500</v>
      </c>
      <c r="D36" s="422"/>
      <c r="E36" s="227"/>
    </row>
    <row r="37" spans="1:5" s="225" customFormat="1" ht="18" customHeight="1">
      <c r="A37" s="155">
        <v>28</v>
      </c>
      <c r="B37" s="149" t="s">
        <v>472</v>
      </c>
      <c r="C37" s="150">
        <f>28000-15500</f>
        <v>12500</v>
      </c>
      <c r="D37" s="422"/>
      <c r="E37" s="227"/>
    </row>
    <row r="38" spans="1:5" s="225" customFormat="1" ht="18" customHeight="1">
      <c r="A38" s="155">
        <v>29</v>
      </c>
      <c r="B38" s="149" t="s">
        <v>335</v>
      </c>
      <c r="C38" s="150">
        <f>30000-15000</f>
        <v>15000</v>
      </c>
      <c r="D38" s="422"/>
      <c r="E38" s="227"/>
    </row>
    <row r="39" spans="1:5" s="225" customFormat="1" ht="18" customHeight="1">
      <c r="A39" s="155">
        <v>30</v>
      </c>
      <c r="B39" s="149" t="s">
        <v>866</v>
      </c>
      <c r="C39" s="150">
        <v>3000</v>
      </c>
      <c r="D39" s="422"/>
      <c r="E39" s="227"/>
    </row>
    <row r="40" spans="1:5" s="225" customFormat="1" ht="18" customHeight="1">
      <c r="A40" s="155">
        <v>31</v>
      </c>
      <c r="B40" s="149" t="s">
        <v>867</v>
      </c>
      <c r="C40" s="150">
        <v>1500</v>
      </c>
      <c r="D40" s="422"/>
      <c r="E40" s="227"/>
    </row>
    <row r="41" spans="1:5" s="225" customFormat="1" ht="18" customHeight="1">
      <c r="A41" s="155">
        <v>32</v>
      </c>
      <c r="B41" s="149" t="s">
        <v>868</v>
      </c>
      <c r="C41" s="150">
        <v>1750</v>
      </c>
      <c r="D41" s="422"/>
      <c r="E41" s="227"/>
    </row>
    <row r="42" spans="1:5" s="225" customFormat="1" ht="18" customHeight="1">
      <c r="A42" s="155">
        <v>33</v>
      </c>
      <c r="B42" s="149" t="s">
        <v>869</v>
      </c>
      <c r="C42" s="150">
        <v>3000</v>
      </c>
      <c r="D42" s="422"/>
      <c r="E42" s="227"/>
    </row>
    <row r="43" spans="1:5" s="225" customFormat="1" ht="18" customHeight="1">
      <c r="A43" s="155">
        <v>34</v>
      </c>
      <c r="B43" s="149" t="s">
        <v>870</v>
      </c>
      <c r="C43" s="150">
        <v>2500</v>
      </c>
      <c r="D43" s="422"/>
      <c r="E43" s="227"/>
    </row>
    <row r="44" spans="1:5" s="225" customFormat="1" ht="18" customHeight="1">
      <c r="A44" s="155">
        <v>35</v>
      </c>
      <c r="B44" s="149" t="s">
        <v>871</v>
      </c>
      <c r="C44" s="150">
        <v>1600</v>
      </c>
      <c r="D44" s="422"/>
      <c r="E44" s="227"/>
    </row>
    <row r="45" spans="1:5" s="225" customFormat="1" ht="18" customHeight="1">
      <c r="A45" s="155">
        <v>36</v>
      </c>
      <c r="B45" s="149" t="s">
        <v>872</v>
      </c>
      <c r="C45" s="150">
        <v>500</v>
      </c>
      <c r="D45" s="422"/>
      <c r="E45" s="227"/>
    </row>
    <row r="46" spans="1:5" s="225" customFormat="1" ht="18" customHeight="1">
      <c r="A46" s="155">
        <v>37</v>
      </c>
      <c r="B46" s="149" t="s">
        <v>873</v>
      </c>
      <c r="C46" s="150">
        <v>4750</v>
      </c>
      <c r="D46" s="422"/>
      <c r="E46" s="227"/>
    </row>
    <row r="47" spans="1:5" s="225" customFormat="1" ht="18" customHeight="1">
      <c r="A47" s="155">
        <v>38</v>
      </c>
      <c r="B47" s="149" t="s">
        <v>874</v>
      </c>
      <c r="C47" s="150">
        <v>1500</v>
      </c>
      <c r="D47" s="422"/>
      <c r="E47" s="227"/>
    </row>
    <row r="48" spans="1:5" s="225" customFormat="1" ht="18" customHeight="1">
      <c r="A48" s="155">
        <v>39</v>
      </c>
      <c r="B48" s="149" t="s">
        <v>875</v>
      </c>
      <c r="C48" s="150">
        <v>700</v>
      </c>
      <c r="D48" s="422"/>
      <c r="E48" s="227"/>
    </row>
    <row r="49" spans="1:5" s="225" customFormat="1" ht="18" customHeight="1">
      <c r="A49" s="155">
        <v>40</v>
      </c>
      <c r="B49" s="149" t="s">
        <v>923</v>
      </c>
      <c r="C49" s="150">
        <v>300</v>
      </c>
      <c r="D49" s="422"/>
      <c r="E49" s="227"/>
    </row>
    <row r="50" spans="1:5" s="225" customFormat="1" ht="18" customHeight="1">
      <c r="A50" s="155">
        <v>41</v>
      </c>
      <c r="B50" s="149" t="s">
        <v>876</v>
      </c>
      <c r="C50" s="150">
        <v>300</v>
      </c>
      <c r="D50" s="422"/>
      <c r="E50" s="227"/>
    </row>
    <row r="51" spans="1:5" s="225" customFormat="1" ht="18" customHeight="1">
      <c r="A51" s="155">
        <v>42</v>
      </c>
      <c r="B51" s="149" t="s">
        <v>877</v>
      </c>
      <c r="C51" s="150">
        <v>300</v>
      </c>
      <c r="D51" s="422"/>
      <c r="E51" s="227"/>
    </row>
    <row r="52" spans="1:5" s="225" customFormat="1" ht="18" customHeight="1">
      <c r="A52" s="155">
        <v>43</v>
      </c>
      <c r="B52" s="149" t="s">
        <v>878</v>
      </c>
      <c r="C52" s="150">
        <v>100</v>
      </c>
      <c r="D52" s="422"/>
      <c r="E52" s="227"/>
    </row>
    <row r="53" spans="1:5" s="225" customFormat="1" ht="18" customHeight="1">
      <c r="A53" s="155">
        <v>44</v>
      </c>
      <c r="B53" s="149" t="s">
        <v>879</v>
      </c>
      <c r="C53" s="150">
        <v>100</v>
      </c>
      <c r="D53" s="422"/>
      <c r="E53" s="227"/>
    </row>
    <row r="54" spans="1:5" s="225" customFormat="1" ht="18" customHeight="1">
      <c r="A54" s="155">
        <v>45</v>
      </c>
      <c r="B54" s="149" t="s">
        <v>880</v>
      </c>
      <c r="C54" s="150">
        <v>100</v>
      </c>
      <c r="D54" s="422"/>
      <c r="E54" s="227"/>
    </row>
    <row r="55" spans="1:5" s="225" customFormat="1" ht="18" customHeight="1">
      <c r="A55" s="155">
        <v>46</v>
      </c>
      <c r="B55" s="149" t="s">
        <v>881</v>
      </c>
      <c r="C55" s="150">
        <v>100</v>
      </c>
      <c r="D55" s="422"/>
      <c r="E55" s="227"/>
    </row>
    <row r="56" spans="1:5" s="225" customFormat="1" ht="18" customHeight="1">
      <c r="A56" s="155">
        <v>47</v>
      </c>
      <c r="B56" s="149" t="s">
        <v>882</v>
      </c>
      <c r="C56" s="150">
        <v>75</v>
      </c>
      <c r="D56" s="422"/>
      <c r="E56" s="227"/>
    </row>
    <row r="57" spans="1:5" s="225" customFormat="1" ht="18" customHeight="1">
      <c r="A57" s="155">
        <v>48</v>
      </c>
      <c r="B57" s="149" t="s">
        <v>883</v>
      </c>
      <c r="C57" s="150">
        <v>50</v>
      </c>
      <c r="D57" s="422"/>
      <c r="E57" s="227"/>
    </row>
    <row r="58" spans="1:5" s="225" customFormat="1" ht="18" customHeight="1">
      <c r="A58" s="155">
        <v>49</v>
      </c>
      <c r="B58" s="149" t="s">
        <v>884</v>
      </c>
      <c r="C58" s="150">
        <v>50</v>
      </c>
      <c r="D58" s="422"/>
      <c r="E58" s="227"/>
    </row>
    <row r="59" spans="1:5" s="225" customFormat="1" ht="18" customHeight="1">
      <c r="A59" s="155">
        <v>50</v>
      </c>
      <c r="B59" s="149" t="s">
        <v>885</v>
      </c>
      <c r="C59" s="150">
        <v>50</v>
      </c>
      <c r="D59" s="422"/>
      <c r="E59" s="227"/>
    </row>
    <row r="60" spans="1:5" s="225" customFormat="1" ht="18" customHeight="1">
      <c r="A60" s="155">
        <v>51</v>
      </c>
      <c r="B60" s="149" t="s">
        <v>886</v>
      </c>
      <c r="C60" s="150">
        <v>50</v>
      </c>
      <c r="D60" s="422"/>
      <c r="E60" s="227"/>
    </row>
    <row r="61" spans="1:5" s="225" customFormat="1" ht="18" customHeight="1">
      <c r="A61" s="155">
        <v>52</v>
      </c>
      <c r="B61" s="149" t="s">
        <v>887</v>
      </c>
      <c r="C61" s="150">
        <v>50</v>
      </c>
      <c r="D61" s="422"/>
      <c r="E61" s="227"/>
    </row>
    <row r="62" spans="1:5" s="225" customFormat="1" ht="18" customHeight="1">
      <c r="A62" s="155">
        <v>53</v>
      </c>
      <c r="B62" s="149" t="s">
        <v>888</v>
      </c>
      <c r="C62" s="150">
        <v>50</v>
      </c>
      <c r="D62" s="422"/>
      <c r="E62" s="227"/>
    </row>
    <row r="63" spans="1:5" s="225" customFormat="1" ht="18" customHeight="1">
      <c r="A63" s="155">
        <v>54</v>
      </c>
      <c r="B63" s="149" t="s">
        <v>889</v>
      </c>
      <c r="C63" s="150">
        <v>50</v>
      </c>
      <c r="D63" s="422"/>
      <c r="E63" s="227"/>
    </row>
    <row r="64" spans="1:5" s="225" customFormat="1" ht="18" customHeight="1">
      <c r="A64" s="155">
        <v>55</v>
      </c>
      <c r="B64" s="149" t="s">
        <v>890</v>
      </c>
      <c r="C64" s="150">
        <v>50</v>
      </c>
      <c r="D64" s="422"/>
      <c r="E64" s="227"/>
    </row>
    <row r="65" spans="1:5" s="225" customFormat="1" ht="18" customHeight="1">
      <c r="A65" s="155">
        <v>56</v>
      </c>
      <c r="B65" s="149" t="s">
        <v>891</v>
      </c>
      <c r="C65" s="150">
        <v>50</v>
      </c>
      <c r="D65" s="422"/>
      <c r="E65" s="227"/>
    </row>
    <row r="66" spans="1:5" s="225" customFormat="1" ht="18" customHeight="1">
      <c r="A66" s="155">
        <v>57</v>
      </c>
      <c r="B66" s="1380" t="s">
        <v>892</v>
      </c>
      <c r="C66" s="150"/>
      <c r="D66" s="422"/>
      <c r="E66" s="227"/>
    </row>
    <row r="67" spans="1:5" s="225" customFormat="1" ht="18" customHeight="1">
      <c r="A67" s="155">
        <v>58</v>
      </c>
      <c r="B67" s="149" t="s">
        <v>893</v>
      </c>
      <c r="C67" s="150">
        <v>600</v>
      </c>
      <c r="D67" s="422"/>
      <c r="E67" s="227"/>
    </row>
    <row r="68" spans="1:5" s="225" customFormat="1" ht="18" customHeight="1">
      <c r="A68" s="155">
        <v>59</v>
      </c>
      <c r="B68" s="149" t="s">
        <v>894</v>
      </c>
      <c r="C68" s="150">
        <v>600</v>
      </c>
      <c r="D68" s="422"/>
      <c r="E68" s="227"/>
    </row>
    <row r="69" spans="1:5" s="225" customFormat="1" ht="18" customHeight="1">
      <c r="A69" s="155">
        <v>60</v>
      </c>
      <c r="B69" s="149" t="s">
        <v>895</v>
      </c>
      <c r="C69" s="150">
        <v>600</v>
      </c>
      <c r="D69" s="422"/>
      <c r="E69" s="227"/>
    </row>
    <row r="70" spans="1:5" s="225" customFormat="1" ht="18" customHeight="1" thickBot="1">
      <c r="A70" s="155">
        <v>61</v>
      </c>
      <c r="B70" s="149" t="s">
        <v>896</v>
      </c>
      <c r="C70" s="150">
        <v>1800</v>
      </c>
      <c r="D70" s="422"/>
      <c r="E70" s="227"/>
    </row>
    <row r="71" spans="1:3" ht="30" customHeight="1" thickBot="1">
      <c r="A71" s="155"/>
      <c r="B71" s="151" t="s">
        <v>13</v>
      </c>
      <c r="C71" s="152">
        <f>SUM(C10:C70)</f>
        <v>240379</v>
      </c>
    </row>
  </sheetData>
  <sheetProtection/>
  <mergeCells count="7">
    <mergeCell ref="B1:Q1"/>
    <mergeCell ref="B6:C6"/>
    <mergeCell ref="B8:B9"/>
    <mergeCell ref="C8:C9"/>
    <mergeCell ref="B3:C3"/>
    <mergeCell ref="B4:C4"/>
    <mergeCell ref="B5:C5"/>
  </mergeCells>
  <printOptions horizontalCentered="1"/>
  <pageMargins left="0.1968503937007874" right="0.1968503937007874" top="0.5905511811023623" bottom="0.5905511811023623" header="0.31496062992125984" footer="0.31496062992125984"/>
  <pageSetup fitToHeight="0" horizontalDpi="600" verticalDpi="600" orientation="portrait" paperSize="9" scale="90" r:id="rId1"/>
  <headerFooter>
    <oddFooter>&amp;C- &amp;P -</oddFooter>
  </headerFooter>
</worksheet>
</file>

<file path=xl/worksheets/sheet9.xml><?xml version="1.0" encoding="utf-8"?>
<worksheet xmlns="http://schemas.openxmlformats.org/spreadsheetml/2006/main" xmlns:r="http://schemas.openxmlformats.org/officeDocument/2006/relationships">
  <dimension ref="A1:IQ274"/>
  <sheetViews>
    <sheetView view="pageBreakPreview" zoomScaleSheetLayoutView="100" zoomScalePageLayoutView="0" workbookViewId="0" topLeftCell="A1">
      <selection activeCell="B1" sqref="B1:Q1"/>
    </sheetView>
  </sheetViews>
  <sheetFormatPr defaultColWidth="9.125" defaultRowHeight="12.75"/>
  <cols>
    <col min="1" max="1" width="3.875" style="508" customWidth="1"/>
    <col min="2" max="2" width="5.75390625" style="499" customWidth="1"/>
    <col min="3" max="3" width="5.75390625" style="500" customWidth="1"/>
    <col min="4" max="4" width="59.75390625" style="501" customWidth="1"/>
    <col min="5" max="7" width="10.75390625" style="497" customWidth="1"/>
    <col min="8" max="8" width="6.75390625" style="502" customWidth="1"/>
    <col min="9" max="11" width="14.875" style="497" customWidth="1"/>
    <col min="12" max="12" width="15.75390625" style="497" customWidth="1"/>
    <col min="13" max="13" width="13.75390625" style="507" customWidth="1"/>
    <col min="14" max="16384" width="9.125" style="498" customWidth="1"/>
  </cols>
  <sheetData>
    <row r="1" spans="1:17" ht="16.5" customHeight="1">
      <c r="A1" s="1408"/>
      <c r="B1" s="2140" t="s">
        <v>1465</v>
      </c>
      <c r="C1" s="2140"/>
      <c r="D1" s="2140"/>
      <c r="E1" s="2140"/>
      <c r="F1" s="2140"/>
      <c r="G1" s="2140"/>
      <c r="H1" s="2140"/>
      <c r="I1" s="2140"/>
      <c r="J1" s="2140"/>
      <c r="K1" s="2140"/>
      <c r="L1" s="2140"/>
      <c r="M1" s="2140"/>
      <c r="N1" s="2140"/>
      <c r="O1" s="2140"/>
      <c r="P1" s="2140"/>
      <c r="Q1" s="2140"/>
    </row>
    <row r="2" spans="1:251" s="320" customFormat="1" ht="18" customHeight="1">
      <c r="A2" s="1408"/>
      <c r="B2" s="1449"/>
      <c r="C2" s="1449"/>
      <c r="D2" s="1449"/>
      <c r="E2" s="1449"/>
      <c r="F2" s="1449"/>
      <c r="G2" s="1449"/>
      <c r="H2" s="1449"/>
      <c r="I2" s="1449"/>
      <c r="J2" s="1449"/>
      <c r="K2" s="1449"/>
      <c r="L2" s="1449"/>
      <c r="M2" s="1449"/>
      <c r="N2" s="1153"/>
      <c r="O2" s="1153"/>
      <c r="P2" s="1153"/>
      <c r="Q2" s="1153"/>
      <c r="R2" s="1153"/>
      <c r="S2" s="1153"/>
      <c r="T2" s="1153"/>
      <c r="U2" s="1153"/>
      <c r="V2" s="1153"/>
      <c r="W2" s="1153"/>
      <c r="X2" s="1153"/>
      <c r="Y2" s="1153"/>
      <c r="Z2" s="1153"/>
      <c r="AA2" s="1153"/>
      <c r="AB2" s="1153"/>
      <c r="AC2" s="1153"/>
      <c r="AD2" s="1153"/>
      <c r="AE2" s="1153"/>
      <c r="AF2" s="1153"/>
      <c r="AG2" s="1153"/>
      <c r="AH2" s="1153"/>
      <c r="AI2" s="1153"/>
      <c r="AJ2" s="1153"/>
      <c r="AK2" s="1153"/>
      <c r="AL2" s="1153"/>
      <c r="AM2" s="1153"/>
      <c r="AN2" s="1153"/>
      <c r="AO2" s="1153"/>
      <c r="AP2" s="1153"/>
      <c r="AQ2" s="1153"/>
      <c r="AR2" s="1153"/>
      <c r="AS2" s="1153"/>
      <c r="AT2" s="1153"/>
      <c r="AU2" s="1153"/>
      <c r="AV2" s="1153"/>
      <c r="AW2" s="1153"/>
      <c r="AX2" s="1153"/>
      <c r="AY2" s="1153"/>
      <c r="AZ2" s="1153"/>
      <c r="BA2" s="1153"/>
      <c r="BB2" s="1153"/>
      <c r="BC2" s="1153"/>
      <c r="BD2" s="1153"/>
      <c r="BE2" s="1153"/>
      <c r="BF2" s="1153"/>
      <c r="BG2" s="1153"/>
      <c r="BH2" s="1153"/>
      <c r="BI2" s="1153"/>
      <c r="BJ2" s="1153"/>
      <c r="BK2" s="1153"/>
      <c r="BL2" s="1153"/>
      <c r="BM2" s="1153"/>
      <c r="BN2" s="1153"/>
      <c r="BO2" s="1153"/>
      <c r="BP2" s="1153"/>
      <c r="BQ2" s="1153"/>
      <c r="BR2" s="1153"/>
      <c r="BS2" s="1153"/>
      <c r="BT2" s="1153"/>
      <c r="BU2" s="1153"/>
      <c r="BV2" s="1153"/>
      <c r="BW2" s="1153"/>
      <c r="BX2" s="1153"/>
      <c r="BY2" s="1153"/>
      <c r="BZ2" s="1153"/>
      <c r="CA2" s="1153"/>
      <c r="CB2" s="1153"/>
      <c r="CC2" s="1153"/>
      <c r="CD2" s="1153"/>
      <c r="CE2" s="1153"/>
      <c r="CF2" s="1153"/>
      <c r="CG2" s="1153"/>
      <c r="CH2" s="1153"/>
      <c r="CI2" s="1153"/>
      <c r="CJ2" s="1153"/>
      <c r="CK2" s="1153"/>
      <c r="CL2" s="1153"/>
      <c r="CM2" s="1153"/>
      <c r="CN2" s="1153"/>
      <c r="CO2" s="1153"/>
      <c r="CP2" s="1153"/>
      <c r="CQ2" s="1153"/>
      <c r="CR2" s="1153"/>
      <c r="CS2" s="1153"/>
      <c r="CT2" s="1153"/>
      <c r="CU2" s="1153"/>
      <c r="CV2" s="1153"/>
      <c r="CW2" s="1153"/>
      <c r="CX2" s="1153"/>
      <c r="CY2" s="1153"/>
      <c r="CZ2" s="1153"/>
      <c r="DA2" s="1153"/>
      <c r="DB2" s="1153"/>
      <c r="DC2" s="1153"/>
      <c r="DD2" s="1153"/>
      <c r="DE2" s="1153"/>
      <c r="DF2" s="1153"/>
      <c r="DG2" s="1153"/>
      <c r="DH2" s="1153"/>
      <c r="DI2" s="1153"/>
      <c r="DJ2" s="1153"/>
      <c r="DK2" s="1153"/>
      <c r="DL2" s="1153"/>
      <c r="DM2" s="1153"/>
      <c r="DN2" s="1153"/>
      <c r="DO2" s="1153"/>
      <c r="DP2" s="1153"/>
      <c r="DQ2" s="1153"/>
      <c r="DR2" s="1153"/>
      <c r="DS2" s="1153"/>
      <c r="DT2" s="1153"/>
      <c r="DU2" s="1153"/>
      <c r="DV2" s="1153"/>
      <c r="DW2" s="1153"/>
      <c r="DX2" s="1153"/>
      <c r="DY2" s="1153"/>
      <c r="DZ2" s="1153"/>
      <c r="EA2" s="1153"/>
      <c r="EB2" s="1153"/>
      <c r="EC2" s="1153"/>
      <c r="ED2" s="1153"/>
      <c r="EE2" s="1153"/>
      <c r="EF2" s="1153"/>
      <c r="EG2" s="1153"/>
      <c r="EH2" s="1153"/>
      <c r="EI2" s="1153"/>
      <c r="EJ2" s="1153"/>
      <c r="EK2" s="1153"/>
      <c r="EL2" s="1153"/>
      <c r="EM2" s="1153"/>
      <c r="EN2" s="1153"/>
      <c r="EO2" s="1153"/>
      <c r="EP2" s="1153"/>
      <c r="EQ2" s="1153"/>
      <c r="ER2" s="1153"/>
      <c r="ES2" s="1153"/>
      <c r="ET2" s="1153"/>
      <c r="EU2" s="1153"/>
      <c r="EV2" s="1153"/>
      <c r="EW2" s="1153"/>
      <c r="EX2" s="1153"/>
      <c r="EY2" s="1153"/>
      <c r="EZ2" s="1153"/>
      <c r="FA2" s="1153"/>
      <c r="FB2" s="1153"/>
      <c r="FC2" s="1153"/>
      <c r="FD2" s="1153"/>
      <c r="FE2" s="1153"/>
      <c r="FF2" s="1153"/>
      <c r="FG2" s="1153"/>
      <c r="FH2" s="1153"/>
      <c r="FI2" s="1153"/>
      <c r="FJ2" s="1153"/>
      <c r="FK2" s="1153"/>
      <c r="FL2" s="1153"/>
      <c r="FM2" s="1153"/>
      <c r="FN2" s="1153"/>
      <c r="FO2" s="1153"/>
      <c r="FP2" s="1153"/>
      <c r="FQ2" s="1153"/>
      <c r="FR2" s="1153"/>
      <c r="FS2" s="1153"/>
      <c r="FT2" s="1153"/>
      <c r="FU2" s="1153"/>
      <c r="FV2" s="1153"/>
      <c r="FW2" s="1153"/>
      <c r="FX2" s="1153"/>
      <c r="FY2" s="1153"/>
      <c r="FZ2" s="1153"/>
      <c r="GA2" s="1153"/>
      <c r="GB2" s="1153"/>
      <c r="GC2" s="1153"/>
      <c r="GD2" s="1153"/>
      <c r="GE2" s="1153"/>
      <c r="GF2" s="1153"/>
      <c r="GG2" s="1153"/>
      <c r="GH2" s="1153"/>
      <c r="GI2" s="1153"/>
      <c r="GJ2" s="1153"/>
      <c r="GK2" s="1153"/>
      <c r="GL2" s="1153"/>
      <c r="GM2" s="1153"/>
      <c r="GN2" s="1153"/>
      <c r="GO2" s="1153"/>
      <c r="GP2" s="1153"/>
      <c r="GQ2" s="1153"/>
      <c r="GR2" s="1153"/>
      <c r="GS2" s="1153"/>
      <c r="GT2" s="1153"/>
      <c r="GU2" s="1153"/>
      <c r="GV2" s="1153"/>
      <c r="GW2" s="1153"/>
      <c r="GX2" s="1153"/>
      <c r="GY2" s="1153"/>
      <c r="GZ2" s="1153"/>
      <c r="HA2" s="1153"/>
      <c r="HB2" s="1153"/>
      <c r="HC2" s="1153"/>
      <c r="HD2" s="1153"/>
      <c r="HE2" s="1153"/>
      <c r="HF2" s="1153"/>
      <c r="HG2" s="1153"/>
      <c r="HH2" s="1153"/>
      <c r="HI2" s="1153"/>
      <c r="HJ2" s="1153"/>
      <c r="HK2" s="1153"/>
      <c r="HL2" s="1153"/>
      <c r="HM2" s="1153"/>
      <c r="HN2" s="1153"/>
      <c r="HO2" s="1153"/>
      <c r="HP2" s="1153"/>
      <c r="HQ2" s="1153"/>
      <c r="HR2" s="1153"/>
      <c r="HS2" s="1153"/>
      <c r="HT2" s="1153"/>
      <c r="HU2" s="1153"/>
      <c r="HV2" s="1153"/>
      <c r="HW2" s="1153"/>
      <c r="HX2" s="1153"/>
      <c r="HY2" s="1153"/>
      <c r="HZ2" s="1153"/>
      <c r="IA2" s="1153"/>
      <c r="IB2" s="1153"/>
      <c r="IC2" s="1153"/>
      <c r="ID2" s="1153"/>
      <c r="IE2" s="1153"/>
      <c r="IF2" s="1153"/>
      <c r="IG2" s="1153"/>
      <c r="IH2" s="1153"/>
      <c r="II2" s="1153"/>
      <c r="IJ2" s="1153"/>
      <c r="IK2" s="1153"/>
      <c r="IL2" s="1153"/>
      <c r="IM2" s="1153"/>
      <c r="IN2" s="1153"/>
      <c r="IO2" s="1153"/>
      <c r="IP2" s="1153"/>
      <c r="IQ2" s="1153"/>
    </row>
    <row r="3" spans="1:13" s="320" customFormat="1" ht="18" customHeight="1">
      <c r="A3" s="508"/>
      <c r="B3" s="2173" t="s">
        <v>14</v>
      </c>
      <c r="C3" s="2173"/>
      <c r="D3" s="2173"/>
      <c r="E3" s="2173"/>
      <c r="F3" s="2173"/>
      <c r="G3" s="2173"/>
      <c r="H3" s="2173"/>
      <c r="I3" s="2173"/>
      <c r="J3" s="2173"/>
      <c r="K3" s="2173"/>
      <c r="L3" s="2173"/>
      <c r="M3" s="2173"/>
    </row>
    <row r="4" spans="1:13" s="320" customFormat="1" ht="18" customHeight="1">
      <c r="A4" s="508"/>
      <c r="B4" s="2174" t="s">
        <v>1047</v>
      </c>
      <c r="C4" s="2174"/>
      <c r="D4" s="2174"/>
      <c r="E4" s="2174"/>
      <c r="F4" s="2174"/>
      <c r="G4" s="2174"/>
      <c r="H4" s="2174"/>
      <c r="I4" s="2174"/>
      <c r="J4" s="2174"/>
      <c r="K4" s="2174"/>
      <c r="L4" s="2174"/>
      <c r="M4" s="2174"/>
    </row>
    <row r="5" ht="18" customHeight="1">
      <c r="M5" s="503" t="s">
        <v>0</v>
      </c>
    </row>
    <row r="6" spans="1:251" s="101" customFormat="1" ht="18" customHeight="1" thickBot="1">
      <c r="A6" s="508"/>
      <c r="B6" s="530" t="s">
        <v>1</v>
      </c>
      <c r="C6" s="531" t="s">
        <v>3</v>
      </c>
      <c r="D6" s="531" t="s">
        <v>2</v>
      </c>
      <c r="E6" s="531" t="s">
        <v>4</v>
      </c>
      <c r="F6" s="531" t="s">
        <v>5</v>
      </c>
      <c r="G6" s="531" t="s">
        <v>15</v>
      </c>
      <c r="H6" s="531" t="s">
        <v>16</v>
      </c>
      <c r="I6" s="531" t="s">
        <v>17</v>
      </c>
      <c r="J6" s="531" t="s">
        <v>36</v>
      </c>
      <c r="K6" s="531" t="s">
        <v>30</v>
      </c>
      <c r="L6" s="531" t="s">
        <v>23</v>
      </c>
      <c r="M6" s="531" t="s">
        <v>37</v>
      </c>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8"/>
      <c r="AM6" s="508"/>
      <c r="AN6" s="508"/>
      <c r="AO6" s="508"/>
      <c r="AP6" s="508"/>
      <c r="AQ6" s="508"/>
      <c r="AR6" s="508"/>
      <c r="AS6" s="508"/>
      <c r="AT6" s="508"/>
      <c r="AU6" s="508"/>
      <c r="AV6" s="508"/>
      <c r="AW6" s="508"/>
      <c r="AX6" s="508"/>
      <c r="AY6" s="508"/>
      <c r="AZ6" s="508"/>
      <c r="BA6" s="508"/>
      <c r="BB6" s="508"/>
      <c r="BC6" s="508"/>
      <c r="BD6" s="508"/>
      <c r="BE6" s="508"/>
      <c r="BF6" s="508"/>
      <c r="BG6" s="508"/>
      <c r="BH6" s="508"/>
      <c r="BI6" s="508"/>
      <c r="BJ6" s="508"/>
      <c r="BK6" s="508"/>
      <c r="BL6" s="508"/>
      <c r="BM6" s="508"/>
      <c r="BN6" s="508"/>
      <c r="BO6" s="508"/>
      <c r="BP6" s="508"/>
      <c r="BQ6" s="508"/>
      <c r="BR6" s="508"/>
      <c r="BS6" s="508"/>
      <c r="BT6" s="508"/>
      <c r="BU6" s="508"/>
      <c r="BV6" s="508"/>
      <c r="BW6" s="508"/>
      <c r="BX6" s="508"/>
      <c r="BY6" s="508"/>
      <c r="BZ6" s="508"/>
      <c r="CA6" s="508"/>
      <c r="CB6" s="508"/>
      <c r="CC6" s="508"/>
      <c r="CD6" s="508"/>
      <c r="CE6" s="508"/>
      <c r="CF6" s="508"/>
      <c r="CG6" s="508"/>
      <c r="CH6" s="508"/>
      <c r="CI6" s="508"/>
      <c r="CJ6" s="508"/>
      <c r="CK6" s="508"/>
      <c r="CL6" s="508"/>
      <c r="CM6" s="508"/>
      <c r="CN6" s="508"/>
      <c r="CO6" s="508"/>
      <c r="CP6" s="508"/>
      <c r="CQ6" s="508"/>
      <c r="CR6" s="508"/>
      <c r="CS6" s="508"/>
      <c r="CT6" s="508"/>
      <c r="CU6" s="508"/>
      <c r="CV6" s="508"/>
      <c r="CW6" s="508"/>
      <c r="CX6" s="508"/>
      <c r="CY6" s="508"/>
      <c r="CZ6" s="508"/>
      <c r="DA6" s="508"/>
      <c r="DB6" s="508"/>
      <c r="DC6" s="508"/>
      <c r="DD6" s="508"/>
      <c r="DE6" s="508"/>
      <c r="DF6" s="508"/>
      <c r="DG6" s="508"/>
      <c r="DH6" s="508"/>
      <c r="DI6" s="508"/>
      <c r="DJ6" s="508"/>
      <c r="DK6" s="508"/>
      <c r="DL6" s="508"/>
      <c r="DM6" s="508"/>
      <c r="DN6" s="508"/>
      <c r="DO6" s="508"/>
      <c r="DP6" s="508"/>
      <c r="DQ6" s="508"/>
      <c r="DR6" s="508"/>
      <c r="DS6" s="508"/>
      <c r="DT6" s="508"/>
      <c r="DU6" s="508"/>
      <c r="DV6" s="508"/>
      <c r="DW6" s="508"/>
      <c r="DX6" s="508"/>
      <c r="DY6" s="508"/>
      <c r="DZ6" s="508"/>
      <c r="EA6" s="508"/>
      <c r="EB6" s="508"/>
      <c r="EC6" s="508"/>
      <c r="ED6" s="508"/>
      <c r="EE6" s="508"/>
      <c r="EF6" s="508"/>
      <c r="EG6" s="508"/>
      <c r="EH6" s="508"/>
      <c r="EI6" s="508"/>
      <c r="EJ6" s="508"/>
      <c r="EK6" s="508"/>
      <c r="EL6" s="508"/>
      <c r="EM6" s="508"/>
      <c r="EN6" s="508"/>
      <c r="EO6" s="508"/>
      <c r="EP6" s="508"/>
      <c r="EQ6" s="508"/>
      <c r="ER6" s="508"/>
      <c r="ES6" s="508"/>
      <c r="ET6" s="508"/>
      <c r="EU6" s="508"/>
      <c r="EV6" s="508"/>
      <c r="EW6" s="508"/>
      <c r="EX6" s="508"/>
      <c r="EY6" s="508"/>
      <c r="EZ6" s="508"/>
      <c r="FA6" s="508"/>
      <c r="FB6" s="508"/>
      <c r="FC6" s="508"/>
      <c r="FD6" s="508"/>
      <c r="FE6" s="508"/>
      <c r="FF6" s="508"/>
      <c r="FG6" s="508"/>
      <c r="FH6" s="508"/>
      <c r="FI6" s="508"/>
      <c r="FJ6" s="508"/>
      <c r="FK6" s="508"/>
      <c r="FL6" s="508"/>
      <c r="FM6" s="508"/>
      <c r="FN6" s="508"/>
      <c r="FO6" s="508"/>
      <c r="FP6" s="508"/>
      <c r="FQ6" s="508"/>
      <c r="FR6" s="508"/>
      <c r="FS6" s="508"/>
      <c r="FT6" s="508"/>
      <c r="FU6" s="508"/>
      <c r="FV6" s="508"/>
      <c r="FW6" s="508"/>
      <c r="FX6" s="508"/>
      <c r="FY6" s="508"/>
      <c r="FZ6" s="508"/>
      <c r="GA6" s="508"/>
      <c r="GB6" s="508"/>
      <c r="GC6" s="508"/>
      <c r="GD6" s="508"/>
      <c r="GE6" s="508"/>
      <c r="GF6" s="508"/>
      <c r="GG6" s="508"/>
      <c r="GH6" s="508"/>
      <c r="GI6" s="508"/>
      <c r="GJ6" s="508"/>
      <c r="GK6" s="508"/>
      <c r="GL6" s="508"/>
      <c r="GM6" s="508"/>
      <c r="GN6" s="508"/>
      <c r="GO6" s="508"/>
      <c r="GP6" s="508"/>
      <c r="GQ6" s="508"/>
      <c r="GR6" s="508"/>
      <c r="GS6" s="508"/>
      <c r="GT6" s="508"/>
      <c r="GU6" s="508"/>
      <c r="GV6" s="508"/>
      <c r="GW6" s="508"/>
      <c r="GX6" s="508"/>
      <c r="GY6" s="508"/>
      <c r="GZ6" s="508"/>
      <c r="HA6" s="508"/>
      <c r="HB6" s="508"/>
      <c r="HC6" s="508"/>
      <c r="HD6" s="508"/>
      <c r="HE6" s="508"/>
      <c r="HF6" s="508"/>
      <c r="HG6" s="508"/>
      <c r="HH6" s="508"/>
      <c r="HI6" s="508"/>
      <c r="HJ6" s="508"/>
      <c r="HK6" s="508"/>
      <c r="HL6" s="508"/>
      <c r="HM6" s="508"/>
      <c r="HN6" s="508"/>
      <c r="HO6" s="508"/>
      <c r="HP6" s="508"/>
      <c r="HQ6" s="508"/>
      <c r="HR6" s="508"/>
      <c r="HS6" s="508"/>
      <c r="HT6" s="508"/>
      <c r="HU6" s="508"/>
      <c r="HV6" s="508"/>
      <c r="HW6" s="508"/>
      <c r="HX6" s="508"/>
      <c r="HY6" s="508"/>
      <c r="HZ6" s="508"/>
      <c r="IA6" s="508"/>
      <c r="IB6" s="508"/>
      <c r="IC6" s="508"/>
      <c r="ID6" s="508"/>
      <c r="IE6" s="508"/>
      <c r="IF6" s="508"/>
      <c r="IG6" s="508"/>
      <c r="IH6" s="508"/>
      <c r="II6" s="508"/>
      <c r="IJ6" s="508"/>
      <c r="IK6" s="508"/>
      <c r="IL6" s="508"/>
      <c r="IM6" s="508"/>
      <c r="IN6" s="508"/>
      <c r="IO6" s="508"/>
      <c r="IP6" s="508"/>
      <c r="IQ6" s="508"/>
    </row>
    <row r="7" spans="2:13" ht="30" customHeight="1">
      <c r="B7" s="2175" t="s">
        <v>18</v>
      </c>
      <c r="C7" s="2178" t="s">
        <v>19</v>
      </c>
      <c r="D7" s="2181" t="s">
        <v>6</v>
      </c>
      <c r="E7" s="2184" t="s">
        <v>21</v>
      </c>
      <c r="F7" s="2184" t="s">
        <v>573</v>
      </c>
      <c r="G7" s="2187" t="s">
        <v>819</v>
      </c>
      <c r="H7" s="2190" t="s">
        <v>294</v>
      </c>
      <c r="I7" s="2193" t="s">
        <v>569</v>
      </c>
      <c r="J7" s="2194"/>
      <c r="K7" s="2194"/>
      <c r="L7" s="2195"/>
      <c r="M7" s="2196" t="s">
        <v>574</v>
      </c>
    </row>
    <row r="8" spans="2:13" ht="45.75" customHeight="1">
      <c r="B8" s="2176"/>
      <c r="C8" s="2179"/>
      <c r="D8" s="2182"/>
      <c r="E8" s="2185"/>
      <c r="F8" s="2185"/>
      <c r="G8" s="2188"/>
      <c r="H8" s="2191"/>
      <c r="I8" s="502" t="s">
        <v>39</v>
      </c>
      <c r="J8" s="2199" t="s">
        <v>161</v>
      </c>
      <c r="K8" s="2199"/>
      <c r="L8" s="2200" t="s">
        <v>127</v>
      </c>
      <c r="M8" s="2197"/>
    </row>
    <row r="9" spans="2:13" ht="53.25" customHeight="1" thickBot="1">
      <c r="B9" s="2177"/>
      <c r="C9" s="2180"/>
      <c r="D9" s="2183"/>
      <c r="E9" s="2186"/>
      <c r="F9" s="2186"/>
      <c r="G9" s="2189"/>
      <c r="H9" s="2192"/>
      <c r="I9" s="708" t="s">
        <v>42</v>
      </c>
      <c r="J9" s="532" t="s">
        <v>227</v>
      </c>
      <c r="K9" s="532" t="s">
        <v>162</v>
      </c>
      <c r="L9" s="2201"/>
      <c r="M9" s="2198"/>
    </row>
    <row r="10" spans="1:13" ht="23.25" customHeight="1">
      <c r="A10" s="509">
        <v>1</v>
      </c>
      <c r="B10" s="707">
        <v>18</v>
      </c>
      <c r="C10" s="700" t="s">
        <v>31</v>
      </c>
      <c r="D10" s="1263"/>
      <c r="E10" s="504"/>
      <c r="F10" s="520"/>
      <c r="G10" s="1257"/>
      <c r="H10" s="738"/>
      <c r="I10" s="709"/>
      <c r="J10" s="533"/>
      <c r="K10" s="533"/>
      <c r="L10" s="534"/>
      <c r="M10" s="521"/>
    </row>
    <row r="11" spans="1:13" ht="37.5" customHeight="1">
      <c r="A11" s="509">
        <v>2</v>
      </c>
      <c r="B11" s="522"/>
      <c r="C11" s="527">
        <v>1</v>
      </c>
      <c r="D11" s="324" t="s">
        <v>938</v>
      </c>
      <c r="E11" s="524">
        <f>F11+G11+L14+M12</f>
        <v>9970</v>
      </c>
      <c r="F11" s="525"/>
      <c r="G11" s="1258">
        <v>5652</v>
      </c>
      <c r="H11" s="739" t="s">
        <v>24</v>
      </c>
      <c r="I11" s="710"/>
      <c r="J11" s="535"/>
      <c r="K11" s="535"/>
      <c r="L11" s="536"/>
      <c r="M11" s="526"/>
    </row>
    <row r="12" spans="1:13" s="1084" customFormat="1" ht="18" customHeight="1">
      <c r="A12" s="561">
        <v>3</v>
      </c>
      <c r="B12" s="1074"/>
      <c r="C12" s="1154"/>
      <c r="D12" s="1155" t="s">
        <v>303</v>
      </c>
      <c r="E12" s="1077"/>
      <c r="F12" s="1078"/>
      <c r="G12" s="1261"/>
      <c r="H12" s="1079"/>
      <c r="I12" s="1080"/>
      <c r="J12" s="1156">
        <v>4554</v>
      </c>
      <c r="K12" s="1156"/>
      <c r="L12" s="1082">
        <f>SUM(I12:K12)</f>
        <v>4554</v>
      </c>
      <c r="M12" s="1083"/>
    </row>
    <row r="13" spans="1:13" s="1084" customFormat="1" ht="18" customHeight="1">
      <c r="A13" s="509">
        <v>4</v>
      </c>
      <c r="B13" s="1074"/>
      <c r="C13" s="1154"/>
      <c r="D13" s="1161" t="s">
        <v>994</v>
      </c>
      <c r="E13" s="1077"/>
      <c r="F13" s="1078"/>
      <c r="G13" s="1261"/>
      <c r="H13" s="1079"/>
      <c r="I13" s="1080"/>
      <c r="J13" s="1237">
        <v>10254</v>
      </c>
      <c r="K13" s="1237"/>
      <c r="L13" s="1103">
        <f>SUM(I13:K13)</f>
        <v>10254</v>
      </c>
      <c r="M13" s="1083"/>
    </row>
    <row r="14" spans="1:13" s="1095" customFormat="1" ht="18" customHeight="1">
      <c r="A14" s="509">
        <v>5</v>
      </c>
      <c r="B14" s="1085"/>
      <c r="C14" s="1157"/>
      <c r="D14" s="1158" t="s">
        <v>1035</v>
      </c>
      <c r="E14" s="1088"/>
      <c r="F14" s="1089"/>
      <c r="G14" s="1259"/>
      <c r="H14" s="1090"/>
      <c r="I14" s="1091"/>
      <c r="J14" s="1358">
        <v>4318</v>
      </c>
      <c r="K14" s="1159"/>
      <c r="L14" s="1093">
        <f>SUM(I14:K14)</f>
        <v>4318</v>
      </c>
      <c r="M14" s="1094"/>
    </row>
    <row r="15" spans="1:13" ht="22.5" customHeight="1">
      <c r="A15" s="561">
        <v>6</v>
      </c>
      <c r="B15" s="522"/>
      <c r="C15" s="523">
        <v>2</v>
      </c>
      <c r="D15" s="323" t="s">
        <v>674</v>
      </c>
      <c r="E15" s="524">
        <f>F15+G15+L18+M16</f>
        <v>217707</v>
      </c>
      <c r="F15" s="525">
        <f>83462</f>
        <v>83462</v>
      </c>
      <c r="G15" s="1258">
        <f>134105</f>
        <v>134105</v>
      </c>
      <c r="H15" s="739" t="s">
        <v>24</v>
      </c>
      <c r="I15" s="710"/>
      <c r="J15" s="535"/>
      <c r="K15" s="535"/>
      <c r="L15" s="536"/>
      <c r="M15" s="526"/>
    </row>
    <row r="16" spans="1:13" s="1084" customFormat="1" ht="18" customHeight="1">
      <c r="A16" s="509">
        <v>7</v>
      </c>
      <c r="B16" s="1074"/>
      <c r="C16" s="1154"/>
      <c r="D16" s="1155" t="s">
        <v>303</v>
      </c>
      <c r="E16" s="1077"/>
      <c r="F16" s="1078"/>
      <c r="G16" s="1261"/>
      <c r="H16" s="1079"/>
      <c r="I16" s="1080">
        <v>500</v>
      </c>
      <c r="J16" s="1156">
        <v>638</v>
      </c>
      <c r="K16" s="1156"/>
      <c r="L16" s="1082">
        <f>SUM(I16:K16)</f>
        <v>1138</v>
      </c>
      <c r="M16" s="1083"/>
    </row>
    <row r="17" spans="1:13" s="1084" customFormat="1" ht="18" customHeight="1">
      <c r="A17" s="509">
        <v>8</v>
      </c>
      <c r="B17" s="1074"/>
      <c r="C17" s="1154"/>
      <c r="D17" s="1161" t="s">
        <v>994</v>
      </c>
      <c r="E17" s="1077"/>
      <c r="F17" s="1078"/>
      <c r="G17" s="1261"/>
      <c r="H17" s="1079"/>
      <c r="I17" s="1101">
        <v>500</v>
      </c>
      <c r="J17" s="1237">
        <v>638</v>
      </c>
      <c r="K17" s="1237"/>
      <c r="L17" s="1103">
        <f>SUM(I17:K17)</f>
        <v>1138</v>
      </c>
      <c r="M17" s="1083"/>
    </row>
    <row r="18" spans="1:13" s="1095" customFormat="1" ht="18" customHeight="1">
      <c r="A18" s="561">
        <v>9</v>
      </c>
      <c r="B18" s="1085"/>
      <c r="C18" s="1157"/>
      <c r="D18" s="1158" t="s">
        <v>1036</v>
      </c>
      <c r="E18" s="1088"/>
      <c r="F18" s="1089"/>
      <c r="G18" s="1259"/>
      <c r="H18" s="1090"/>
      <c r="I18" s="1358">
        <v>140</v>
      </c>
      <c r="J18" s="1358">
        <v>0</v>
      </c>
      <c r="K18" s="1159"/>
      <c r="L18" s="1093">
        <f>SUM(I18:K18)</f>
        <v>140</v>
      </c>
      <c r="M18" s="1094"/>
    </row>
    <row r="19" spans="1:13" ht="37.5" customHeight="1">
      <c r="A19" s="509">
        <v>10</v>
      </c>
      <c r="B19" s="522"/>
      <c r="C19" s="527">
        <v>3</v>
      </c>
      <c r="D19" s="324" t="s">
        <v>675</v>
      </c>
      <c r="E19" s="524">
        <f>F19+G19+L22+M20</f>
        <v>73975</v>
      </c>
      <c r="F19" s="524">
        <v>18391</v>
      </c>
      <c r="G19" s="1258">
        <f>26497+3</f>
        <v>26500</v>
      </c>
      <c r="H19" s="739" t="s">
        <v>24</v>
      </c>
      <c r="I19" s="711"/>
      <c r="J19" s="524"/>
      <c r="K19" s="524"/>
      <c r="L19" s="537"/>
      <c r="M19" s="526"/>
    </row>
    <row r="20" spans="1:13" s="1084" customFormat="1" ht="18" customHeight="1">
      <c r="A20" s="509">
        <v>11</v>
      </c>
      <c r="B20" s="1074"/>
      <c r="C20" s="1154"/>
      <c r="D20" s="1155" t="s">
        <v>303</v>
      </c>
      <c r="E20" s="1077"/>
      <c r="F20" s="1078"/>
      <c r="G20" s="1261"/>
      <c r="H20" s="1079"/>
      <c r="I20" s="1080">
        <v>327</v>
      </c>
      <c r="J20" s="1156">
        <v>29484</v>
      </c>
      <c r="K20" s="1156"/>
      <c r="L20" s="1082">
        <f>SUM(I20:K20)</f>
        <v>29811</v>
      </c>
      <c r="M20" s="1083"/>
    </row>
    <row r="21" spans="1:13" s="1084" customFormat="1" ht="18" customHeight="1">
      <c r="A21" s="561">
        <v>12</v>
      </c>
      <c r="B21" s="1074"/>
      <c r="C21" s="1154"/>
      <c r="D21" s="1161" t="s">
        <v>994</v>
      </c>
      <c r="E21" s="1077"/>
      <c r="F21" s="1078"/>
      <c r="G21" s="1261"/>
      <c r="H21" s="1079"/>
      <c r="I21" s="1101">
        <v>327</v>
      </c>
      <c r="J21" s="1237">
        <v>29484</v>
      </c>
      <c r="K21" s="1156"/>
      <c r="L21" s="1103">
        <f>SUM(I21:K21)</f>
        <v>29811</v>
      </c>
      <c r="M21" s="1083"/>
    </row>
    <row r="22" spans="1:13" s="1095" customFormat="1" ht="18" customHeight="1">
      <c r="A22" s="509">
        <v>13</v>
      </c>
      <c r="B22" s="1085"/>
      <c r="C22" s="1157"/>
      <c r="D22" s="1158" t="s">
        <v>1036</v>
      </c>
      <c r="E22" s="1088"/>
      <c r="F22" s="1089"/>
      <c r="G22" s="1259"/>
      <c r="H22" s="1090"/>
      <c r="I22" s="1358">
        <v>0</v>
      </c>
      <c r="J22" s="1358">
        <v>29084</v>
      </c>
      <c r="K22" s="1159"/>
      <c r="L22" s="1093">
        <f>SUM(I22:K22)</f>
        <v>29084</v>
      </c>
      <c r="M22" s="1094"/>
    </row>
    <row r="23" spans="1:13" ht="22.5" customHeight="1">
      <c r="A23" s="509">
        <v>14</v>
      </c>
      <c r="B23" s="522"/>
      <c r="C23" s="523">
        <v>4</v>
      </c>
      <c r="D23" s="323" t="s">
        <v>676</v>
      </c>
      <c r="E23" s="524">
        <f>F23+G23+L26+M24</f>
        <v>2388</v>
      </c>
      <c r="F23" s="524"/>
      <c r="G23" s="1258"/>
      <c r="H23" s="739" t="s">
        <v>24</v>
      </c>
      <c r="I23" s="711"/>
      <c r="J23" s="524"/>
      <c r="K23" s="524"/>
      <c r="L23" s="537"/>
      <c r="M23" s="526"/>
    </row>
    <row r="24" spans="1:13" s="1084" customFormat="1" ht="18" customHeight="1">
      <c r="A24" s="561">
        <v>15</v>
      </c>
      <c r="B24" s="1074"/>
      <c r="C24" s="1154"/>
      <c r="D24" s="1155" t="s">
        <v>303</v>
      </c>
      <c r="E24" s="1077"/>
      <c r="F24" s="1078"/>
      <c r="G24" s="1261"/>
      <c r="H24" s="1079"/>
      <c r="I24" s="1080"/>
      <c r="J24" s="1156">
        <v>3175</v>
      </c>
      <c r="K24" s="1156"/>
      <c r="L24" s="1082">
        <f>SUM(I24:K24)</f>
        <v>3175</v>
      </c>
      <c r="M24" s="1083"/>
    </row>
    <row r="25" spans="1:13" s="1084" customFormat="1" ht="18" customHeight="1">
      <c r="A25" s="509">
        <v>16</v>
      </c>
      <c r="B25" s="1074"/>
      <c r="C25" s="1154"/>
      <c r="D25" s="1161" t="s">
        <v>994</v>
      </c>
      <c r="E25" s="1077"/>
      <c r="F25" s="1078"/>
      <c r="G25" s="1261"/>
      <c r="H25" s="1079"/>
      <c r="I25" s="1080"/>
      <c r="J25" s="1237">
        <f>3175+6500</f>
        <v>9675</v>
      </c>
      <c r="K25" s="1156"/>
      <c r="L25" s="1103">
        <f>SUM(I25:K25)</f>
        <v>9675</v>
      </c>
      <c r="M25" s="1083"/>
    </row>
    <row r="26" spans="1:13" s="1095" customFormat="1" ht="18" customHeight="1">
      <c r="A26" s="509">
        <v>17</v>
      </c>
      <c r="B26" s="1085"/>
      <c r="C26" s="1157"/>
      <c r="D26" s="1158" t="s">
        <v>1036</v>
      </c>
      <c r="E26" s="1088"/>
      <c r="F26" s="1089"/>
      <c r="G26" s="1259"/>
      <c r="H26" s="1090"/>
      <c r="I26" s="1091"/>
      <c r="J26" s="1358">
        <v>2388</v>
      </c>
      <c r="K26" s="1159"/>
      <c r="L26" s="1093">
        <f>SUM(I26:K26)</f>
        <v>2388</v>
      </c>
      <c r="M26" s="1094"/>
    </row>
    <row r="27" spans="1:13" ht="37.5" customHeight="1">
      <c r="A27" s="561">
        <v>18</v>
      </c>
      <c r="B27" s="522"/>
      <c r="C27" s="527">
        <v>5</v>
      </c>
      <c r="D27" s="324" t="s">
        <v>677</v>
      </c>
      <c r="E27" s="524">
        <f>F27+G27+L30+M28</f>
        <v>1905</v>
      </c>
      <c r="F27" s="524"/>
      <c r="G27" s="1258"/>
      <c r="H27" s="739" t="s">
        <v>24</v>
      </c>
      <c r="I27" s="711"/>
      <c r="J27" s="524"/>
      <c r="K27" s="524"/>
      <c r="L27" s="537"/>
      <c r="M27" s="526"/>
    </row>
    <row r="28" spans="1:13" s="1084" customFormat="1" ht="18" customHeight="1">
      <c r="A28" s="509">
        <v>19</v>
      </c>
      <c r="B28" s="1074"/>
      <c r="C28" s="1154"/>
      <c r="D28" s="1155" t="s">
        <v>303</v>
      </c>
      <c r="E28" s="1077"/>
      <c r="F28" s="1078"/>
      <c r="G28" s="1261"/>
      <c r="H28" s="1079"/>
      <c r="I28" s="1080"/>
      <c r="J28" s="1156">
        <v>2000</v>
      </c>
      <c r="K28" s="1156"/>
      <c r="L28" s="1082">
        <f>SUM(I28:K28)</f>
        <v>2000</v>
      </c>
      <c r="M28" s="1083"/>
    </row>
    <row r="29" spans="1:13" s="1084" customFormat="1" ht="18" customHeight="1">
      <c r="A29" s="509">
        <v>20</v>
      </c>
      <c r="B29" s="1074"/>
      <c r="C29" s="1154"/>
      <c r="D29" s="1161" t="s">
        <v>994</v>
      </c>
      <c r="E29" s="1077"/>
      <c r="F29" s="1078"/>
      <c r="G29" s="1261"/>
      <c r="H29" s="1079"/>
      <c r="I29" s="1080"/>
      <c r="J29" s="1237">
        <v>1905</v>
      </c>
      <c r="K29" s="1156"/>
      <c r="L29" s="1103">
        <f>SUM(I29:K29)</f>
        <v>1905</v>
      </c>
      <c r="M29" s="1083"/>
    </row>
    <row r="30" spans="1:13" s="1095" customFormat="1" ht="18" customHeight="1">
      <c r="A30" s="561">
        <v>21</v>
      </c>
      <c r="B30" s="1085"/>
      <c r="C30" s="1157"/>
      <c r="D30" s="1158" t="s">
        <v>1035</v>
      </c>
      <c r="E30" s="1088"/>
      <c r="F30" s="1089"/>
      <c r="G30" s="1259"/>
      <c r="H30" s="1090"/>
      <c r="I30" s="1091"/>
      <c r="J30" s="1358">
        <v>1905</v>
      </c>
      <c r="K30" s="1159"/>
      <c r="L30" s="1093">
        <f>SUM(I30:K30)</f>
        <v>1905</v>
      </c>
      <c r="M30" s="1094"/>
    </row>
    <row r="31" spans="1:13" ht="37.5" customHeight="1">
      <c r="A31" s="509">
        <v>22</v>
      </c>
      <c r="B31" s="522"/>
      <c r="C31" s="527">
        <v>6</v>
      </c>
      <c r="D31" s="324" t="s">
        <v>678</v>
      </c>
      <c r="E31" s="524">
        <f>F31+G31+L34+M32</f>
        <v>3862</v>
      </c>
      <c r="F31" s="525"/>
      <c r="G31" s="1258">
        <v>305</v>
      </c>
      <c r="H31" s="739" t="s">
        <v>24</v>
      </c>
      <c r="I31" s="710"/>
      <c r="J31" s="535"/>
      <c r="K31" s="535"/>
      <c r="L31" s="536"/>
      <c r="M31" s="526"/>
    </row>
    <row r="32" spans="1:13" s="1084" customFormat="1" ht="18" customHeight="1">
      <c r="A32" s="509">
        <v>23</v>
      </c>
      <c r="B32" s="1074"/>
      <c r="C32" s="1154"/>
      <c r="D32" s="1155" t="s">
        <v>303</v>
      </c>
      <c r="E32" s="1077"/>
      <c r="F32" s="1078"/>
      <c r="G32" s="1261"/>
      <c r="H32" s="1079"/>
      <c r="I32" s="1080"/>
      <c r="J32" s="1156">
        <v>3955</v>
      </c>
      <c r="K32" s="1156"/>
      <c r="L32" s="1082">
        <f>SUM(I32:K32)</f>
        <v>3955</v>
      </c>
      <c r="M32" s="1083"/>
    </row>
    <row r="33" spans="1:13" s="1084" customFormat="1" ht="18" customHeight="1">
      <c r="A33" s="561">
        <v>24</v>
      </c>
      <c r="B33" s="1074"/>
      <c r="C33" s="1154"/>
      <c r="D33" s="1161" t="s">
        <v>994</v>
      </c>
      <c r="E33" s="1077"/>
      <c r="F33" s="1078"/>
      <c r="G33" s="1261"/>
      <c r="H33" s="1079"/>
      <c r="I33" s="1080"/>
      <c r="J33" s="1237">
        <v>3955</v>
      </c>
      <c r="K33" s="1156"/>
      <c r="L33" s="1103">
        <f>SUM(I33:K33)</f>
        <v>3955</v>
      </c>
      <c r="M33" s="1083"/>
    </row>
    <row r="34" spans="1:13" s="1095" customFormat="1" ht="18" customHeight="1">
      <c r="A34" s="509">
        <v>25</v>
      </c>
      <c r="B34" s="1085"/>
      <c r="C34" s="1157"/>
      <c r="D34" s="1158" t="s">
        <v>1036</v>
      </c>
      <c r="E34" s="1088"/>
      <c r="F34" s="1089"/>
      <c r="G34" s="1259"/>
      <c r="H34" s="1090"/>
      <c r="I34" s="1091"/>
      <c r="J34" s="1358">
        <v>3557</v>
      </c>
      <c r="K34" s="1159"/>
      <c r="L34" s="1093">
        <f>SUM(I34:K34)</f>
        <v>3557</v>
      </c>
      <c r="M34" s="1094"/>
    </row>
    <row r="35" spans="1:14" ht="22.5" customHeight="1">
      <c r="A35" s="509">
        <v>26</v>
      </c>
      <c r="B35" s="522"/>
      <c r="C35" s="523">
        <v>7</v>
      </c>
      <c r="D35" s="323" t="s">
        <v>679</v>
      </c>
      <c r="E35" s="524">
        <f>F35+G35+L38+M36</f>
        <v>0</v>
      </c>
      <c r="F35" s="525"/>
      <c r="G35" s="1258"/>
      <c r="H35" s="739" t="s">
        <v>24</v>
      </c>
      <c r="I35" s="710"/>
      <c r="J35" s="535"/>
      <c r="K35" s="535"/>
      <c r="L35" s="536"/>
      <c r="M35" s="526"/>
      <c r="N35" s="510"/>
    </row>
    <row r="36" spans="1:13" s="1084" customFormat="1" ht="18" customHeight="1">
      <c r="A36" s="561">
        <v>27</v>
      </c>
      <c r="B36" s="1074"/>
      <c r="C36" s="1154"/>
      <c r="D36" s="1155" t="s">
        <v>303</v>
      </c>
      <c r="E36" s="1077"/>
      <c r="F36" s="1078"/>
      <c r="G36" s="1261"/>
      <c r="H36" s="1079"/>
      <c r="I36" s="1080"/>
      <c r="J36" s="1156">
        <v>3000</v>
      </c>
      <c r="K36" s="1156"/>
      <c r="L36" s="1082">
        <f>SUM(I36:K36)</f>
        <v>3000</v>
      </c>
      <c r="M36" s="1083"/>
    </row>
    <row r="37" spans="1:13" s="1084" customFormat="1" ht="18" customHeight="1">
      <c r="A37" s="509">
        <v>28</v>
      </c>
      <c r="B37" s="1074"/>
      <c r="C37" s="1154"/>
      <c r="D37" s="1161" t="s">
        <v>994</v>
      </c>
      <c r="E37" s="1077"/>
      <c r="F37" s="1078"/>
      <c r="G37" s="1261"/>
      <c r="H37" s="1079"/>
      <c r="I37" s="1080"/>
      <c r="J37" s="1237">
        <f>3000-2500</f>
        <v>500</v>
      </c>
      <c r="K37" s="1156"/>
      <c r="L37" s="1103">
        <f>SUM(I37:K37)</f>
        <v>500</v>
      </c>
      <c r="M37" s="1083"/>
    </row>
    <row r="38" spans="1:13" s="1095" customFormat="1" ht="18" customHeight="1">
      <c r="A38" s="509">
        <v>29</v>
      </c>
      <c r="B38" s="1085"/>
      <c r="C38" s="1157"/>
      <c r="D38" s="1158" t="s">
        <v>1036</v>
      </c>
      <c r="E38" s="1088"/>
      <c r="F38" s="1089"/>
      <c r="G38" s="1259"/>
      <c r="H38" s="1090"/>
      <c r="I38" s="1091"/>
      <c r="J38" s="1358">
        <v>0</v>
      </c>
      <c r="K38" s="1159"/>
      <c r="L38" s="1093">
        <f>SUM(I38:K38)</f>
        <v>0</v>
      </c>
      <c r="M38" s="1094"/>
    </row>
    <row r="39" spans="1:13" ht="22.5" customHeight="1">
      <c r="A39" s="561">
        <v>30</v>
      </c>
      <c r="B39" s="522"/>
      <c r="C39" s="523">
        <v>8</v>
      </c>
      <c r="D39" s="323" t="s">
        <v>680</v>
      </c>
      <c r="E39" s="524">
        <f>F39+G39+L42+M40</f>
        <v>12491</v>
      </c>
      <c r="F39" s="525"/>
      <c r="G39" s="1258">
        <v>12491</v>
      </c>
      <c r="H39" s="739" t="s">
        <v>24</v>
      </c>
      <c r="I39" s="710"/>
      <c r="J39" s="535"/>
      <c r="K39" s="535"/>
      <c r="L39" s="536"/>
      <c r="M39" s="526"/>
    </row>
    <row r="40" spans="1:13" s="1084" customFormat="1" ht="18" customHeight="1">
      <c r="A40" s="509">
        <v>31</v>
      </c>
      <c r="B40" s="1074"/>
      <c r="C40" s="1154"/>
      <c r="D40" s="1155" t="s">
        <v>303</v>
      </c>
      <c r="E40" s="1077"/>
      <c r="F40" s="1078"/>
      <c r="G40" s="1261"/>
      <c r="H40" s="1079"/>
      <c r="I40" s="1080"/>
      <c r="J40" s="1156">
        <v>12509</v>
      </c>
      <c r="K40" s="1156"/>
      <c r="L40" s="1082">
        <f>SUM(I40:K40)</f>
        <v>12509</v>
      </c>
      <c r="M40" s="1083"/>
    </row>
    <row r="41" spans="1:13" s="1084" customFormat="1" ht="18" customHeight="1">
      <c r="A41" s="509">
        <v>32</v>
      </c>
      <c r="B41" s="1074"/>
      <c r="C41" s="1154"/>
      <c r="D41" s="1161" t="s">
        <v>994</v>
      </c>
      <c r="E41" s="1077"/>
      <c r="F41" s="1078"/>
      <c r="G41" s="1261"/>
      <c r="H41" s="1079"/>
      <c r="I41" s="1080"/>
      <c r="J41" s="1237">
        <v>12509</v>
      </c>
      <c r="K41" s="1156"/>
      <c r="L41" s="1103">
        <f>SUM(I41:K41)</f>
        <v>12509</v>
      </c>
      <c r="M41" s="1083"/>
    </row>
    <row r="42" spans="1:13" s="1095" customFormat="1" ht="18" customHeight="1">
      <c r="A42" s="561">
        <v>33</v>
      </c>
      <c r="B42" s="1085"/>
      <c r="C42" s="1157"/>
      <c r="D42" s="1158" t="s">
        <v>1036</v>
      </c>
      <c r="E42" s="1088"/>
      <c r="F42" s="1089"/>
      <c r="G42" s="1259"/>
      <c r="H42" s="1090"/>
      <c r="I42" s="1091"/>
      <c r="J42" s="1358">
        <v>0</v>
      </c>
      <c r="K42" s="1159"/>
      <c r="L42" s="1093">
        <f>SUM(I42:K42)</f>
        <v>0</v>
      </c>
      <c r="M42" s="1094"/>
    </row>
    <row r="43" spans="1:13" ht="22.5" customHeight="1">
      <c r="A43" s="509">
        <v>34</v>
      </c>
      <c r="B43" s="522"/>
      <c r="C43" s="523">
        <v>9</v>
      </c>
      <c r="D43" s="786" t="s">
        <v>708</v>
      </c>
      <c r="E43" s="524">
        <f>F43+G43+L46+M44</f>
        <v>3520</v>
      </c>
      <c r="F43" s="525">
        <f>3210+110</f>
        <v>3320</v>
      </c>
      <c r="G43" s="1258">
        <v>100</v>
      </c>
      <c r="H43" s="739" t="s">
        <v>24</v>
      </c>
      <c r="I43" s="710"/>
      <c r="J43" s="535"/>
      <c r="K43" s="535"/>
      <c r="L43" s="536"/>
      <c r="M43" s="526"/>
    </row>
    <row r="44" spans="1:13" s="1084" customFormat="1" ht="18" customHeight="1">
      <c r="A44" s="509">
        <v>35</v>
      </c>
      <c r="B44" s="1074"/>
      <c r="C44" s="1154"/>
      <c r="D44" s="1155" t="s">
        <v>303</v>
      </c>
      <c r="E44" s="1077"/>
      <c r="F44" s="1078"/>
      <c r="G44" s="1261"/>
      <c r="H44" s="1079"/>
      <c r="I44" s="1080"/>
      <c r="J44" s="1156">
        <v>100</v>
      </c>
      <c r="K44" s="1156"/>
      <c r="L44" s="1082">
        <f>SUM(I44:K44)</f>
        <v>100</v>
      </c>
      <c r="M44" s="1083"/>
    </row>
    <row r="45" spans="1:13" s="1084" customFormat="1" ht="18" customHeight="1">
      <c r="A45" s="561">
        <v>36</v>
      </c>
      <c r="B45" s="1074"/>
      <c r="C45" s="1154"/>
      <c r="D45" s="1161" t="s">
        <v>994</v>
      </c>
      <c r="E45" s="1077"/>
      <c r="F45" s="1078"/>
      <c r="G45" s="1261"/>
      <c r="H45" s="1079"/>
      <c r="I45" s="1080"/>
      <c r="J45" s="1237">
        <v>100</v>
      </c>
      <c r="K45" s="1156"/>
      <c r="L45" s="1103">
        <f>SUM(I45:K45)</f>
        <v>100</v>
      </c>
      <c r="M45" s="1083"/>
    </row>
    <row r="46" spans="1:13" s="1095" customFormat="1" ht="18" customHeight="1">
      <c r="A46" s="509">
        <v>37</v>
      </c>
      <c r="B46" s="1085"/>
      <c r="C46" s="1157"/>
      <c r="D46" s="1158" t="s">
        <v>1036</v>
      </c>
      <c r="E46" s="1088"/>
      <c r="F46" s="1089"/>
      <c r="G46" s="1259"/>
      <c r="H46" s="1090"/>
      <c r="I46" s="1091"/>
      <c r="J46" s="1358">
        <v>100</v>
      </c>
      <c r="K46" s="1159"/>
      <c r="L46" s="1093">
        <f>SUM(I46:K46)</f>
        <v>100</v>
      </c>
      <c r="M46" s="1094"/>
    </row>
    <row r="47" spans="1:13" ht="22.5" customHeight="1">
      <c r="A47" s="509">
        <v>38</v>
      </c>
      <c r="B47" s="522"/>
      <c r="C47" s="523">
        <v>10</v>
      </c>
      <c r="D47" s="786" t="s">
        <v>709</v>
      </c>
      <c r="E47" s="524">
        <f>F47+G47+L50+M48</f>
        <v>165780</v>
      </c>
      <c r="F47" s="525">
        <f>84090+35890</f>
        <v>119980</v>
      </c>
      <c r="G47" s="1258">
        <v>22900</v>
      </c>
      <c r="H47" s="739" t="s">
        <v>24</v>
      </c>
      <c r="I47" s="710"/>
      <c r="J47" s="535"/>
      <c r="K47" s="535"/>
      <c r="L47" s="536"/>
      <c r="M47" s="526"/>
    </row>
    <row r="48" spans="1:13" s="1084" customFormat="1" ht="18" customHeight="1">
      <c r="A48" s="561">
        <v>39</v>
      </c>
      <c r="B48" s="1074"/>
      <c r="C48" s="1154"/>
      <c r="D48" s="1155" t="s">
        <v>303</v>
      </c>
      <c r="E48" s="1077"/>
      <c r="F48" s="1078"/>
      <c r="G48" s="1261"/>
      <c r="H48" s="1079"/>
      <c r="I48" s="1080"/>
      <c r="J48" s="1156">
        <v>22900</v>
      </c>
      <c r="K48" s="1156"/>
      <c r="L48" s="1082">
        <f>SUM(I48:K48)</f>
        <v>22900</v>
      </c>
      <c r="M48" s="1083"/>
    </row>
    <row r="49" spans="1:13" s="1084" customFormat="1" ht="18" customHeight="1">
      <c r="A49" s="509">
        <v>40</v>
      </c>
      <c r="B49" s="1074"/>
      <c r="C49" s="1154"/>
      <c r="D49" s="1161" t="s">
        <v>994</v>
      </c>
      <c r="E49" s="1077"/>
      <c r="F49" s="1078"/>
      <c r="G49" s="1261"/>
      <c r="H49" s="1079"/>
      <c r="I49" s="1080"/>
      <c r="J49" s="1237">
        <v>22900</v>
      </c>
      <c r="K49" s="1156"/>
      <c r="L49" s="1103">
        <f>SUM(I49:K49)</f>
        <v>22900</v>
      </c>
      <c r="M49" s="1083"/>
    </row>
    <row r="50" spans="1:13" s="1095" customFormat="1" ht="18" customHeight="1">
      <c r="A50" s="509">
        <v>41</v>
      </c>
      <c r="B50" s="1085"/>
      <c r="C50" s="1157"/>
      <c r="D50" s="1158" t="s">
        <v>1036</v>
      </c>
      <c r="E50" s="1088"/>
      <c r="F50" s="1089"/>
      <c r="G50" s="1259"/>
      <c r="H50" s="1090"/>
      <c r="I50" s="1091"/>
      <c r="J50" s="1358">
        <v>22900</v>
      </c>
      <c r="K50" s="1159"/>
      <c r="L50" s="1093">
        <f>SUM(I50:K50)</f>
        <v>22900</v>
      </c>
      <c r="M50" s="1094"/>
    </row>
    <row r="51" spans="1:13" ht="22.5" customHeight="1">
      <c r="A51" s="561">
        <v>42</v>
      </c>
      <c r="B51" s="522"/>
      <c r="C51" s="523">
        <v>11</v>
      </c>
      <c r="D51" s="786" t="s">
        <v>710</v>
      </c>
      <c r="E51" s="524">
        <f>F51+G51+L54+M52</f>
        <v>100080</v>
      </c>
      <c r="F51" s="525">
        <f>100050+10</f>
        <v>100060</v>
      </c>
      <c r="G51" s="1258">
        <v>10</v>
      </c>
      <c r="H51" s="739" t="s">
        <v>24</v>
      </c>
      <c r="I51" s="710"/>
      <c r="J51" s="535"/>
      <c r="K51" s="535"/>
      <c r="L51" s="536"/>
      <c r="M51" s="526"/>
    </row>
    <row r="52" spans="1:13" s="1084" customFormat="1" ht="18" customHeight="1">
      <c r="A52" s="509">
        <v>43</v>
      </c>
      <c r="B52" s="1074"/>
      <c r="C52" s="1154"/>
      <c r="D52" s="1155" t="s">
        <v>303</v>
      </c>
      <c r="E52" s="1077"/>
      <c r="F52" s="1078"/>
      <c r="G52" s="1261"/>
      <c r="H52" s="1079"/>
      <c r="I52" s="1080"/>
      <c r="J52" s="1156">
        <v>10</v>
      </c>
      <c r="K52" s="1156"/>
      <c r="L52" s="1082">
        <f>SUM(I52:K52)</f>
        <v>10</v>
      </c>
      <c r="M52" s="1083"/>
    </row>
    <row r="53" spans="1:13" s="1084" customFormat="1" ht="18" customHeight="1">
      <c r="A53" s="509">
        <v>44</v>
      </c>
      <c r="B53" s="1074"/>
      <c r="C53" s="1154"/>
      <c r="D53" s="1161" t="s">
        <v>994</v>
      </c>
      <c r="E53" s="1077"/>
      <c r="F53" s="1078"/>
      <c r="G53" s="1261"/>
      <c r="H53" s="1079"/>
      <c r="I53" s="1080"/>
      <c r="J53" s="1156">
        <v>10</v>
      </c>
      <c r="K53" s="1156"/>
      <c r="L53" s="1103">
        <f>SUM(I53:K53)</f>
        <v>10</v>
      </c>
      <c r="M53" s="1083"/>
    </row>
    <row r="54" spans="1:13" s="1095" customFormat="1" ht="18" customHeight="1">
      <c r="A54" s="561">
        <v>45</v>
      </c>
      <c r="B54" s="1085"/>
      <c r="C54" s="1157"/>
      <c r="D54" s="1158" t="s">
        <v>1036</v>
      </c>
      <c r="E54" s="1088"/>
      <c r="F54" s="1089"/>
      <c r="G54" s="1259"/>
      <c r="H54" s="1090"/>
      <c r="I54" s="1091"/>
      <c r="J54" s="1358">
        <v>10</v>
      </c>
      <c r="K54" s="1159"/>
      <c r="L54" s="1093">
        <f>SUM(I54:K54)</f>
        <v>10</v>
      </c>
      <c r="M54" s="1094"/>
    </row>
    <row r="55" spans="1:13" ht="22.5" customHeight="1">
      <c r="A55" s="509">
        <v>46</v>
      </c>
      <c r="B55" s="522"/>
      <c r="C55" s="523">
        <v>12</v>
      </c>
      <c r="D55" s="786" t="s">
        <v>711</v>
      </c>
      <c r="E55" s="524">
        <f>F55+G55+L58+M56</f>
        <v>739920</v>
      </c>
      <c r="F55" s="525">
        <f>379950+119990</f>
        <v>499940</v>
      </c>
      <c r="G55" s="1258">
        <v>119990</v>
      </c>
      <c r="H55" s="739" t="s">
        <v>24</v>
      </c>
      <c r="I55" s="710"/>
      <c r="J55" s="535"/>
      <c r="K55" s="535"/>
      <c r="L55" s="536"/>
      <c r="M55" s="526"/>
    </row>
    <row r="56" spans="1:13" s="1084" customFormat="1" ht="18" customHeight="1">
      <c r="A56" s="509">
        <v>47</v>
      </c>
      <c r="B56" s="1074"/>
      <c r="C56" s="1154"/>
      <c r="D56" s="1155" t="s">
        <v>303</v>
      </c>
      <c r="E56" s="1077"/>
      <c r="F56" s="1078"/>
      <c r="G56" s="1261"/>
      <c r="H56" s="1079"/>
      <c r="I56" s="1080"/>
      <c r="J56" s="1156">
        <v>119990</v>
      </c>
      <c r="K56" s="1156"/>
      <c r="L56" s="1082">
        <f>SUM(I56:K56)</f>
        <v>119990</v>
      </c>
      <c r="M56" s="1083"/>
    </row>
    <row r="57" spans="1:13" s="1084" customFormat="1" ht="18" customHeight="1">
      <c r="A57" s="561">
        <v>48</v>
      </c>
      <c r="B57" s="1074"/>
      <c r="C57" s="1154"/>
      <c r="D57" s="1161" t="s">
        <v>994</v>
      </c>
      <c r="E57" s="1077"/>
      <c r="F57" s="1078"/>
      <c r="G57" s="1261"/>
      <c r="H57" s="1079"/>
      <c r="I57" s="1080"/>
      <c r="J57" s="1237">
        <v>119990</v>
      </c>
      <c r="K57" s="1156"/>
      <c r="L57" s="1103">
        <f>SUM(I57:K57)</f>
        <v>119990</v>
      </c>
      <c r="M57" s="1083"/>
    </row>
    <row r="58" spans="1:13" s="1095" customFormat="1" ht="18" customHeight="1">
      <c r="A58" s="509">
        <v>49</v>
      </c>
      <c r="B58" s="1085"/>
      <c r="C58" s="1157"/>
      <c r="D58" s="1158" t="s">
        <v>1036</v>
      </c>
      <c r="E58" s="1088"/>
      <c r="F58" s="1089"/>
      <c r="G58" s="1259"/>
      <c r="H58" s="1090"/>
      <c r="I58" s="1091"/>
      <c r="J58" s="1358">
        <v>119990</v>
      </c>
      <c r="K58" s="1159"/>
      <c r="L58" s="1093">
        <f>SUM(I58:K58)</f>
        <v>119990</v>
      </c>
      <c r="M58" s="1094"/>
    </row>
    <row r="59" spans="1:13" ht="22.5" customHeight="1">
      <c r="A59" s="509">
        <v>50</v>
      </c>
      <c r="B59" s="522"/>
      <c r="C59" s="523">
        <v>13</v>
      </c>
      <c r="D59" s="786" t="s">
        <v>755</v>
      </c>
      <c r="E59" s="524">
        <f>F59+G59+L62+M60</f>
        <v>0</v>
      </c>
      <c r="F59" s="525"/>
      <c r="G59" s="1258"/>
      <c r="H59" s="739" t="s">
        <v>24</v>
      </c>
      <c r="I59" s="710"/>
      <c r="J59" s="535"/>
      <c r="K59" s="535"/>
      <c r="L59" s="536"/>
      <c r="M59" s="526"/>
    </row>
    <row r="60" spans="1:13" s="1084" customFormat="1" ht="18" customHeight="1">
      <c r="A60" s="561">
        <v>51</v>
      </c>
      <c r="B60" s="1074"/>
      <c r="C60" s="1154"/>
      <c r="D60" s="1155" t="s">
        <v>303</v>
      </c>
      <c r="E60" s="1077"/>
      <c r="F60" s="1078"/>
      <c r="G60" s="1261"/>
      <c r="H60" s="1079"/>
      <c r="I60" s="1080"/>
      <c r="J60" s="1156">
        <v>251652</v>
      </c>
      <c r="K60" s="1156"/>
      <c r="L60" s="1082">
        <f>SUM(I60:K60)</f>
        <v>251652</v>
      </c>
      <c r="M60" s="1083"/>
    </row>
    <row r="61" spans="1:13" s="1084" customFormat="1" ht="18" customHeight="1">
      <c r="A61" s="509">
        <v>52</v>
      </c>
      <c r="B61" s="1074"/>
      <c r="C61" s="1154"/>
      <c r="D61" s="1161" t="s">
        <v>994</v>
      </c>
      <c r="E61" s="1077"/>
      <c r="F61" s="1078"/>
      <c r="G61" s="1261"/>
      <c r="H61" s="1079"/>
      <c r="I61" s="1080"/>
      <c r="J61" s="1237">
        <v>251652</v>
      </c>
      <c r="K61" s="1156"/>
      <c r="L61" s="1103">
        <f>SUM(I61:K61)</f>
        <v>251652</v>
      </c>
      <c r="M61" s="1083"/>
    </row>
    <row r="62" spans="1:13" s="1095" customFormat="1" ht="18" customHeight="1">
      <c r="A62" s="509">
        <v>53</v>
      </c>
      <c r="B62" s="1085"/>
      <c r="C62" s="1157"/>
      <c r="D62" s="1158" t="s">
        <v>1036</v>
      </c>
      <c r="E62" s="1088"/>
      <c r="F62" s="1089"/>
      <c r="G62" s="1259"/>
      <c r="H62" s="1090"/>
      <c r="I62" s="1091"/>
      <c r="J62" s="1358">
        <v>0</v>
      </c>
      <c r="K62" s="1159"/>
      <c r="L62" s="1093">
        <f>SUM(I62:K62)</f>
        <v>0</v>
      </c>
      <c r="M62" s="1094"/>
    </row>
    <row r="63" spans="1:13" ht="22.5" customHeight="1">
      <c r="A63" s="561">
        <v>54</v>
      </c>
      <c r="B63" s="522"/>
      <c r="C63" s="523">
        <v>14</v>
      </c>
      <c r="D63" s="786" t="s">
        <v>712</v>
      </c>
      <c r="E63" s="524">
        <f>F63+G63+L66+M64</f>
        <v>3600</v>
      </c>
      <c r="F63" s="525">
        <v>100</v>
      </c>
      <c r="G63" s="1258">
        <v>1500</v>
      </c>
      <c r="H63" s="739" t="s">
        <v>24</v>
      </c>
      <c r="I63" s="710"/>
      <c r="J63" s="535"/>
      <c r="K63" s="535"/>
      <c r="L63" s="536"/>
      <c r="M63" s="526"/>
    </row>
    <row r="64" spans="1:13" s="1084" customFormat="1" ht="18" customHeight="1">
      <c r="A64" s="509">
        <v>55</v>
      </c>
      <c r="B64" s="1074"/>
      <c r="C64" s="1154"/>
      <c r="D64" s="1155" t="s">
        <v>303</v>
      </c>
      <c r="E64" s="1077"/>
      <c r="F64" s="1078"/>
      <c r="G64" s="1261"/>
      <c r="H64" s="1079"/>
      <c r="I64" s="1080"/>
      <c r="J64" s="1156">
        <v>2000</v>
      </c>
      <c r="K64" s="1156"/>
      <c r="L64" s="1082">
        <f>SUM(I64:K64)</f>
        <v>2000</v>
      </c>
      <c r="M64" s="1083"/>
    </row>
    <row r="65" spans="1:13" s="1084" customFormat="1" ht="18" customHeight="1">
      <c r="A65" s="509">
        <v>56</v>
      </c>
      <c r="B65" s="1074"/>
      <c r="C65" s="1154"/>
      <c r="D65" s="1161" t="s">
        <v>994</v>
      </c>
      <c r="E65" s="1077"/>
      <c r="F65" s="1078"/>
      <c r="G65" s="1261"/>
      <c r="H65" s="1079"/>
      <c r="I65" s="1080"/>
      <c r="J65" s="1237">
        <v>2000</v>
      </c>
      <c r="K65" s="1156"/>
      <c r="L65" s="1103">
        <f>SUM(I65:K65)</f>
        <v>2000</v>
      </c>
      <c r="M65" s="1083"/>
    </row>
    <row r="66" spans="1:13" s="1095" customFormat="1" ht="18" customHeight="1">
      <c r="A66" s="561">
        <v>57</v>
      </c>
      <c r="B66" s="1085"/>
      <c r="C66" s="1157"/>
      <c r="D66" s="1158" t="s">
        <v>1036</v>
      </c>
      <c r="E66" s="1088"/>
      <c r="F66" s="1089"/>
      <c r="G66" s="1259"/>
      <c r="H66" s="1090"/>
      <c r="I66" s="1091"/>
      <c r="J66" s="1358">
        <v>2000</v>
      </c>
      <c r="K66" s="1159"/>
      <c r="L66" s="1093">
        <f>SUM(I66:K66)</f>
        <v>2000</v>
      </c>
      <c r="M66" s="1094"/>
    </row>
    <row r="67" spans="1:13" ht="22.5" customHeight="1">
      <c r="A67" s="509">
        <v>58</v>
      </c>
      <c r="B67" s="522"/>
      <c r="C67" s="523">
        <v>15</v>
      </c>
      <c r="D67" s="786" t="s">
        <v>713</v>
      </c>
      <c r="E67" s="524">
        <f>F67+G67+L70+M68</f>
        <v>376100</v>
      </c>
      <c r="F67" s="525">
        <v>82900</v>
      </c>
      <c r="G67" s="1258">
        <v>195200</v>
      </c>
      <c r="H67" s="739" t="s">
        <v>24</v>
      </c>
      <c r="I67" s="710"/>
      <c r="J67" s="535"/>
      <c r="K67" s="535"/>
      <c r="L67" s="536"/>
      <c r="M67" s="526"/>
    </row>
    <row r="68" spans="1:13" s="1084" customFormat="1" ht="18" customHeight="1">
      <c r="A68" s="509">
        <v>59</v>
      </c>
      <c r="B68" s="1074"/>
      <c r="C68" s="1154"/>
      <c r="D68" s="1155" t="s">
        <v>303</v>
      </c>
      <c r="E68" s="1077"/>
      <c r="F68" s="1078"/>
      <c r="G68" s="1261"/>
      <c r="H68" s="1079"/>
      <c r="I68" s="1080"/>
      <c r="J68" s="1156">
        <v>98000</v>
      </c>
      <c r="K68" s="1156"/>
      <c r="L68" s="1082">
        <f>SUM(I68:K68)</f>
        <v>98000</v>
      </c>
      <c r="M68" s="1083"/>
    </row>
    <row r="69" spans="1:13" s="1084" customFormat="1" ht="18" customHeight="1">
      <c r="A69" s="561">
        <v>60</v>
      </c>
      <c r="B69" s="1074"/>
      <c r="C69" s="1154"/>
      <c r="D69" s="1161" t="s">
        <v>994</v>
      </c>
      <c r="E69" s="1077"/>
      <c r="F69" s="1078"/>
      <c r="G69" s="1261"/>
      <c r="H69" s="1079"/>
      <c r="I69" s="1080"/>
      <c r="J69" s="1237">
        <v>98000</v>
      </c>
      <c r="K69" s="1156"/>
      <c r="L69" s="1103">
        <f>SUM(I69:K69)</f>
        <v>98000</v>
      </c>
      <c r="M69" s="1083"/>
    </row>
    <row r="70" spans="1:13" s="1095" customFormat="1" ht="18" customHeight="1">
      <c r="A70" s="509">
        <v>61</v>
      </c>
      <c r="B70" s="1085"/>
      <c r="C70" s="1157"/>
      <c r="D70" s="1158" t="s">
        <v>1036</v>
      </c>
      <c r="E70" s="1088"/>
      <c r="F70" s="1089"/>
      <c r="G70" s="1259"/>
      <c r="H70" s="1090"/>
      <c r="I70" s="1091"/>
      <c r="J70" s="1358">
        <v>98000</v>
      </c>
      <c r="K70" s="1159"/>
      <c r="L70" s="1093">
        <f>SUM(I70:K70)</f>
        <v>98000</v>
      </c>
      <c r="M70" s="1094"/>
    </row>
    <row r="71" spans="1:13" ht="66.75" customHeight="1">
      <c r="A71" s="509">
        <v>62</v>
      </c>
      <c r="B71" s="522"/>
      <c r="C71" s="527">
        <v>16</v>
      </c>
      <c r="D71" s="794" t="s">
        <v>681</v>
      </c>
      <c r="E71" s="524">
        <f>F71+G71+L74+M72</f>
        <v>39628</v>
      </c>
      <c r="F71" s="525">
        <f>11933+7351</f>
        <v>19284</v>
      </c>
      <c r="G71" s="1258">
        <v>12596</v>
      </c>
      <c r="H71" s="739" t="s">
        <v>24</v>
      </c>
      <c r="I71" s="710"/>
      <c r="J71" s="535"/>
      <c r="K71" s="535"/>
      <c r="L71" s="536"/>
      <c r="M71" s="526"/>
    </row>
    <row r="72" spans="1:13" s="1084" customFormat="1" ht="18" customHeight="1">
      <c r="A72" s="561">
        <v>63</v>
      </c>
      <c r="B72" s="1074"/>
      <c r="C72" s="1154"/>
      <c r="D72" s="1155" t="s">
        <v>303</v>
      </c>
      <c r="E72" s="1077"/>
      <c r="F72" s="1078"/>
      <c r="G72" s="1261"/>
      <c r="H72" s="1079"/>
      <c r="I72" s="1080"/>
      <c r="J72" s="1156">
        <v>13952</v>
      </c>
      <c r="K72" s="1156"/>
      <c r="L72" s="1082">
        <f>SUM(I72:K72)</f>
        <v>13952</v>
      </c>
      <c r="M72" s="1083"/>
    </row>
    <row r="73" spans="1:13" s="1084" customFormat="1" ht="18" customHeight="1">
      <c r="A73" s="509">
        <v>64</v>
      </c>
      <c r="B73" s="1074"/>
      <c r="C73" s="1154"/>
      <c r="D73" s="1161" t="s">
        <v>994</v>
      </c>
      <c r="E73" s="1077"/>
      <c r="F73" s="1078"/>
      <c r="G73" s="1261"/>
      <c r="H73" s="1079"/>
      <c r="I73" s="1080"/>
      <c r="J73" s="1237">
        <v>7748</v>
      </c>
      <c r="K73" s="1156"/>
      <c r="L73" s="1103">
        <f>SUM(I73:K73)</f>
        <v>7748</v>
      </c>
      <c r="M73" s="1083"/>
    </row>
    <row r="74" spans="1:13" s="1095" customFormat="1" ht="18" customHeight="1">
      <c r="A74" s="509">
        <v>65</v>
      </c>
      <c r="B74" s="1085"/>
      <c r="C74" s="1157"/>
      <c r="D74" s="1158" t="s">
        <v>1035</v>
      </c>
      <c r="E74" s="1088"/>
      <c r="F74" s="1089"/>
      <c r="G74" s="1259"/>
      <c r="H74" s="1090"/>
      <c r="I74" s="1091"/>
      <c r="J74" s="1358">
        <v>7748</v>
      </c>
      <c r="K74" s="1159"/>
      <c r="L74" s="1093">
        <f>SUM(I74:K74)</f>
        <v>7748</v>
      </c>
      <c r="M74" s="1094"/>
    </row>
    <row r="75" spans="1:15" ht="22.5" customHeight="1">
      <c r="A75" s="561">
        <v>66</v>
      </c>
      <c r="B75" s="522"/>
      <c r="C75" s="523">
        <v>17</v>
      </c>
      <c r="D75" s="786" t="s">
        <v>682</v>
      </c>
      <c r="E75" s="524">
        <f>F75+G75+L78+M76</f>
        <v>2327</v>
      </c>
      <c r="F75" s="525">
        <v>2058</v>
      </c>
      <c r="G75" s="1258">
        <v>269</v>
      </c>
      <c r="H75" s="739" t="s">
        <v>24</v>
      </c>
      <c r="I75" s="710"/>
      <c r="J75" s="535"/>
      <c r="K75" s="535"/>
      <c r="L75" s="536"/>
      <c r="M75" s="526"/>
      <c r="N75" s="510"/>
      <c r="O75" s="510"/>
    </row>
    <row r="76" spans="1:13" s="1084" customFormat="1" ht="18" customHeight="1">
      <c r="A76" s="509">
        <v>67</v>
      </c>
      <c r="B76" s="1074"/>
      <c r="C76" s="1154"/>
      <c r="D76" s="1155" t="s">
        <v>303</v>
      </c>
      <c r="E76" s="1077"/>
      <c r="F76" s="1078"/>
      <c r="G76" s="1261"/>
      <c r="H76" s="1079"/>
      <c r="I76" s="1080"/>
      <c r="J76" s="1156">
        <v>7173</v>
      </c>
      <c r="K76" s="1156"/>
      <c r="L76" s="1082">
        <f>SUM(I76:K76)</f>
        <v>7173</v>
      </c>
      <c r="M76" s="1083"/>
    </row>
    <row r="77" spans="1:13" s="1084" customFormat="1" ht="18" customHeight="1">
      <c r="A77" s="509">
        <v>68</v>
      </c>
      <c r="B77" s="1074"/>
      <c r="C77" s="1154"/>
      <c r="D77" s="1161" t="s">
        <v>994</v>
      </c>
      <c r="E77" s="1077"/>
      <c r="F77" s="1078"/>
      <c r="G77" s="1261"/>
      <c r="H77" s="1079"/>
      <c r="I77" s="1080"/>
      <c r="J77" s="1237">
        <v>731</v>
      </c>
      <c r="K77" s="1156"/>
      <c r="L77" s="1103">
        <f>SUM(I77:K77)</f>
        <v>731</v>
      </c>
      <c r="M77" s="1083"/>
    </row>
    <row r="78" spans="1:13" s="1095" customFormat="1" ht="18" customHeight="1">
      <c r="A78" s="561">
        <v>69</v>
      </c>
      <c r="B78" s="1085"/>
      <c r="C78" s="1157"/>
      <c r="D78" s="1158" t="s">
        <v>1035</v>
      </c>
      <c r="E78" s="1088"/>
      <c r="F78" s="1089"/>
      <c r="G78" s="1259"/>
      <c r="H78" s="1090"/>
      <c r="I78" s="1091"/>
      <c r="J78" s="1358">
        <v>0</v>
      </c>
      <c r="K78" s="1159"/>
      <c r="L78" s="1093">
        <f>SUM(I78:K78)</f>
        <v>0</v>
      </c>
      <c r="M78" s="1094"/>
    </row>
    <row r="79" spans="1:15" ht="22.5" customHeight="1">
      <c r="A79" s="509">
        <v>70</v>
      </c>
      <c r="B79" s="522"/>
      <c r="C79" s="523">
        <v>18</v>
      </c>
      <c r="D79" s="786" t="s">
        <v>683</v>
      </c>
      <c r="E79" s="524">
        <f>F79+G79+L82+M80</f>
        <v>3145</v>
      </c>
      <c r="F79" s="525">
        <f>248+251</f>
        <v>499</v>
      </c>
      <c r="G79" s="1258">
        <v>1455</v>
      </c>
      <c r="H79" s="739" t="s">
        <v>24</v>
      </c>
      <c r="I79" s="710"/>
      <c r="J79" s="535"/>
      <c r="K79" s="535"/>
      <c r="L79" s="536"/>
      <c r="M79" s="526"/>
      <c r="N79" s="510"/>
      <c r="O79" s="510"/>
    </row>
    <row r="80" spans="1:13" s="1084" customFormat="1" ht="18" customHeight="1">
      <c r="A80" s="509">
        <v>71</v>
      </c>
      <c r="B80" s="1074"/>
      <c r="C80" s="1154"/>
      <c r="D80" s="1155" t="s">
        <v>303</v>
      </c>
      <c r="E80" s="1077"/>
      <c r="F80" s="1078"/>
      <c r="G80" s="1261"/>
      <c r="H80" s="1079"/>
      <c r="I80" s="1080"/>
      <c r="J80" s="1156">
        <v>5046</v>
      </c>
      <c r="K80" s="1156"/>
      <c r="L80" s="1082">
        <f>SUM(I80:K80)</f>
        <v>5046</v>
      </c>
      <c r="M80" s="1083"/>
    </row>
    <row r="81" spans="1:13" s="1084" customFormat="1" ht="18" customHeight="1">
      <c r="A81" s="561">
        <v>72</v>
      </c>
      <c r="B81" s="1074"/>
      <c r="C81" s="1154"/>
      <c r="D81" s="1161" t="s">
        <v>994</v>
      </c>
      <c r="E81" s="1077"/>
      <c r="F81" s="1078"/>
      <c r="G81" s="1261"/>
      <c r="H81" s="1079"/>
      <c r="I81" s="1080"/>
      <c r="J81" s="1237">
        <v>1191</v>
      </c>
      <c r="K81" s="1156"/>
      <c r="L81" s="1103">
        <f>SUM(I81:K81)</f>
        <v>1191</v>
      </c>
      <c r="M81" s="1083"/>
    </row>
    <row r="82" spans="1:13" s="1095" customFormat="1" ht="18" customHeight="1">
      <c r="A82" s="509">
        <v>73</v>
      </c>
      <c r="B82" s="1085"/>
      <c r="C82" s="1157"/>
      <c r="D82" s="1158" t="s">
        <v>1035</v>
      </c>
      <c r="E82" s="1088"/>
      <c r="F82" s="1089"/>
      <c r="G82" s="1259"/>
      <c r="H82" s="1090"/>
      <c r="I82" s="1091"/>
      <c r="J82" s="1358">
        <v>1191</v>
      </c>
      <c r="K82" s="1159"/>
      <c r="L82" s="1093">
        <f>SUM(I82:K82)</f>
        <v>1191</v>
      </c>
      <c r="M82" s="1094"/>
    </row>
    <row r="83" spans="1:15" ht="37.5" customHeight="1">
      <c r="A83" s="509">
        <v>74</v>
      </c>
      <c r="B83" s="522"/>
      <c r="C83" s="527">
        <v>19</v>
      </c>
      <c r="D83" s="324" t="s">
        <v>714</v>
      </c>
      <c r="E83" s="524">
        <f>F83+G83+L86+M84</f>
        <v>9000</v>
      </c>
      <c r="F83" s="525">
        <f>3500+2500</f>
        <v>6000</v>
      </c>
      <c r="G83" s="1258">
        <v>3000</v>
      </c>
      <c r="H83" s="739" t="s">
        <v>24</v>
      </c>
      <c r="I83" s="710"/>
      <c r="J83" s="535"/>
      <c r="K83" s="535"/>
      <c r="L83" s="536"/>
      <c r="M83" s="526"/>
      <c r="N83" s="510"/>
      <c r="O83" s="510"/>
    </row>
    <row r="84" spans="1:13" s="1084" customFormat="1" ht="18" customHeight="1">
      <c r="A84" s="561">
        <v>75</v>
      </c>
      <c r="B84" s="1074"/>
      <c r="C84" s="1154"/>
      <c r="D84" s="1155" t="s">
        <v>303</v>
      </c>
      <c r="E84" s="1077"/>
      <c r="F84" s="1078"/>
      <c r="G84" s="1261"/>
      <c r="H84" s="1079"/>
      <c r="I84" s="1080"/>
      <c r="J84" s="1156">
        <v>2000</v>
      </c>
      <c r="K84" s="1156"/>
      <c r="L84" s="1082">
        <f>SUM(I84:K84)</f>
        <v>2000</v>
      </c>
      <c r="M84" s="1083"/>
    </row>
    <row r="85" spans="1:13" s="1084" customFormat="1" ht="18" customHeight="1">
      <c r="A85" s="509">
        <v>76</v>
      </c>
      <c r="B85" s="1074"/>
      <c r="C85" s="1154"/>
      <c r="D85" s="1161" t="s">
        <v>994</v>
      </c>
      <c r="E85" s="1077"/>
      <c r="F85" s="1078"/>
      <c r="G85" s="1261"/>
      <c r="H85" s="1079"/>
      <c r="I85" s="1080"/>
      <c r="J85" s="1237">
        <v>0</v>
      </c>
      <c r="K85" s="1156"/>
      <c r="L85" s="1103">
        <f>SUM(I85:K85)</f>
        <v>0</v>
      </c>
      <c r="M85" s="1083"/>
    </row>
    <row r="86" spans="1:13" s="1095" customFormat="1" ht="18" customHeight="1">
      <c r="A86" s="509">
        <v>77</v>
      </c>
      <c r="B86" s="1085"/>
      <c r="C86" s="1157"/>
      <c r="D86" s="1158" t="s">
        <v>1048</v>
      </c>
      <c r="E86" s="1088"/>
      <c r="F86" s="1089"/>
      <c r="G86" s="1259"/>
      <c r="H86" s="1090"/>
      <c r="I86" s="1091"/>
      <c r="J86" s="1358">
        <v>0</v>
      </c>
      <c r="K86" s="1159"/>
      <c r="L86" s="1093">
        <f>SUM(I86:K86)</f>
        <v>0</v>
      </c>
      <c r="M86" s="1094"/>
    </row>
    <row r="87" spans="1:15" ht="22.5" customHeight="1">
      <c r="A87" s="561">
        <v>78</v>
      </c>
      <c r="B87" s="522"/>
      <c r="C87" s="523">
        <v>20</v>
      </c>
      <c r="D87" s="323" t="s">
        <v>684</v>
      </c>
      <c r="E87" s="524">
        <f>F87+G87+L90+M88</f>
        <v>29323</v>
      </c>
      <c r="F87" s="525"/>
      <c r="G87" s="1258">
        <v>29323</v>
      </c>
      <c r="H87" s="739" t="s">
        <v>24</v>
      </c>
      <c r="I87" s="710"/>
      <c r="J87" s="535"/>
      <c r="K87" s="535"/>
      <c r="L87" s="536"/>
      <c r="M87" s="526"/>
      <c r="N87" s="510"/>
      <c r="O87" s="510"/>
    </row>
    <row r="88" spans="1:13" s="1084" customFormat="1" ht="18" customHeight="1">
      <c r="A88" s="509">
        <v>79</v>
      </c>
      <c r="B88" s="1074"/>
      <c r="C88" s="1154"/>
      <c r="D88" s="1155" t="s">
        <v>303</v>
      </c>
      <c r="E88" s="1077"/>
      <c r="F88" s="1078"/>
      <c r="G88" s="1261"/>
      <c r="H88" s="1079"/>
      <c r="I88" s="1080"/>
      <c r="J88" s="1156">
        <v>677</v>
      </c>
      <c r="K88" s="1156"/>
      <c r="L88" s="1082">
        <f>SUM(I88:K88)</f>
        <v>677</v>
      </c>
      <c r="M88" s="1083"/>
    </row>
    <row r="89" spans="1:13" s="1084" customFormat="1" ht="18" customHeight="1">
      <c r="A89" s="509">
        <v>80</v>
      </c>
      <c r="B89" s="1074"/>
      <c r="C89" s="1154"/>
      <c r="D89" s="1161" t="s">
        <v>994</v>
      </c>
      <c r="E89" s="1077"/>
      <c r="F89" s="1078"/>
      <c r="G89" s="1261"/>
      <c r="H89" s="1079"/>
      <c r="I89" s="1080"/>
      <c r="J89" s="1237">
        <v>0</v>
      </c>
      <c r="K89" s="1156"/>
      <c r="L89" s="1103">
        <f>SUM(I89:K89)</f>
        <v>0</v>
      </c>
      <c r="M89" s="1083"/>
    </row>
    <row r="90" spans="1:13" s="1095" customFormat="1" ht="18" customHeight="1">
      <c r="A90" s="561">
        <v>81</v>
      </c>
      <c r="B90" s="1085"/>
      <c r="C90" s="1157"/>
      <c r="D90" s="1158" t="s">
        <v>1040</v>
      </c>
      <c r="E90" s="1088"/>
      <c r="F90" s="1089"/>
      <c r="G90" s="1259"/>
      <c r="H90" s="1090"/>
      <c r="I90" s="1091"/>
      <c r="J90" s="1358">
        <v>0</v>
      </c>
      <c r="K90" s="1159"/>
      <c r="L90" s="1093">
        <f>SUM(I90:K90)</f>
        <v>0</v>
      </c>
      <c r="M90" s="1094"/>
    </row>
    <row r="91" spans="1:13" ht="22.5" customHeight="1">
      <c r="A91" s="509">
        <v>82</v>
      </c>
      <c r="B91" s="522"/>
      <c r="C91" s="523">
        <v>21</v>
      </c>
      <c r="D91" s="323" t="s">
        <v>629</v>
      </c>
      <c r="E91" s="524">
        <f>F91+G91+L94+M92</f>
        <v>15536</v>
      </c>
      <c r="F91" s="525">
        <v>11091</v>
      </c>
      <c r="G91" s="1258"/>
      <c r="H91" s="739" t="s">
        <v>24</v>
      </c>
      <c r="I91" s="710"/>
      <c r="J91" s="535"/>
      <c r="K91" s="535"/>
      <c r="L91" s="536"/>
      <c r="M91" s="526"/>
    </row>
    <row r="92" spans="1:13" s="1084" customFormat="1" ht="18" customHeight="1">
      <c r="A92" s="509">
        <v>83</v>
      </c>
      <c r="B92" s="1074"/>
      <c r="C92" s="1154"/>
      <c r="D92" s="1155" t="s">
        <v>303</v>
      </c>
      <c r="E92" s="1077"/>
      <c r="F92" s="1078"/>
      <c r="G92" s="1261"/>
      <c r="H92" s="1079"/>
      <c r="I92" s="1080"/>
      <c r="J92" s="1156">
        <v>5309</v>
      </c>
      <c r="K92" s="1156"/>
      <c r="L92" s="1082">
        <f>SUM(I92:K92)</f>
        <v>5309</v>
      </c>
      <c r="M92" s="1083"/>
    </row>
    <row r="93" spans="1:13" s="1084" customFormat="1" ht="18" customHeight="1">
      <c r="A93" s="561">
        <v>84</v>
      </c>
      <c r="B93" s="1074"/>
      <c r="C93" s="1154"/>
      <c r="D93" s="1161" t="s">
        <v>994</v>
      </c>
      <c r="E93" s="1077"/>
      <c r="F93" s="1078"/>
      <c r="G93" s="1261"/>
      <c r="H93" s="1079"/>
      <c r="I93" s="1080"/>
      <c r="J93" s="1237">
        <v>4445</v>
      </c>
      <c r="K93" s="1156"/>
      <c r="L93" s="1103">
        <f>SUM(I93:K93)</f>
        <v>4445</v>
      </c>
      <c r="M93" s="1083"/>
    </row>
    <row r="94" spans="1:13" s="1095" customFormat="1" ht="18" customHeight="1">
      <c r="A94" s="509">
        <v>85</v>
      </c>
      <c r="B94" s="1085"/>
      <c r="C94" s="1157"/>
      <c r="D94" s="1158" t="s">
        <v>1035</v>
      </c>
      <c r="E94" s="1088"/>
      <c r="F94" s="1089"/>
      <c r="G94" s="1259"/>
      <c r="H94" s="1090"/>
      <c r="I94" s="1091"/>
      <c r="J94" s="1358">
        <v>4445</v>
      </c>
      <c r="K94" s="1159"/>
      <c r="L94" s="1093">
        <f>SUM(I94:K94)</f>
        <v>4445</v>
      </c>
      <c r="M94" s="1094"/>
    </row>
    <row r="95" spans="1:13" ht="37.5" customHeight="1">
      <c r="A95" s="509">
        <v>86</v>
      </c>
      <c r="B95" s="522"/>
      <c r="C95" s="527">
        <v>22</v>
      </c>
      <c r="D95" s="324" t="s">
        <v>685</v>
      </c>
      <c r="E95" s="524">
        <f>F95+G95+L98+M96</f>
        <v>0</v>
      </c>
      <c r="F95" s="525"/>
      <c r="G95" s="1258"/>
      <c r="H95" s="739" t="s">
        <v>24</v>
      </c>
      <c r="I95" s="710"/>
      <c r="J95" s="535"/>
      <c r="K95" s="535"/>
      <c r="L95" s="536"/>
      <c r="M95" s="526"/>
    </row>
    <row r="96" spans="1:13" s="1084" customFormat="1" ht="18" customHeight="1">
      <c r="A96" s="561">
        <v>87</v>
      </c>
      <c r="B96" s="1074"/>
      <c r="C96" s="1154"/>
      <c r="D96" s="1155" t="s">
        <v>303</v>
      </c>
      <c r="E96" s="1077"/>
      <c r="F96" s="1078"/>
      <c r="G96" s="1261"/>
      <c r="H96" s="1079"/>
      <c r="I96" s="1080"/>
      <c r="J96" s="1156">
        <v>19000</v>
      </c>
      <c r="K96" s="1156"/>
      <c r="L96" s="1082">
        <f>SUM(I96:K96)</f>
        <v>19000</v>
      </c>
      <c r="M96" s="1083"/>
    </row>
    <row r="97" spans="1:13" s="1084" customFormat="1" ht="18" customHeight="1">
      <c r="A97" s="509">
        <v>88</v>
      </c>
      <c r="B97" s="1074"/>
      <c r="C97" s="1154"/>
      <c r="D97" s="1161" t="s">
        <v>994</v>
      </c>
      <c r="E97" s="1077"/>
      <c r="F97" s="1078"/>
      <c r="G97" s="1261"/>
      <c r="H97" s="1079"/>
      <c r="I97" s="1080"/>
      <c r="J97" s="1237">
        <v>19000</v>
      </c>
      <c r="K97" s="1156"/>
      <c r="L97" s="1103">
        <f>SUM(I97:K97)</f>
        <v>19000</v>
      </c>
      <c r="M97" s="1083"/>
    </row>
    <row r="98" spans="1:13" s="1095" customFormat="1" ht="18" customHeight="1">
      <c r="A98" s="509">
        <v>89</v>
      </c>
      <c r="B98" s="1085"/>
      <c r="C98" s="1157"/>
      <c r="D98" s="1158" t="s">
        <v>1036</v>
      </c>
      <c r="E98" s="1088"/>
      <c r="F98" s="1089"/>
      <c r="G98" s="1259"/>
      <c r="H98" s="1090"/>
      <c r="I98" s="1091"/>
      <c r="J98" s="1358">
        <v>0</v>
      </c>
      <c r="K98" s="1159"/>
      <c r="L98" s="1093">
        <f>SUM(I98:K98)</f>
        <v>0</v>
      </c>
      <c r="M98" s="1094"/>
    </row>
    <row r="99" spans="1:13" ht="22.5" customHeight="1">
      <c r="A99" s="561">
        <v>90</v>
      </c>
      <c r="B99" s="522"/>
      <c r="C99" s="523">
        <v>23</v>
      </c>
      <c r="D99" s="323" t="s">
        <v>522</v>
      </c>
      <c r="E99" s="524">
        <f>F99+G99+L102+M100</f>
        <v>26655</v>
      </c>
      <c r="F99" s="525">
        <v>8127</v>
      </c>
      <c r="G99" s="1258">
        <v>11065</v>
      </c>
      <c r="H99" s="739" t="s">
        <v>24</v>
      </c>
      <c r="I99" s="710"/>
      <c r="J99" s="535"/>
      <c r="K99" s="535"/>
      <c r="L99" s="536"/>
      <c r="M99" s="526"/>
    </row>
    <row r="100" spans="1:13" s="1084" customFormat="1" ht="18" customHeight="1">
      <c r="A100" s="509">
        <v>91</v>
      </c>
      <c r="B100" s="1074"/>
      <c r="C100" s="1154"/>
      <c r="D100" s="1155" t="s">
        <v>303</v>
      </c>
      <c r="E100" s="1077"/>
      <c r="F100" s="1078"/>
      <c r="G100" s="1261"/>
      <c r="H100" s="1079"/>
      <c r="I100" s="1080">
        <v>9612</v>
      </c>
      <c r="J100" s="1156">
        <v>11194</v>
      </c>
      <c r="K100" s="1156"/>
      <c r="L100" s="1082">
        <f>SUM(I100:K100)</f>
        <v>20806</v>
      </c>
      <c r="M100" s="1083"/>
    </row>
    <row r="101" spans="1:13" s="1084" customFormat="1" ht="18" customHeight="1">
      <c r="A101" s="509">
        <v>92</v>
      </c>
      <c r="B101" s="1074"/>
      <c r="C101" s="1154"/>
      <c r="D101" s="1161" t="s">
        <v>994</v>
      </c>
      <c r="E101" s="1077"/>
      <c r="F101" s="1078"/>
      <c r="G101" s="1261"/>
      <c r="H101" s="1079"/>
      <c r="I101" s="1101">
        <f>9612-3799</f>
        <v>5813</v>
      </c>
      <c r="J101" s="1237">
        <v>6058</v>
      </c>
      <c r="K101" s="1156"/>
      <c r="L101" s="1103">
        <f>SUM(I101:K101)</f>
        <v>11871</v>
      </c>
      <c r="M101" s="1083"/>
    </row>
    <row r="102" spans="1:13" s="1095" customFormat="1" ht="18" customHeight="1">
      <c r="A102" s="561">
        <v>93</v>
      </c>
      <c r="B102" s="1085"/>
      <c r="C102" s="1157"/>
      <c r="D102" s="1158" t="s">
        <v>1035</v>
      </c>
      <c r="E102" s="1088"/>
      <c r="F102" s="1089"/>
      <c r="G102" s="1259"/>
      <c r="H102" s="1090"/>
      <c r="I102" s="1358">
        <v>4661</v>
      </c>
      <c r="J102" s="1358">
        <v>2802</v>
      </c>
      <c r="K102" s="1159"/>
      <c r="L102" s="1093">
        <f>SUM(I102:K102)</f>
        <v>7463</v>
      </c>
      <c r="M102" s="1094"/>
    </row>
    <row r="103" spans="1:13" ht="22.5" customHeight="1">
      <c r="A103" s="509">
        <v>94</v>
      </c>
      <c r="B103" s="522"/>
      <c r="C103" s="523">
        <v>24</v>
      </c>
      <c r="D103" s="323" t="s">
        <v>715</v>
      </c>
      <c r="E103" s="524">
        <f>F103+G103+L106+M104</f>
        <v>3027</v>
      </c>
      <c r="F103" s="525"/>
      <c r="G103" s="1258"/>
      <c r="H103" s="739" t="s">
        <v>24</v>
      </c>
      <c r="I103" s="710"/>
      <c r="J103" s="535"/>
      <c r="K103" s="535"/>
      <c r="L103" s="536"/>
      <c r="M103" s="526"/>
    </row>
    <row r="104" spans="1:13" s="1084" customFormat="1" ht="18" customHeight="1">
      <c r="A104" s="509">
        <v>95</v>
      </c>
      <c r="B104" s="1074"/>
      <c r="C104" s="1154"/>
      <c r="D104" s="1155" t="s">
        <v>303</v>
      </c>
      <c r="E104" s="1077"/>
      <c r="F104" s="1078"/>
      <c r="G104" s="1261"/>
      <c r="H104" s="1079"/>
      <c r="I104" s="1080"/>
      <c r="J104" s="1156">
        <v>7620</v>
      </c>
      <c r="K104" s="1156"/>
      <c r="L104" s="1082">
        <f>SUM(I104:K104)</f>
        <v>7620</v>
      </c>
      <c r="M104" s="1083"/>
    </row>
    <row r="105" spans="1:13" s="1084" customFormat="1" ht="18" customHeight="1">
      <c r="A105" s="561">
        <v>96</v>
      </c>
      <c r="B105" s="1074"/>
      <c r="C105" s="1154"/>
      <c r="D105" s="1161" t="s">
        <v>994</v>
      </c>
      <c r="E105" s="1077"/>
      <c r="F105" s="1078"/>
      <c r="G105" s="1261"/>
      <c r="H105" s="1079"/>
      <c r="I105" s="1080"/>
      <c r="J105" s="1237">
        <v>3120</v>
      </c>
      <c r="K105" s="1156"/>
      <c r="L105" s="1103">
        <f>SUM(I105:K105)</f>
        <v>3120</v>
      </c>
      <c r="M105" s="1083"/>
    </row>
    <row r="106" spans="1:13" s="1095" customFormat="1" ht="18" customHeight="1">
      <c r="A106" s="509">
        <v>97</v>
      </c>
      <c r="B106" s="1085"/>
      <c r="C106" s="1157"/>
      <c r="D106" s="1158" t="s">
        <v>1035</v>
      </c>
      <c r="E106" s="1088"/>
      <c r="F106" s="1089"/>
      <c r="G106" s="1259"/>
      <c r="H106" s="1090"/>
      <c r="I106" s="1091"/>
      <c r="J106" s="1358">
        <v>3027</v>
      </c>
      <c r="K106" s="1159"/>
      <c r="L106" s="1093">
        <f>SUM(I106:K106)</f>
        <v>3027</v>
      </c>
      <c r="M106" s="1094"/>
    </row>
    <row r="107" spans="1:13" ht="37.5" customHeight="1">
      <c r="A107" s="509">
        <v>98</v>
      </c>
      <c r="B107" s="522"/>
      <c r="C107" s="527">
        <v>25</v>
      </c>
      <c r="D107" s="324" t="s">
        <v>716</v>
      </c>
      <c r="E107" s="524">
        <f>F107+G107+L110+M108</f>
        <v>0</v>
      </c>
      <c r="F107" s="525"/>
      <c r="G107" s="1258"/>
      <c r="H107" s="739" t="s">
        <v>24</v>
      </c>
      <c r="I107" s="710"/>
      <c r="J107" s="535"/>
      <c r="K107" s="535"/>
      <c r="L107" s="536"/>
      <c r="M107" s="526"/>
    </row>
    <row r="108" spans="1:13" s="1084" customFormat="1" ht="18" customHeight="1">
      <c r="A108" s="561">
        <v>99</v>
      </c>
      <c r="B108" s="1074"/>
      <c r="C108" s="1154"/>
      <c r="D108" s="1155" t="s">
        <v>303</v>
      </c>
      <c r="E108" s="1077"/>
      <c r="F108" s="1078"/>
      <c r="G108" s="1261"/>
      <c r="H108" s="1079"/>
      <c r="I108" s="1080"/>
      <c r="J108" s="1156">
        <v>21891</v>
      </c>
      <c r="K108" s="1156"/>
      <c r="L108" s="1082">
        <f>SUM(I108:K108)</f>
        <v>21891</v>
      </c>
      <c r="M108" s="1083"/>
    </row>
    <row r="109" spans="1:13" s="1084" customFormat="1" ht="18" customHeight="1">
      <c r="A109" s="509">
        <v>100</v>
      </c>
      <c r="B109" s="1074"/>
      <c r="C109" s="1154"/>
      <c r="D109" s="1161" t="s">
        <v>994</v>
      </c>
      <c r="E109" s="1077"/>
      <c r="F109" s="1078"/>
      <c r="G109" s="1261"/>
      <c r="H109" s="1079"/>
      <c r="I109" s="1080"/>
      <c r="J109" s="1237">
        <v>21891</v>
      </c>
      <c r="K109" s="1156"/>
      <c r="L109" s="1103">
        <f>SUM(I109:K109)</f>
        <v>21891</v>
      </c>
      <c r="M109" s="1083"/>
    </row>
    <row r="110" spans="1:13" s="1095" customFormat="1" ht="18" customHeight="1">
      <c r="A110" s="509">
        <v>101</v>
      </c>
      <c r="B110" s="1085"/>
      <c r="C110" s="1157"/>
      <c r="D110" s="1158" t="s">
        <v>1036</v>
      </c>
      <c r="E110" s="1088"/>
      <c r="F110" s="1089"/>
      <c r="G110" s="1259"/>
      <c r="H110" s="1090"/>
      <c r="I110" s="1091"/>
      <c r="J110" s="1358">
        <v>0</v>
      </c>
      <c r="K110" s="1159"/>
      <c r="L110" s="1093">
        <f>SUM(I110:K110)</f>
        <v>0</v>
      </c>
      <c r="M110" s="1094"/>
    </row>
    <row r="111" spans="1:13" ht="37.5" customHeight="1">
      <c r="A111" s="561">
        <v>102</v>
      </c>
      <c r="B111" s="522"/>
      <c r="C111" s="527">
        <v>26</v>
      </c>
      <c r="D111" s="324" t="s">
        <v>717</v>
      </c>
      <c r="E111" s="524">
        <f>F111+G111+L114+M112</f>
        <v>0</v>
      </c>
      <c r="F111" s="525"/>
      <c r="G111" s="1258"/>
      <c r="H111" s="739" t="s">
        <v>24</v>
      </c>
      <c r="I111" s="710"/>
      <c r="J111" s="535"/>
      <c r="K111" s="535"/>
      <c r="L111" s="536"/>
      <c r="M111" s="526"/>
    </row>
    <row r="112" spans="1:13" s="1084" customFormat="1" ht="18" customHeight="1">
      <c r="A112" s="509">
        <v>103</v>
      </c>
      <c r="B112" s="1074"/>
      <c r="C112" s="1154"/>
      <c r="D112" s="1155" t="s">
        <v>303</v>
      </c>
      <c r="E112" s="1077"/>
      <c r="F112" s="1078"/>
      <c r="G112" s="1261"/>
      <c r="H112" s="1079"/>
      <c r="I112" s="1080"/>
      <c r="J112" s="1156">
        <v>20620</v>
      </c>
      <c r="K112" s="1156"/>
      <c r="L112" s="1082">
        <f>SUM(I112:K112)</f>
        <v>20620</v>
      </c>
      <c r="M112" s="1083"/>
    </row>
    <row r="113" spans="1:13" s="1084" customFormat="1" ht="18" customHeight="1">
      <c r="A113" s="509">
        <v>104</v>
      </c>
      <c r="B113" s="1074"/>
      <c r="C113" s="1154"/>
      <c r="D113" s="1161" t="s">
        <v>994</v>
      </c>
      <c r="E113" s="1077"/>
      <c r="F113" s="1078"/>
      <c r="G113" s="1261"/>
      <c r="H113" s="1079"/>
      <c r="I113" s="1080"/>
      <c r="J113" s="1237">
        <v>20620</v>
      </c>
      <c r="K113" s="1156"/>
      <c r="L113" s="1103">
        <f>SUM(I113:K113)</f>
        <v>20620</v>
      </c>
      <c r="M113" s="1083"/>
    </row>
    <row r="114" spans="1:13" s="1095" customFormat="1" ht="18" customHeight="1">
      <c r="A114" s="561">
        <v>105</v>
      </c>
      <c r="B114" s="1085"/>
      <c r="C114" s="1157"/>
      <c r="D114" s="1158" t="s">
        <v>1036</v>
      </c>
      <c r="E114" s="1088"/>
      <c r="F114" s="1089"/>
      <c r="G114" s="1259"/>
      <c r="H114" s="1090"/>
      <c r="I114" s="1091"/>
      <c r="J114" s="1358">
        <v>0</v>
      </c>
      <c r="K114" s="1159"/>
      <c r="L114" s="1093">
        <f>SUM(I114:K114)</f>
        <v>0</v>
      </c>
      <c r="M114" s="1094"/>
    </row>
    <row r="115" spans="1:13" ht="51.75" customHeight="1">
      <c r="A115" s="509">
        <v>106</v>
      </c>
      <c r="B115" s="522"/>
      <c r="C115" s="527">
        <v>27</v>
      </c>
      <c r="D115" s="324" t="s">
        <v>718</v>
      </c>
      <c r="E115" s="524">
        <f>F115+G115+L118+M116</f>
        <v>0</v>
      </c>
      <c r="F115" s="525"/>
      <c r="G115" s="1258"/>
      <c r="H115" s="739" t="s">
        <v>24</v>
      </c>
      <c r="I115" s="710"/>
      <c r="J115" s="535"/>
      <c r="K115" s="535"/>
      <c r="L115" s="536"/>
      <c r="M115" s="526"/>
    </row>
    <row r="116" spans="1:13" s="1084" customFormat="1" ht="18" customHeight="1">
      <c r="A116" s="509">
        <v>107</v>
      </c>
      <c r="B116" s="1074"/>
      <c r="C116" s="1154"/>
      <c r="D116" s="1155" t="s">
        <v>303</v>
      </c>
      <c r="E116" s="1077"/>
      <c r="F116" s="1078"/>
      <c r="G116" s="1261"/>
      <c r="H116" s="1079"/>
      <c r="I116" s="1080"/>
      <c r="J116" s="1156">
        <v>4802</v>
      </c>
      <c r="K116" s="1156"/>
      <c r="L116" s="1082">
        <f>SUM(I116:K116)</f>
        <v>4802</v>
      </c>
      <c r="M116" s="1083"/>
    </row>
    <row r="117" spans="1:13" s="1084" customFormat="1" ht="18" customHeight="1">
      <c r="A117" s="561">
        <v>108</v>
      </c>
      <c r="B117" s="1074"/>
      <c r="C117" s="1154"/>
      <c r="D117" s="1161" t="s">
        <v>994</v>
      </c>
      <c r="E117" s="1077"/>
      <c r="F117" s="1078"/>
      <c r="G117" s="1261"/>
      <c r="H117" s="1079"/>
      <c r="I117" s="1080"/>
      <c r="J117" s="1156">
        <v>4802</v>
      </c>
      <c r="K117" s="1156"/>
      <c r="L117" s="1103">
        <f>SUM(I117:K117)</f>
        <v>4802</v>
      </c>
      <c r="M117" s="1083"/>
    </row>
    <row r="118" spans="1:13" s="1095" customFormat="1" ht="18" customHeight="1">
      <c r="A118" s="509">
        <v>109</v>
      </c>
      <c r="B118" s="1085"/>
      <c r="C118" s="1157"/>
      <c r="D118" s="1158" t="s">
        <v>1036</v>
      </c>
      <c r="E118" s="1088"/>
      <c r="F118" s="1089"/>
      <c r="G118" s="1259"/>
      <c r="H118" s="1090"/>
      <c r="I118" s="1091"/>
      <c r="J118" s="1358">
        <v>0</v>
      </c>
      <c r="K118" s="1159"/>
      <c r="L118" s="1093">
        <f>SUM(I118:K118)</f>
        <v>0</v>
      </c>
      <c r="M118" s="1094"/>
    </row>
    <row r="119" spans="1:13" ht="37.5" customHeight="1">
      <c r="A119" s="509">
        <v>110</v>
      </c>
      <c r="B119" s="522"/>
      <c r="C119" s="527">
        <v>28</v>
      </c>
      <c r="D119" s="324" t="s">
        <v>719</v>
      </c>
      <c r="E119" s="524">
        <f>F119+G119+L122+M120</f>
        <v>0</v>
      </c>
      <c r="F119" s="525"/>
      <c r="G119" s="1258"/>
      <c r="H119" s="739" t="s">
        <v>24</v>
      </c>
      <c r="I119" s="710"/>
      <c r="J119" s="535"/>
      <c r="K119" s="535"/>
      <c r="L119" s="536"/>
      <c r="M119" s="526"/>
    </row>
    <row r="120" spans="1:13" s="1084" customFormat="1" ht="18" customHeight="1">
      <c r="A120" s="561">
        <v>111</v>
      </c>
      <c r="B120" s="1074"/>
      <c r="C120" s="1154"/>
      <c r="D120" s="1155" t="s">
        <v>303</v>
      </c>
      <c r="E120" s="1077"/>
      <c r="F120" s="1078"/>
      <c r="G120" s="1261"/>
      <c r="H120" s="1079"/>
      <c r="I120" s="1080"/>
      <c r="J120" s="1156">
        <v>3000</v>
      </c>
      <c r="K120" s="1156"/>
      <c r="L120" s="1082">
        <f>SUM(I120:K120)</f>
        <v>3000</v>
      </c>
      <c r="M120" s="1083"/>
    </row>
    <row r="121" spans="1:13" s="1084" customFormat="1" ht="18" customHeight="1">
      <c r="A121" s="509">
        <v>112</v>
      </c>
      <c r="B121" s="1074"/>
      <c r="C121" s="1154"/>
      <c r="D121" s="1161" t="s">
        <v>994</v>
      </c>
      <c r="E121" s="1077"/>
      <c r="F121" s="1078"/>
      <c r="G121" s="1261"/>
      <c r="H121" s="1079"/>
      <c r="I121" s="1080"/>
      <c r="J121" s="1237">
        <v>0</v>
      </c>
      <c r="K121" s="1156"/>
      <c r="L121" s="1103">
        <f>SUM(I121:K121)</f>
        <v>0</v>
      </c>
      <c r="M121" s="1083"/>
    </row>
    <row r="122" spans="1:13" s="1095" customFormat="1" ht="18" customHeight="1">
      <c r="A122" s="509">
        <v>113</v>
      </c>
      <c r="B122" s="1085"/>
      <c r="C122" s="1157"/>
      <c r="D122" s="1158" t="s">
        <v>1035</v>
      </c>
      <c r="E122" s="1088"/>
      <c r="F122" s="1089"/>
      <c r="G122" s="1259"/>
      <c r="H122" s="1090"/>
      <c r="I122" s="1091"/>
      <c r="J122" s="1358">
        <v>0</v>
      </c>
      <c r="K122" s="1159"/>
      <c r="L122" s="1093">
        <f>SUM(I122:K122)</f>
        <v>0</v>
      </c>
      <c r="M122" s="1094"/>
    </row>
    <row r="123" spans="1:13" ht="22.5" customHeight="1">
      <c r="A123" s="561">
        <v>114</v>
      </c>
      <c r="B123" s="522"/>
      <c r="C123" s="523">
        <v>29</v>
      </c>
      <c r="D123" s="323" t="s">
        <v>720</v>
      </c>
      <c r="E123" s="524">
        <f>F123+G123+L126+M124</f>
        <v>0</v>
      </c>
      <c r="F123" s="525"/>
      <c r="G123" s="1258"/>
      <c r="H123" s="739" t="s">
        <v>24</v>
      </c>
      <c r="I123" s="710"/>
      <c r="J123" s="535"/>
      <c r="K123" s="535"/>
      <c r="L123" s="536"/>
      <c r="M123" s="526"/>
    </row>
    <row r="124" spans="1:13" s="1084" customFormat="1" ht="18" customHeight="1">
      <c r="A124" s="509">
        <v>115</v>
      </c>
      <c r="B124" s="1074"/>
      <c r="C124" s="1154"/>
      <c r="D124" s="1155" t="s">
        <v>303</v>
      </c>
      <c r="E124" s="1077"/>
      <c r="F124" s="1078"/>
      <c r="G124" s="1261"/>
      <c r="H124" s="1079"/>
      <c r="I124" s="1080"/>
      <c r="J124" s="1156">
        <v>4500</v>
      </c>
      <c r="K124" s="1156"/>
      <c r="L124" s="1082">
        <f>SUM(I124:K124)</f>
        <v>4500</v>
      </c>
      <c r="M124" s="1083"/>
    </row>
    <row r="125" spans="1:13" s="1084" customFormat="1" ht="18" customHeight="1">
      <c r="A125" s="509">
        <v>116</v>
      </c>
      <c r="B125" s="1074"/>
      <c r="C125" s="1154"/>
      <c r="D125" s="1161" t="s">
        <v>994</v>
      </c>
      <c r="E125" s="1077"/>
      <c r="F125" s="1078"/>
      <c r="G125" s="1261"/>
      <c r="H125" s="1079"/>
      <c r="I125" s="1080"/>
      <c r="J125" s="1156">
        <v>0</v>
      </c>
      <c r="K125" s="1156"/>
      <c r="L125" s="1103">
        <f>SUM(I125:K125)</f>
        <v>0</v>
      </c>
      <c r="M125" s="1083"/>
    </row>
    <row r="126" spans="1:13" s="1095" customFormat="1" ht="18" customHeight="1">
      <c r="A126" s="561">
        <v>117</v>
      </c>
      <c r="B126" s="1085"/>
      <c r="C126" s="1157"/>
      <c r="D126" s="1158" t="s">
        <v>1049</v>
      </c>
      <c r="E126" s="1088"/>
      <c r="F126" s="1089"/>
      <c r="G126" s="1259"/>
      <c r="H126" s="1090"/>
      <c r="I126" s="1091"/>
      <c r="J126" s="1358">
        <v>0</v>
      </c>
      <c r="K126" s="1159"/>
      <c r="L126" s="1093">
        <f>SUM(I126:K126)</f>
        <v>0</v>
      </c>
      <c r="M126" s="1094"/>
    </row>
    <row r="127" spans="1:13" ht="22.5" customHeight="1">
      <c r="A127" s="509">
        <v>118</v>
      </c>
      <c r="B127" s="522"/>
      <c r="C127" s="523">
        <v>30</v>
      </c>
      <c r="D127" s="323" t="s">
        <v>721</v>
      </c>
      <c r="E127" s="524">
        <f>F127+G127+L130+M128</f>
        <v>0</v>
      </c>
      <c r="F127" s="525"/>
      <c r="G127" s="1258"/>
      <c r="H127" s="739" t="s">
        <v>24</v>
      </c>
      <c r="I127" s="710"/>
      <c r="J127" s="535"/>
      <c r="K127" s="535"/>
      <c r="L127" s="536"/>
      <c r="M127" s="526"/>
    </row>
    <row r="128" spans="1:13" s="1084" customFormat="1" ht="18" customHeight="1">
      <c r="A128" s="509">
        <v>119</v>
      </c>
      <c r="B128" s="1074"/>
      <c r="C128" s="1154"/>
      <c r="D128" s="1155" t="s">
        <v>303</v>
      </c>
      <c r="E128" s="1077"/>
      <c r="F128" s="1078"/>
      <c r="G128" s="1261"/>
      <c r="H128" s="1079"/>
      <c r="I128" s="1080"/>
      <c r="J128" s="1156">
        <v>1300</v>
      </c>
      <c r="K128" s="1156"/>
      <c r="L128" s="1082">
        <f>SUM(I128:K128)</f>
        <v>1300</v>
      </c>
      <c r="M128" s="1083"/>
    </row>
    <row r="129" spans="1:13" s="1084" customFormat="1" ht="18" customHeight="1">
      <c r="A129" s="561">
        <v>120</v>
      </c>
      <c r="B129" s="1074"/>
      <c r="C129" s="1154"/>
      <c r="D129" s="1161" t="s">
        <v>994</v>
      </c>
      <c r="E129" s="1077"/>
      <c r="F129" s="1078"/>
      <c r="G129" s="1261"/>
      <c r="H129" s="1079"/>
      <c r="I129" s="1080"/>
      <c r="J129" s="1237">
        <v>0</v>
      </c>
      <c r="K129" s="1156"/>
      <c r="L129" s="1103">
        <f>SUM(I129:K129)</f>
        <v>0</v>
      </c>
      <c r="M129" s="1083"/>
    </row>
    <row r="130" spans="1:13" s="1095" customFormat="1" ht="18" customHeight="1">
      <c r="A130" s="509">
        <v>121</v>
      </c>
      <c r="B130" s="1085"/>
      <c r="C130" s="1157"/>
      <c r="D130" s="1158" t="s">
        <v>1035</v>
      </c>
      <c r="E130" s="1088"/>
      <c r="F130" s="1089"/>
      <c r="G130" s="1259"/>
      <c r="H130" s="1090"/>
      <c r="I130" s="1091"/>
      <c r="J130" s="1358">
        <v>0</v>
      </c>
      <c r="K130" s="1159"/>
      <c r="L130" s="1093">
        <f>SUM(I130:K130)</f>
        <v>0</v>
      </c>
      <c r="M130" s="1094"/>
    </row>
    <row r="131" spans="1:13" ht="22.5" customHeight="1">
      <c r="A131" s="509">
        <v>122</v>
      </c>
      <c r="B131" s="522"/>
      <c r="C131" s="523">
        <v>31</v>
      </c>
      <c r="D131" s="795" t="s">
        <v>722</v>
      </c>
      <c r="E131" s="524">
        <f>F131+G131+L134+M132</f>
        <v>2457</v>
      </c>
      <c r="F131" s="525"/>
      <c r="G131" s="1258"/>
      <c r="H131" s="739" t="s">
        <v>24</v>
      </c>
      <c r="I131" s="710"/>
      <c r="J131" s="535"/>
      <c r="K131" s="535"/>
      <c r="L131" s="536"/>
      <c r="M131" s="526"/>
    </row>
    <row r="132" spans="1:13" s="1084" customFormat="1" ht="18" customHeight="1">
      <c r="A132" s="561">
        <v>123</v>
      </c>
      <c r="B132" s="1074"/>
      <c r="C132" s="1154"/>
      <c r="D132" s="1155" t="s">
        <v>303</v>
      </c>
      <c r="E132" s="1077"/>
      <c r="F132" s="1078"/>
      <c r="G132" s="1261"/>
      <c r="H132" s="1079"/>
      <c r="I132" s="1080"/>
      <c r="J132" s="1156">
        <v>2500</v>
      </c>
      <c r="K132" s="1156"/>
      <c r="L132" s="1082">
        <f>SUM(I132:K132)</f>
        <v>2500</v>
      </c>
      <c r="M132" s="1083"/>
    </row>
    <row r="133" spans="1:13" s="1084" customFormat="1" ht="18" customHeight="1">
      <c r="A133" s="509">
        <v>124</v>
      </c>
      <c r="B133" s="1074"/>
      <c r="C133" s="1154"/>
      <c r="D133" s="1161" t="s">
        <v>994</v>
      </c>
      <c r="E133" s="1077"/>
      <c r="F133" s="1078"/>
      <c r="G133" s="1261"/>
      <c r="H133" s="1079"/>
      <c r="I133" s="1080"/>
      <c r="J133" s="1237">
        <v>2457</v>
      </c>
      <c r="K133" s="1156"/>
      <c r="L133" s="1103">
        <f>SUM(I133:K133)</f>
        <v>2457</v>
      </c>
      <c r="M133" s="1083"/>
    </row>
    <row r="134" spans="1:13" s="1095" customFormat="1" ht="18" customHeight="1">
      <c r="A134" s="509">
        <v>125</v>
      </c>
      <c r="B134" s="1085"/>
      <c r="C134" s="1157"/>
      <c r="D134" s="1158" t="s">
        <v>1035</v>
      </c>
      <c r="E134" s="1088"/>
      <c r="F134" s="1089"/>
      <c r="G134" s="1259"/>
      <c r="H134" s="1090"/>
      <c r="I134" s="1091"/>
      <c r="J134" s="1358">
        <v>2457</v>
      </c>
      <c r="K134" s="1159"/>
      <c r="L134" s="1093">
        <f>SUM(I134:K134)</f>
        <v>2457</v>
      </c>
      <c r="M134" s="1094"/>
    </row>
    <row r="135" spans="1:13" ht="22.5" customHeight="1">
      <c r="A135" s="561">
        <v>126</v>
      </c>
      <c r="B135" s="522"/>
      <c r="C135" s="523">
        <v>32</v>
      </c>
      <c r="D135" s="323" t="s">
        <v>701</v>
      </c>
      <c r="E135" s="524">
        <f>F135+G135+L138+M136</f>
        <v>982</v>
      </c>
      <c r="F135" s="525"/>
      <c r="G135" s="1258"/>
      <c r="H135" s="739" t="s">
        <v>24</v>
      </c>
      <c r="I135" s="710"/>
      <c r="J135" s="535"/>
      <c r="K135" s="535"/>
      <c r="L135" s="536"/>
      <c r="M135" s="526"/>
    </row>
    <row r="136" spans="1:13" s="1084" customFormat="1" ht="18" customHeight="1">
      <c r="A136" s="509">
        <v>127</v>
      </c>
      <c r="B136" s="1074"/>
      <c r="C136" s="1154"/>
      <c r="D136" s="1155" t="s">
        <v>303</v>
      </c>
      <c r="E136" s="1077"/>
      <c r="F136" s="1078"/>
      <c r="G136" s="1261"/>
      <c r="H136" s="1079"/>
      <c r="I136" s="1080"/>
      <c r="J136" s="1156">
        <v>1079</v>
      </c>
      <c r="K136" s="1156"/>
      <c r="L136" s="1082">
        <f>SUM(I136:K136)</f>
        <v>1079</v>
      </c>
      <c r="M136" s="1083"/>
    </row>
    <row r="137" spans="1:13" s="1084" customFormat="1" ht="18" customHeight="1">
      <c r="A137" s="509">
        <v>128</v>
      </c>
      <c r="B137" s="1074"/>
      <c r="C137" s="1154"/>
      <c r="D137" s="1161" t="s">
        <v>994</v>
      </c>
      <c r="E137" s="1077"/>
      <c r="F137" s="1078"/>
      <c r="G137" s="1261"/>
      <c r="H137" s="1079"/>
      <c r="I137" s="1080"/>
      <c r="J137" s="1237">
        <v>982</v>
      </c>
      <c r="K137" s="1156"/>
      <c r="L137" s="1103">
        <f>SUM(I137:K137)</f>
        <v>982</v>
      </c>
      <c r="M137" s="1083"/>
    </row>
    <row r="138" spans="1:13" s="1095" customFormat="1" ht="18" customHeight="1">
      <c r="A138" s="561">
        <v>129</v>
      </c>
      <c r="B138" s="1085"/>
      <c r="C138" s="1157"/>
      <c r="D138" s="1158" t="s">
        <v>1035</v>
      </c>
      <c r="E138" s="1088"/>
      <c r="F138" s="1089"/>
      <c r="G138" s="1259"/>
      <c r="H138" s="1090"/>
      <c r="I138" s="1091"/>
      <c r="J138" s="1358">
        <v>982</v>
      </c>
      <c r="K138" s="1159"/>
      <c r="L138" s="1093">
        <f>SUM(I138:K138)</f>
        <v>982</v>
      </c>
      <c r="M138" s="1094"/>
    </row>
    <row r="139" spans="1:13" ht="22.5" customHeight="1">
      <c r="A139" s="509">
        <v>130</v>
      </c>
      <c r="B139" s="522"/>
      <c r="C139" s="523">
        <v>33</v>
      </c>
      <c r="D139" s="323" t="s">
        <v>686</v>
      </c>
      <c r="E139" s="524">
        <f>F139+G139+L142+M140</f>
        <v>0</v>
      </c>
      <c r="F139" s="525"/>
      <c r="G139" s="1258"/>
      <c r="H139" s="739" t="s">
        <v>24</v>
      </c>
      <c r="I139" s="710"/>
      <c r="J139" s="535"/>
      <c r="K139" s="535"/>
      <c r="L139" s="536"/>
      <c r="M139" s="526"/>
    </row>
    <row r="140" spans="1:13" s="1084" customFormat="1" ht="18" customHeight="1">
      <c r="A140" s="509">
        <v>131</v>
      </c>
      <c r="B140" s="1074"/>
      <c r="C140" s="1154"/>
      <c r="D140" s="1155" t="s">
        <v>303</v>
      </c>
      <c r="E140" s="1077"/>
      <c r="F140" s="1078"/>
      <c r="G140" s="1261"/>
      <c r="H140" s="1079"/>
      <c r="I140" s="1080"/>
      <c r="J140" s="1156">
        <v>69</v>
      </c>
      <c r="K140" s="1156"/>
      <c r="L140" s="1082">
        <f>SUM(I140:K140)</f>
        <v>69</v>
      </c>
      <c r="M140" s="1083"/>
    </row>
    <row r="141" spans="1:13" s="1084" customFormat="1" ht="18" customHeight="1">
      <c r="A141" s="561">
        <v>132</v>
      </c>
      <c r="B141" s="1074"/>
      <c r="C141" s="1154"/>
      <c r="D141" s="1161" t="s">
        <v>994</v>
      </c>
      <c r="E141" s="1077"/>
      <c r="F141" s="1078"/>
      <c r="G141" s="1261"/>
      <c r="H141" s="1079"/>
      <c r="I141" s="1080"/>
      <c r="J141" s="1237">
        <v>69</v>
      </c>
      <c r="K141" s="1156"/>
      <c r="L141" s="1103">
        <f>SUM(I141:K141)</f>
        <v>69</v>
      </c>
      <c r="M141" s="1083"/>
    </row>
    <row r="142" spans="1:13" s="1095" customFormat="1" ht="18" customHeight="1">
      <c r="A142" s="509">
        <v>133</v>
      </c>
      <c r="B142" s="1085"/>
      <c r="C142" s="1157"/>
      <c r="D142" s="1158" t="s">
        <v>1036</v>
      </c>
      <c r="E142" s="1088"/>
      <c r="F142" s="1089"/>
      <c r="G142" s="1259"/>
      <c r="H142" s="1090"/>
      <c r="I142" s="1091"/>
      <c r="J142" s="1358">
        <v>0</v>
      </c>
      <c r="K142" s="1159"/>
      <c r="L142" s="1093">
        <f>SUM(I142:K142)</f>
        <v>0</v>
      </c>
      <c r="M142" s="1094"/>
    </row>
    <row r="143" spans="1:13" ht="22.5" customHeight="1">
      <c r="A143" s="509">
        <v>134</v>
      </c>
      <c r="B143" s="522"/>
      <c r="C143" s="523">
        <v>34</v>
      </c>
      <c r="D143" s="323" t="s">
        <v>687</v>
      </c>
      <c r="E143" s="524">
        <f>F143+G143+L146+M144</f>
        <v>0</v>
      </c>
      <c r="F143" s="525"/>
      <c r="G143" s="1258"/>
      <c r="H143" s="739" t="s">
        <v>24</v>
      </c>
      <c r="I143" s="710"/>
      <c r="J143" s="535"/>
      <c r="K143" s="535"/>
      <c r="L143" s="536"/>
      <c r="M143" s="526"/>
    </row>
    <row r="144" spans="1:13" s="1084" customFormat="1" ht="18" customHeight="1">
      <c r="A144" s="561">
        <v>135</v>
      </c>
      <c r="B144" s="1074"/>
      <c r="C144" s="1154"/>
      <c r="D144" s="1155" t="s">
        <v>303</v>
      </c>
      <c r="E144" s="1077"/>
      <c r="F144" s="1078"/>
      <c r="G144" s="1261"/>
      <c r="H144" s="1079"/>
      <c r="I144" s="1080"/>
      <c r="J144" s="1156">
        <v>96</v>
      </c>
      <c r="K144" s="1156"/>
      <c r="L144" s="1082">
        <f>SUM(I144:K144)</f>
        <v>96</v>
      </c>
      <c r="M144" s="1083"/>
    </row>
    <row r="145" spans="1:13" s="1084" customFormat="1" ht="18" customHeight="1">
      <c r="A145" s="509">
        <v>136</v>
      </c>
      <c r="B145" s="1074"/>
      <c r="C145" s="1154"/>
      <c r="D145" s="1161" t="s">
        <v>994</v>
      </c>
      <c r="E145" s="1077"/>
      <c r="F145" s="1078"/>
      <c r="G145" s="1261"/>
      <c r="H145" s="1079"/>
      <c r="I145" s="1080"/>
      <c r="J145" s="1237">
        <v>96</v>
      </c>
      <c r="K145" s="1156"/>
      <c r="L145" s="1103">
        <f>SUM(I145:K145)</f>
        <v>96</v>
      </c>
      <c r="M145" s="1083"/>
    </row>
    <row r="146" spans="1:13" s="1095" customFormat="1" ht="18" customHeight="1">
      <c r="A146" s="509">
        <v>137</v>
      </c>
      <c r="B146" s="1085"/>
      <c r="C146" s="1157"/>
      <c r="D146" s="1158" t="s">
        <v>1036</v>
      </c>
      <c r="E146" s="1088"/>
      <c r="F146" s="1089"/>
      <c r="G146" s="1259"/>
      <c r="H146" s="1090"/>
      <c r="I146" s="1091"/>
      <c r="J146" s="1358">
        <v>0</v>
      </c>
      <c r="K146" s="1159"/>
      <c r="L146" s="1093">
        <f>SUM(I146:K146)</f>
        <v>0</v>
      </c>
      <c r="M146" s="1094"/>
    </row>
    <row r="147" spans="1:23" ht="22.5" customHeight="1">
      <c r="A147" s="561">
        <v>138</v>
      </c>
      <c r="B147" s="522"/>
      <c r="C147" s="523">
        <v>35</v>
      </c>
      <c r="D147" s="796" t="s">
        <v>459</v>
      </c>
      <c r="E147" s="524">
        <f>F147+G147+L150+M148</f>
        <v>858</v>
      </c>
      <c r="F147" s="525"/>
      <c r="G147" s="1258">
        <f>317+541</f>
        <v>858</v>
      </c>
      <c r="H147" s="739" t="s">
        <v>24</v>
      </c>
      <c r="I147" s="710"/>
      <c r="J147" s="535"/>
      <c r="K147" s="535"/>
      <c r="L147" s="536"/>
      <c r="M147" s="526"/>
      <c r="N147" s="510"/>
      <c r="O147" s="510"/>
      <c r="P147" s="510"/>
      <c r="Q147" s="510"/>
      <c r="R147" s="510"/>
      <c r="S147" s="510"/>
      <c r="T147" s="510"/>
      <c r="U147" s="510"/>
      <c r="V147" s="510"/>
      <c r="W147" s="510"/>
    </row>
    <row r="148" spans="1:13" s="1084" customFormat="1" ht="18" customHeight="1">
      <c r="A148" s="509">
        <v>139</v>
      </c>
      <c r="B148" s="1074"/>
      <c r="C148" s="1154"/>
      <c r="D148" s="1155" t="s">
        <v>303</v>
      </c>
      <c r="E148" s="1077"/>
      <c r="F148" s="1078"/>
      <c r="G148" s="1261"/>
      <c r="H148" s="1079"/>
      <c r="I148" s="1080">
        <v>29</v>
      </c>
      <c r="J148" s="1156">
        <v>1800</v>
      </c>
      <c r="K148" s="1156"/>
      <c r="L148" s="1082">
        <f>SUM(I148:K148)</f>
        <v>1829</v>
      </c>
      <c r="M148" s="1083"/>
    </row>
    <row r="149" spans="1:13" s="1084" customFormat="1" ht="18" customHeight="1">
      <c r="A149" s="509">
        <v>140</v>
      </c>
      <c r="B149" s="1074"/>
      <c r="C149" s="1154"/>
      <c r="D149" s="1161" t="s">
        <v>994</v>
      </c>
      <c r="E149" s="1077"/>
      <c r="F149" s="1078"/>
      <c r="G149" s="1261"/>
      <c r="H149" s="1079"/>
      <c r="I149" s="1101">
        <v>29</v>
      </c>
      <c r="J149" s="1237">
        <v>1800</v>
      </c>
      <c r="K149" s="1156"/>
      <c r="L149" s="1103">
        <f>SUM(I149:K149)</f>
        <v>1829</v>
      </c>
      <c r="M149" s="1083"/>
    </row>
    <row r="150" spans="1:13" s="1095" customFormat="1" ht="18" customHeight="1">
      <c r="A150" s="561">
        <v>141</v>
      </c>
      <c r="B150" s="1085"/>
      <c r="C150" s="1157"/>
      <c r="D150" s="1158" t="s">
        <v>1036</v>
      </c>
      <c r="E150" s="1088"/>
      <c r="F150" s="1089"/>
      <c r="G150" s="1259"/>
      <c r="H150" s="1090"/>
      <c r="I150" s="1358">
        <v>0</v>
      </c>
      <c r="J150" s="1358">
        <v>0</v>
      </c>
      <c r="K150" s="1159"/>
      <c r="L150" s="1093">
        <f>SUM(I150:K150)</f>
        <v>0</v>
      </c>
      <c r="M150" s="1094"/>
    </row>
    <row r="151" spans="1:13" ht="22.5" customHeight="1">
      <c r="A151" s="509">
        <v>142</v>
      </c>
      <c r="B151" s="522"/>
      <c r="C151" s="523">
        <v>36</v>
      </c>
      <c r="D151" s="323" t="s">
        <v>688</v>
      </c>
      <c r="E151" s="524">
        <f>F151+G151+L154+M152</f>
        <v>0</v>
      </c>
      <c r="F151" s="525"/>
      <c r="G151" s="1258"/>
      <c r="H151" s="739" t="s">
        <v>24</v>
      </c>
      <c r="I151" s="710"/>
      <c r="J151" s="535"/>
      <c r="K151" s="535"/>
      <c r="L151" s="536"/>
      <c r="M151" s="526"/>
    </row>
    <row r="152" spans="1:13" s="1084" customFormat="1" ht="18" customHeight="1">
      <c r="A152" s="509">
        <v>143</v>
      </c>
      <c r="B152" s="1074"/>
      <c r="C152" s="1154"/>
      <c r="D152" s="1155" t="s">
        <v>303</v>
      </c>
      <c r="E152" s="1077"/>
      <c r="F152" s="1078"/>
      <c r="G152" s="1261"/>
      <c r="H152" s="1079"/>
      <c r="I152" s="1080"/>
      <c r="J152" s="1156">
        <v>269</v>
      </c>
      <c r="K152" s="1156"/>
      <c r="L152" s="1082">
        <f>SUM(I152:K152)</f>
        <v>269</v>
      </c>
      <c r="M152" s="1083"/>
    </row>
    <row r="153" spans="1:13" s="1084" customFormat="1" ht="18" customHeight="1">
      <c r="A153" s="561">
        <v>144</v>
      </c>
      <c r="B153" s="1074"/>
      <c r="C153" s="1154"/>
      <c r="D153" s="1161" t="s">
        <v>994</v>
      </c>
      <c r="E153" s="1077"/>
      <c r="F153" s="1078"/>
      <c r="G153" s="1261"/>
      <c r="H153" s="1079"/>
      <c r="I153" s="1080"/>
      <c r="J153" s="1321">
        <v>0</v>
      </c>
      <c r="K153" s="1358"/>
      <c r="L153" s="1103">
        <f>SUM(I153:K153)</f>
        <v>0</v>
      </c>
      <c r="M153" s="1083"/>
    </row>
    <row r="154" spans="1:13" s="1095" customFormat="1" ht="18" customHeight="1">
      <c r="A154" s="509">
        <v>145</v>
      </c>
      <c r="B154" s="1085"/>
      <c r="C154" s="1157"/>
      <c r="D154" s="1158" t="s">
        <v>1035</v>
      </c>
      <c r="E154" s="1088"/>
      <c r="F154" s="1089"/>
      <c r="G154" s="1259"/>
      <c r="H154" s="1090"/>
      <c r="I154" s="1091"/>
      <c r="J154" s="1358">
        <v>0</v>
      </c>
      <c r="K154" s="1358"/>
      <c r="L154" s="1093">
        <f>SUM(I154:K154)</f>
        <v>0</v>
      </c>
      <c r="M154" s="1094"/>
    </row>
    <row r="155" spans="1:13" ht="37.5" customHeight="1">
      <c r="A155" s="509">
        <v>146</v>
      </c>
      <c r="B155" s="522"/>
      <c r="C155" s="527">
        <v>37</v>
      </c>
      <c r="D155" s="324" t="s">
        <v>689</v>
      </c>
      <c r="E155" s="524">
        <f>F155+G155+L158+M156</f>
        <v>4178</v>
      </c>
      <c r="F155" s="525"/>
      <c r="G155" s="1258"/>
      <c r="H155" s="739" t="s">
        <v>24</v>
      </c>
      <c r="I155" s="710"/>
      <c r="J155" s="535"/>
      <c r="K155" s="535"/>
      <c r="L155" s="536"/>
      <c r="M155" s="526"/>
    </row>
    <row r="156" spans="1:13" s="1084" customFormat="1" ht="18" customHeight="1">
      <c r="A156" s="561">
        <v>147</v>
      </c>
      <c r="B156" s="1074"/>
      <c r="C156" s="1154"/>
      <c r="D156" s="1155" t="s">
        <v>303</v>
      </c>
      <c r="E156" s="1077"/>
      <c r="F156" s="1078"/>
      <c r="G156" s="1261"/>
      <c r="H156" s="1079"/>
      <c r="I156" s="1080"/>
      <c r="J156" s="1156">
        <v>4178</v>
      </c>
      <c r="K156" s="1156"/>
      <c r="L156" s="1082">
        <f>SUM(I156:K156)</f>
        <v>4178</v>
      </c>
      <c r="M156" s="1083"/>
    </row>
    <row r="157" spans="1:13" s="1084" customFormat="1" ht="18" customHeight="1">
      <c r="A157" s="509">
        <v>148</v>
      </c>
      <c r="B157" s="1074"/>
      <c r="C157" s="1154"/>
      <c r="D157" s="1161" t="s">
        <v>994</v>
      </c>
      <c r="E157" s="1077"/>
      <c r="F157" s="1078"/>
      <c r="G157" s="1261"/>
      <c r="H157" s="1079"/>
      <c r="I157" s="1080"/>
      <c r="J157" s="1237">
        <v>4178</v>
      </c>
      <c r="K157" s="1156"/>
      <c r="L157" s="1103">
        <f>SUM(I157:K157)</f>
        <v>4178</v>
      </c>
      <c r="M157" s="1083"/>
    </row>
    <row r="158" spans="1:13" s="1095" customFormat="1" ht="18" customHeight="1">
      <c r="A158" s="509">
        <v>149</v>
      </c>
      <c r="B158" s="1085"/>
      <c r="C158" s="1157"/>
      <c r="D158" s="1158" t="s">
        <v>1036</v>
      </c>
      <c r="E158" s="1088"/>
      <c r="F158" s="1089"/>
      <c r="G158" s="1259"/>
      <c r="H158" s="1090"/>
      <c r="I158" s="1091"/>
      <c r="J158" s="1358">
        <v>4178</v>
      </c>
      <c r="K158" s="1159"/>
      <c r="L158" s="1093">
        <f>SUM(I158:K158)</f>
        <v>4178</v>
      </c>
      <c r="M158" s="1094"/>
    </row>
    <row r="159" spans="1:13" ht="22.5" customHeight="1">
      <c r="A159" s="561">
        <v>150</v>
      </c>
      <c r="B159" s="522"/>
      <c r="C159" s="523">
        <v>38</v>
      </c>
      <c r="D159" s="323" t="s">
        <v>690</v>
      </c>
      <c r="E159" s="524">
        <f>F159+G159+L162+M160</f>
        <v>0</v>
      </c>
      <c r="F159" s="525"/>
      <c r="G159" s="1258"/>
      <c r="H159" s="739" t="s">
        <v>24</v>
      </c>
      <c r="I159" s="710"/>
      <c r="J159" s="535"/>
      <c r="K159" s="535"/>
      <c r="L159" s="536"/>
      <c r="M159" s="526"/>
    </row>
    <row r="160" spans="1:13" s="1084" customFormat="1" ht="18" customHeight="1">
      <c r="A160" s="509">
        <v>151</v>
      </c>
      <c r="B160" s="1074"/>
      <c r="C160" s="1154"/>
      <c r="D160" s="1155" t="s">
        <v>303</v>
      </c>
      <c r="E160" s="1077"/>
      <c r="F160" s="1078"/>
      <c r="G160" s="1261"/>
      <c r="H160" s="1079"/>
      <c r="I160" s="1080"/>
      <c r="J160" s="1156">
        <v>1000</v>
      </c>
      <c r="K160" s="1156"/>
      <c r="L160" s="1082">
        <f>SUM(I160:K160)</f>
        <v>1000</v>
      </c>
      <c r="M160" s="1083"/>
    </row>
    <row r="161" spans="1:13" s="1084" customFormat="1" ht="18" customHeight="1">
      <c r="A161" s="509">
        <v>152</v>
      </c>
      <c r="B161" s="1074"/>
      <c r="C161" s="1154"/>
      <c r="D161" s="1161" t="s">
        <v>994</v>
      </c>
      <c r="E161" s="1077"/>
      <c r="F161" s="1078"/>
      <c r="G161" s="1261"/>
      <c r="H161" s="1079"/>
      <c r="I161" s="1080"/>
      <c r="J161" s="1237">
        <v>0</v>
      </c>
      <c r="K161" s="1156"/>
      <c r="L161" s="1103">
        <f>SUM(I161:K161)</f>
        <v>0</v>
      </c>
      <c r="M161" s="1083"/>
    </row>
    <row r="162" spans="1:13" s="1095" customFormat="1" ht="18" customHeight="1">
      <c r="A162" s="561">
        <v>153</v>
      </c>
      <c r="B162" s="1085"/>
      <c r="C162" s="1157"/>
      <c r="D162" s="1158" t="s">
        <v>1036</v>
      </c>
      <c r="E162" s="1088"/>
      <c r="F162" s="1089"/>
      <c r="G162" s="1259"/>
      <c r="H162" s="1090"/>
      <c r="I162" s="1091"/>
      <c r="J162" s="1358">
        <v>0</v>
      </c>
      <c r="K162" s="1159"/>
      <c r="L162" s="1093">
        <f>SUM(I162:K162)</f>
        <v>0</v>
      </c>
      <c r="M162" s="1094"/>
    </row>
    <row r="163" spans="1:13" ht="22.5" customHeight="1">
      <c r="A163" s="509">
        <v>154</v>
      </c>
      <c r="B163" s="522"/>
      <c r="C163" s="523">
        <v>39</v>
      </c>
      <c r="D163" s="796" t="s">
        <v>691</v>
      </c>
      <c r="E163" s="524">
        <f>F163+G163+L166+M164</f>
        <v>2703</v>
      </c>
      <c r="F163" s="525"/>
      <c r="G163" s="1258">
        <v>1753</v>
      </c>
      <c r="H163" s="739" t="s">
        <v>24</v>
      </c>
      <c r="I163" s="710"/>
      <c r="J163" s="535"/>
      <c r="K163" s="535"/>
      <c r="L163" s="536"/>
      <c r="M163" s="526"/>
    </row>
    <row r="164" spans="1:13" s="1084" customFormat="1" ht="18" customHeight="1">
      <c r="A164" s="509">
        <v>155</v>
      </c>
      <c r="B164" s="1074"/>
      <c r="C164" s="1154"/>
      <c r="D164" s="1155" t="s">
        <v>303</v>
      </c>
      <c r="E164" s="1077"/>
      <c r="F164" s="1078"/>
      <c r="G164" s="1261"/>
      <c r="H164" s="1079"/>
      <c r="I164" s="1080"/>
      <c r="J164" s="1156">
        <v>1183</v>
      </c>
      <c r="K164" s="1156"/>
      <c r="L164" s="1082">
        <f>SUM(I164:K164)</f>
        <v>1183</v>
      </c>
      <c r="M164" s="1083"/>
    </row>
    <row r="165" spans="1:13" s="1084" customFormat="1" ht="18" customHeight="1">
      <c r="A165" s="561">
        <v>156</v>
      </c>
      <c r="B165" s="1074"/>
      <c r="C165" s="1154"/>
      <c r="D165" s="1161" t="s">
        <v>994</v>
      </c>
      <c r="E165" s="1077"/>
      <c r="F165" s="1078"/>
      <c r="G165" s="1261"/>
      <c r="H165" s="1079"/>
      <c r="I165" s="1080"/>
      <c r="J165" s="1237">
        <v>3133</v>
      </c>
      <c r="K165" s="1156"/>
      <c r="L165" s="1103">
        <f>SUM(I165:K165)</f>
        <v>3133</v>
      </c>
      <c r="M165" s="1083"/>
    </row>
    <row r="166" spans="1:13" s="1095" customFormat="1" ht="18" customHeight="1">
      <c r="A166" s="509">
        <v>157</v>
      </c>
      <c r="B166" s="1085"/>
      <c r="C166" s="1157"/>
      <c r="D166" s="1158" t="s">
        <v>1035</v>
      </c>
      <c r="E166" s="1088"/>
      <c r="F166" s="1089"/>
      <c r="G166" s="1259"/>
      <c r="H166" s="1090"/>
      <c r="I166" s="1091"/>
      <c r="J166" s="1358">
        <v>950</v>
      </c>
      <c r="K166" s="1159"/>
      <c r="L166" s="1093">
        <f>SUM(I166:K166)</f>
        <v>950</v>
      </c>
      <c r="M166" s="1094"/>
    </row>
    <row r="167" spans="1:13" ht="22.5" customHeight="1">
      <c r="A167" s="509">
        <v>158</v>
      </c>
      <c r="B167" s="522"/>
      <c r="C167" s="523">
        <v>40</v>
      </c>
      <c r="D167" s="323" t="s">
        <v>702</v>
      </c>
      <c r="E167" s="524">
        <f>F167+G167+L170+M168</f>
        <v>0</v>
      </c>
      <c r="F167" s="525"/>
      <c r="G167" s="1258"/>
      <c r="H167" s="739" t="s">
        <v>24</v>
      </c>
      <c r="I167" s="710"/>
      <c r="J167" s="535"/>
      <c r="K167" s="535"/>
      <c r="L167" s="536"/>
      <c r="M167" s="526"/>
    </row>
    <row r="168" spans="1:13" s="1084" customFormat="1" ht="18" customHeight="1">
      <c r="A168" s="561">
        <v>159</v>
      </c>
      <c r="B168" s="1074"/>
      <c r="C168" s="1154"/>
      <c r="D168" s="1155" t="s">
        <v>303</v>
      </c>
      <c r="E168" s="1077"/>
      <c r="F168" s="1078"/>
      <c r="G168" s="1261"/>
      <c r="H168" s="1079"/>
      <c r="I168" s="1080"/>
      <c r="J168" s="1156">
        <v>500</v>
      </c>
      <c r="K168" s="1156"/>
      <c r="L168" s="1082">
        <f>SUM(I168:K168)</f>
        <v>500</v>
      </c>
      <c r="M168" s="1083"/>
    </row>
    <row r="169" spans="1:13" s="1084" customFormat="1" ht="18" customHeight="1">
      <c r="A169" s="509">
        <v>160</v>
      </c>
      <c r="B169" s="1074"/>
      <c r="C169" s="1154"/>
      <c r="D169" s="1161" t="s">
        <v>994</v>
      </c>
      <c r="E169" s="1077"/>
      <c r="F169" s="1078"/>
      <c r="G169" s="1261"/>
      <c r="H169" s="1079"/>
      <c r="I169" s="1080"/>
      <c r="J169" s="1237">
        <v>500</v>
      </c>
      <c r="K169" s="1156"/>
      <c r="L169" s="1103">
        <f>SUM(I169:K169)</f>
        <v>500</v>
      </c>
      <c r="M169" s="1083"/>
    </row>
    <row r="170" spans="1:13" s="1095" customFormat="1" ht="18" customHeight="1">
      <c r="A170" s="509">
        <v>161</v>
      </c>
      <c r="B170" s="1085"/>
      <c r="C170" s="1157"/>
      <c r="D170" s="1158" t="s">
        <v>1036</v>
      </c>
      <c r="E170" s="1088"/>
      <c r="F170" s="1089"/>
      <c r="G170" s="1259"/>
      <c r="H170" s="1090"/>
      <c r="I170" s="1091"/>
      <c r="J170" s="1159">
        <v>0</v>
      </c>
      <c r="K170" s="1159"/>
      <c r="L170" s="1093">
        <f>SUM(I170:K170)</f>
        <v>0</v>
      </c>
      <c r="M170" s="1094"/>
    </row>
    <row r="171" spans="1:13" ht="22.5" customHeight="1">
      <c r="A171" s="561">
        <v>162</v>
      </c>
      <c r="B171" s="522"/>
      <c r="C171" s="523">
        <v>41</v>
      </c>
      <c r="D171" s="323" t="s">
        <v>692</v>
      </c>
      <c r="E171" s="524">
        <f>F171+G171+L174+M172</f>
        <v>997</v>
      </c>
      <c r="F171" s="525"/>
      <c r="G171" s="1258"/>
      <c r="H171" s="739" t="s">
        <v>24</v>
      </c>
      <c r="I171" s="710"/>
      <c r="J171" s="535"/>
      <c r="K171" s="535"/>
      <c r="L171" s="536"/>
      <c r="M171" s="526"/>
    </row>
    <row r="172" spans="1:13" s="1084" customFormat="1" ht="18" customHeight="1">
      <c r="A172" s="509">
        <v>163</v>
      </c>
      <c r="B172" s="1074"/>
      <c r="C172" s="1154"/>
      <c r="D172" s="1155" t="s">
        <v>303</v>
      </c>
      <c r="E172" s="1077"/>
      <c r="F172" s="1078"/>
      <c r="G172" s="1261"/>
      <c r="H172" s="1079"/>
      <c r="I172" s="1080"/>
      <c r="J172" s="1156">
        <v>1000</v>
      </c>
      <c r="K172" s="1156"/>
      <c r="L172" s="1082">
        <f>SUM(I172:K172)</f>
        <v>1000</v>
      </c>
      <c r="M172" s="1083"/>
    </row>
    <row r="173" spans="1:13" s="1084" customFormat="1" ht="18" customHeight="1">
      <c r="A173" s="509">
        <v>164</v>
      </c>
      <c r="B173" s="1074"/>
      <c r="C173" s="1154"/>
      <c r="D173" s="1161" t="s">
        <v>994</v>
      </c>
      <c r="E173" s="1077"/>
      <c r="F173" s="1078"/>
      <c r="G173" s="1261"/>
      <c r="H173" s="1079"/>
      <c r="I173" s="1080"/>
      <c r="J173" s="1237">
        <v>1000</v>
      </c>
      <c r="K173" s="1156"/>
      <c r="L173" s="1103">
        <f>SUM(I173:K173)</f>
        <v>1000</v>
      </c>
      <c r="M173" s="1083"/>
    </row>
    <row r="174" spans="1:13" s="1095" customFormat="1" ht="18" customHeight="1">
      <c r="A174" s="561">
        <v>165</v>
      </c>
      <c r="B174" s="1085"/>
      <c r="C174" s="1157"/>
      <c r="D174" s="1158" t="s">
        <v>1036</v>
      </c>
      <c r="E174" s="1088"/>
      <c r="F174" s="1089"/>
      <c r="G174" s="1259"/>
      <c r="H174" s="1090"/>
      <c r="I174" s="1091"/>
      <c r="J174" s="1159">
        <v>997</v>
      </c>
      <c r="K174" s="1159"/>
      <c r="L174" s="1093">
        <f>SUM(I174:K174)</f>
        <v>997</v>
      </c>
      <c r="M174" s="1094"/>
    </row>
    <row r="175" spans="1:13" ht="22.5" customHeight="1">
      <c r="A175" s="509">
        <v>166</v>
      </c>
      <c r="B175" s="522"/>
      <c r="C175" s="523">
        <v>42</v>
      </c>
      <c r="D175" s="323" t="s">
        <v>693</v>
      </c>
      <c r="E175" s="524">
        <f>F175+G175+L178+M176</f>
        <v>999</v>
      </c>
      <c r="F175" s="524"/>
      <c r="G175" s="1258">
        <v>999</v>
      </c>
      <c r="H175" s="739" t="s">
        <v>24</v>
      </c>
      <c r="I175" s="711"/>
      <c r="J175" s="524"/>
      <c r="K175" s="524"/>
      <c r="L175" s="537"/>
      <c r="M175" s="526"/>
    </row>
    <row r="176" spans="1:13" s="1084" customFormat="1" ht="18" customHeight="1">
      <c r="A176" s="509">
        <v>167</v>
      </c>
      <c r="B176" s="1074"/>
      <c r="C176" s="1154"/>
      <c r="D176" s="1155" t="s">
        <v>303</v>
      </c>
      <c r="E176" s="1077"/>
      <c r="F176" s="1078"/>
      <c r="G176" s="1261"/>
      <c r="H176" s="1079"/>
      <c r="I176" s="1080"/>
      <c r="J176" s="1156">
        <v>13843</v>
      </c>
      <c r="K176" s="1156"/>
      <c r="L176" s="1082">
        <f>SUM(I176:K176)</f>
        <v>13843</v>
      </c>
      <c r="M176" s="1083"/>
    </row>
    <row r="177" spans="1:13" s="1084" customFormat="1" ht="18" customHeight="1">
      <c r="A177" s="561">
        <v>168</v>
      </c>
      <c r="B177" s="1074"/>
      <c r="C177" s="1154"/>
      <c r="D177" s="1161" t="s">
        <v>994</v>
      </c>
      <c r="E177" s="1077"/>
      <c r="F177" s="1078"/>
      <c r="G177" s="1261"/>
      <c r="H177" s="1079"/>
      <c r="I177" s="1080"/>
      <c r="J177" s="1237">
        <v>0</v>
      </c>
      <c r="K177" s="1156"/>
      <c r="L177" s="1103">
        <f>SUM(I177:K177)</f>
        <v>0</v>
      </c>
      <c r="M177" s="1083"/>
    </row>
    <row r="178" spans="1:13" s="1095" customFormat="1" ht="18" customHeight="1">
      <c r="A178" s="509">
        <v>169</v>
      </c>
      <c r="B178" s="1085"/>
      <c r="C178" s="1157"/>
      <c r="D178" s="1158" t="s">
        <v>1035</v>
      </c>
      <c r="E178" s="1088"/>
      <c r="F178" s="1089"/>
      <c r="G178" s="1259"/>
      <c r="H178" s="1090"/>
      <c r="I178" s="1091"/>
      <c r="J178" s="1159">
        <v>0</v>
      </c>
      <c r="K178" s="1159"/>
      <c r="L178" s="1093">
        <f>SUM(I178:K178)</f>
        <v>0</v>
      </c>
      <c r="M178" s="1094"/>
    </row>
    <row r="179" spans="1:13" ht="22.5" customHeight="1">
      <c r="A179" s="509">
        <v>170</v>
      </c>
      <c r="B179" s="522"/>
      <c r="C179" s="523">
        <v>43</v>
      </c>
      <c r="D179" s="323" t="s">
        <v>694</v>
      </c>
      <c r="E179" s="524">
        <f>F179+G179+L182+M180</f>
        <v>0</v>
      </c>
      <c r="F179" s="524"/>
      <c r="G179" s="1258"/>
      <c r="H179" s="739" t="s">
        <v>24</v>
      </c>
      <c r="I179" s="711"/>
      <c r="J179" s="524"/>
      <c r="K179" s="524"/>
      <c r="L179" s="537"/>
      <c r="M179" s="526"/>
    </row>
    <row r="180" spans="1:13" s="1084" customFormat="1" ht="18" customHeight="1">
      <c r="A180" s="561">
        <v>171</v>
      </c>
      <c r="B180" s="1074"/>
      <c r="C180" s="1154"/>
      <c r="D180" s="1155" t="s">
        <v>303</v>
      </c>
      <c r="E180" s="1077"/>
      <c r="F180" s="1078"/>
      <c r="G180" s="1261"/>
      <c r="H180" s="1079"/>
      <c r="I180" s="1080"/>
      <c r="J180" s="1156">
        <v>5000</v>
      </c>
      <c r="K180" s="1156"/>
      <c r="L180" s="1082">
        <f>SUM(I180:K180)</f>
        <v>5000</v>
      </c>
      <c r="M180" s="1083"/>
    </row>
    <row r="181" spans="1:13" s="1084" customFormat="1" ht="18" customHeight="1">
      <c r="A181" s="509">
        <v>172</v>
      </c>
      <c r="B181" s="1074"/>
      <c r="C181" s="1154"/>
      <c r="D181" s="1161" t="s">
        <v>994</v>
      </c>
      <c r="E181" s="1077"/>
      <c r="F181" s="1078"/>
      <c r="G181" s="1261"/>
      <c r="H181" s="1079"/>
      <c r="I181" s="1080"/>
      <c r="J181" s="1237">
        <v>0</v>
      </c>
      <c r="K181" s="1156"/>
      <c r="L181" s="1103">
        <f>SUM(I181:K181)</f>
        <v>0</v>
      </c>
      <c r="M181" s="1083"/>
    </row>
    <row r="182" spans="1:13" s="1095" customFormat="1" ht="18" customHeight="1">
      <c r="A182" s="509">
        <v>173</v>
      </c>
      <c r="B182" s="1085"/>
      <c r="C182" s="1157"/>
      <c r="D182" s="1158" t="s">
        <v>1036</v>
      </c>
      <c r="E182" s="1088"/>
      <c r="F182" s="1089"/>
      <c r="G182" s="1259"/>
      <c r="H182" s="1090"/>
      <c r="I182" s="1091"/>
      <c r="J182" s="1159">
        <v>0</v>
      </c>
      <c r="K182" s="1159"/>
      <c r="L182" s="1093">
        <f>SUM(I182:K182)</f>
        <v>0</v>
      </c>
      <c r="M182" s="1094"/>
    </row>
    <row r="183" spans="1:251" ht="22.5" customHeight="1">
      <c r="A183" s="561">
        <v>174</v>
      </c>
      <c r="B183" s="522"/>
      <c r="C183" s="523">
        <v>44</v>
      </c>
      <c r="D183" s="323" t="s">
        <v>695</v>
      </c>
      <c r="E183" s="524">
        <f>F183+G183+L186+M184</f>
        <v>69</v>
      </c>
      <c r="F183" s="525"/>
      <c r="G183" s="1258"/>
      <c r="H183" s="739" t="s">
        <v>24</v>
      </c>
      <c r="I183" s="711"/>
      <c r="J183" s="524"/>
      <c r="K183" s="524"/>
      <c r="L183" s="537"/>
      <c r="M183" s="526"/>
      <c r="N183" s="510"/>
      <c r="O183" s="510"/>
      <c r="P183" s="510"/>
      <c r="Q183" s="510"/>
      <c r="R183" s="510"/>
      <c r="S183" s="510"/>
      <c r="T183" s="510"/>
      <c r="U183" s="510"/>
      <c r="V183" s="510"/>
      <c r="W183" s="510"/>
      <c r="X183" s="510"/>
      <c r="Y183" s="510"/>
      <c r="Z183" s="510"/>
      <c r="AA183" s="510"/>
      <c r="AB183" s="510"/>
      <c r="AC183" s="510"/>
      <c r="AD183" s="510"/>
      <c r="AE183" s="510"/>
      <c r="AF183" s="510"/>
      <c r="AG183" s="510"/>
      <c r="AH183" s="510"/>
      <c r="AI183" s="510"/>
      <c r="AJ183" s="510"/>
      <c r="AK183" s="510"/>
      <c r="AL183" s="510"/>
      <c r="AM183" s="510"/>
      <c r="AN183" s="510"/>
      <c r="AO183" s="510"/>
      <c r="AP183" s="510"/>
      <c r="AQ183" s="510"/>
      <c r="AR183" s="510"/>
      <c r="AS183" s="510"/>
      <c r="AT183" s="510"/>
      <c r="AU183" s="510"/>
      <c r="AV183" s="510"/>
      <c r="AW183" s="510"/>
      <c r="AX183" s="510"/>
      <c r="AY183" s="510"/>
      <c r="AZ183" s="510"/>
      <c r="BA183" s="510"/>
      <c r="BB183" s="510"/>
      <c r="BC183" s="510"/>
      <c r="BD183" s="510"/>
      <c r="BE183" s="510"/>
      <c r="BF183" s="510"/>
      <c r="BG183" s="510"/>
      <c r="BH183" s="510"/>
      <c r="BI183" s="510"/>
      <c r="BJ183" s="510"/>
      <c r="BK183" s="510"/>
      <c r="BL183" s="510"/>
      <c r="BM183" s="510"/>
      <c r="BN183" s="510"/>
      <c r="BO183" s="510"/>
      <c r="BP183" s="510"/>
      <c r="BQ183" s="510"/>
      <c r="BR183" s="510"/>
      <c r="BS183" s="510"/>
      <c r="BT183" s="510"/>
      <c r="BU183" s="510"/>
      <c r="BV183" s="510"/>
      <c r="BW183" s="510"/>
      <c r="BX183" s="510"/>
      <c r="BY183" s="510"/>
      <c r="BZ183" s="510"/>
      <c r="CA183" s="510"/>
      <c r="CB183" s="510"/>
      <c r="CC183" s="510"/>
      <c r="CD183" s="510"/>
      <c r="CE183" s="510"/>
      <c r="CF183" s="510"/>
      <c r="CG183" s="510"/>
      <c r="CH183" s="510"/>
      <c r="CI183" s="510"/>
      <c r="CJ183" s="510"/>
      <c r="CK183" s="510"/>
      <c r="CL183" s="510"/>
      <c r="CM183" s="510"/>
      <c r="CN183" s="510"/>
      <c r="CO183" s="510"/>
      <c r="CP183" s="510"/>
      <c r="CQ183" s="510"/>
      <c r="CR183" s="510"/>
      <c r="CS183" s="510"/>
      <c r="CT183" s="510"/>
      <c r="CU183" s="510"/>
      <c r="CV183" s="510"/>
      <c r="CW183" s="510"/>
      <c r="CX183" s="510"/>
      <c r="CY183" s="510"/>
      <c r="CZ183" s="510"/>
      <c r="DA183" s="510"/>
      <c r="DB183" s="510"/>
      <c r="DC183" s="510"/>
      <c r="DD183" s="510"/>
      <c r="DE183" s="510"/>
      <c r="DF183" s="510"/>
      <c r="DG183" s="510"/>
      <c r="DH183" s="510"/>
      <c r="DI183" s="510"/>
      <c r="DJ183" s="510"/>
      <c r="DK183" s="510"/>
      <c r="DL183" s="510"/>
      <c r="DM183" s="510"/>
      <c r="DN183" s="510"/>
      <c r="DO183" s="510"/>
      <c r="DP183" s="510"/>
      <c r="DQ183" s="510"/>
      <c r="DR183" s="510"/>
      <c r="DS183" s="510"/>
      <c r="DT183" s="510"/>
      <c r="DU183" s="510"/>
      <c r="DV183" s="510"/>
      <c r="DW183" s="510"/>
      <c r="DX183" s="510"/>
      <c r="DY183" s="510"/>
      <c r="DZ183" s="510"/>
      <c r="EA183" s="510"/>
      <c r="EB183" s="510"/>
      <c r="EC183" s="510"/>
      <c r="ED183" s="510"/>
      <c r="EE183" s="510"/>
      <c r="EF183" s="510"/>
      <c r="EG183" s="510"/>
      <c r="EH183" s="510"/>
      <c r="EI183" s="510"/>
      <c r="EJ183" s="510"/>
      <c r="EK183" s="510"/>
      <c r="EL183" s="510"/>
      <c r="EM183" s="510"/>
      <c r="EN183" s="510"/>
      <c r="EO183" s="510"/>
      <c r="EP183" s="510"/>
      <c r="EQ183" s="510"/>
      <c r="ER183" s="510"/>
      <c r="ES183" s="510"/>
      <c r="ET183" s="510"/>
      <c r="EU183" s="510"/>
      <c r="EV183" s="510"/>
      <c r="EW183" s="510"/>
      <c r="EX183" s="510"/>
      <c r="EY183" s="510"/>
      <c r="EZ183" s="510"/>
      <c r="FA183" s="510"/>
      <c r="FB183" s="510"/>
      <c r="FC183" s="510"/>
      <c r="FD183" s="510"/>
      <c r="FE183" s="510"/>
      <c r="FF183" s="510"/>
      <c r="FG183" s="510"/>
      <c r="FH183" s="510"/>
      <c r="FI183" s="510"/>
      <c r="FJ183" s="510"/>
      <c r="FK183" s="510"/>
      <c r="FL183" s="510"/>
      <c r="FM183" s="510"/>
      <c r="FN183" s="510"/>
      <c r="FO183" s="510"/>
      <c r="FP183" s="510"/>
      <c r="FQ183" s="510"/>
      <c r="FR183" s="510"/>
      <c r="FS183" s="510"/>
      <c r="FT183" s="510"/>
      <c r="FU183" s="510"/>
      <c r="FV183" s="510"/>
      <c r="FW183" s="510"/>
      <c r="FX183" s="510"/>
      <c r="FY183" s="510"/>
      <c r="FZ183" s="510"/>
      <c r="GA183" s="510"/>
      <c r="GB183" s="510"/>
      <c r="GC183" s="510"/>
      <c r="GD183" s="510"/>
      <c r="GE183" s="510"/>
      <c r="GF183" s="510"/>
      <c r="GG183" s="510"/>
      <c r="GH183" s="510"/>
      <c r="GI183" s="510"/>
      <c r="GJ183" s="510"/>
      <c r="GK183" s="510"/>
      <c r="GL183" s="510"/>
      <c r="GM183" s="510"/>
      <c r="GN183" s="510"/>
      <c r="GO183" s="510"/>
      <c r="GP183" s="510"/>
      <c r="GQ183" s="510"/>
      <c r="GR183" s="510"/>
      <c r="GS183" s="510"/>
      <c r="GT183" s="510"/>
      <c r="GU183" s="510"/>
      <c r="GV183" s="510"/>
      <c r="GW183" s="510"/>
      <c r="GX183" s="510"/>
      <c r="GY183" s="510"/>
      <c r="GZ183" s="510"/>
      <c r="HA183" s="510"/>
      <c r="HB183" s="510"/>
      <c r="HC183" s="510"/>
      <c r="HD183" s="510"/>
      <c r="HE183" s="510"/>
      <c r="HF183" s="510"/>
      <c r="HG183" s="510"/>
      <c r="HH183" s="510"/>
      <c r="HI183" s="510"/>
      <c r="HJ183" s="510"/>
      <c r="HK183" s="510"/>
      <c r="HL183" s="510"/>
      <c r="HM183" s="510"/>
      <c r="HN183" s="510"/>
      <c r="HO183" s="510"/>
      <c r="HP183" s="510"/>
      <c r="HQ183" s="510"/>
      <c r="HR183" s="510"/>
      <c r="HS183" s="510"/>
      <c r="HT183" s="510"/>
      <c r="HU183" s="510"/>
      <c r="HV183" s="510"/>
      <c r="HW183" s="510"/>
      <c r="HX183" s="510"/>
      <c r="HY183" s="510"/>
      <c r="HZ183" s="510"/>
      <c r="IA183" s="510"/>
      <c r="IB183" s="510"/>
      <c r="IC183" s="510"/>
      <c r="ID183" s="510"/>
      <c r="IE183" s="510"/>
      <c r="IF183" s="510"/>
      <c r="IG183" s="510"/>
      <c r="IH183" s="510"/>
      <c r="II183" s="510"/>
      <c r="IJ183" s="510"/>
      <c r="IK183" s="510"/>
      <c r="IL183" s="510"/>
      <c r="IM183" s="510"/>
      <c r="IN183" s="510"/>
      <c r="IO183" s="510"/>
      <c r="IP183" s="510"/>
      <c r="IQ183" s="510"/>
    </row>
    <row r="184" spans="1:13" s="1084" customFormat="1" ht="18" customHeight="1">
      <c r="A184" s="509">
        <v>175</v>
      </c>
      <c r="B184" s="1074"/>
      <c r="C184" s="1154"/>
      <c r="D184" s="1155" t="s">
        <v>303</v>
      </c>
      <c r="E184" s="1077"/>
      <c r="F184" s="1078"/>
      <c r="G184" s="1261"/>
      <c r="H184" s="1079"/>
      <c r="I184" s="1080"/>
      <c r="J184" s="1156">
        <v>7651</v>
      </c>
      <c r="K184" s="1156"/>
      <c r="L184" s="1082">
        <f>SUM(I184:K184)</f>
        <v>7651</v>
      </c>
      <c r="M184" s="1083"/>
    </row>
    <row r="185" spans="1:13" s="1084" customFormat="1" ht="18" customHeight="1">
      <c r="A185" s="509">
        <v>176</v>
      </c>
      <c r="B185" s="1074"/>
      <c r="C185" s="1154"/>
      <c r="D185" s="1161" t="s">
        <v>994</v>
      </c>
      <c r="E185" s="1077"/>
      <c r="F185" s="1078"/>
      <c r="G185" s="1261"/>
      <c r="H185" s="1079"/>
      <c r="I185" s="1080"/>
      <c r="J185" s="1237">
        <f>7651-500</f>
        <v>7151</v>
      </c>
      <c r="K185" s="1156"/>
      <c r="L185" s="1103">
        <f>SUM(I185:K185)</f>
        <v>7151</v>
      </c>
      <c r="M185" s="1083"/>
    </row>
    <row r="186" spans="1:13" s="1095" customFormat="1" ht="18" customHeight="1">
      <c r="A186" s="561">
        <v>177</v>
      </c>
      <c r="B186" s="1085"/>
      <c r="C186" s="1157"/>
      <c r="D186" s="1158" t="s">
        <v>1036</v>
      </c>
      <c r="E186" s="1088"/>
      <c r="F186" s="1089"/>
      <c r="G186" s="1259"/>
      <c r="H186" s="1090"/>
      <c r="I186" s="1091"/>
      <c r="J186" s="1159">
        <v>69</v>
      </c>
      <c r="K186" s="1159"/>
      <c r="L186" s="1093">
        <f>SUM(I186:K186)</f>
        <v>69</v>
      </c>
      <c r="M186" s="1094"/>
    </row>
    <row r="187" spans="1:251" ht="37.5" customHeight="1">
      <c r="A187" s="509">
        <v>178</v>
      </c>
      <c r="B187" s="522"/>
      <c r="C187" s="527">
        <v>45</v>
      </c>
      <c r="D187" s="324" t="s">
        <v>696</v>
      </c>
      <c r="E187" s="524">
        <f>F187+G187+L190+M188</f>
        <v>0</v>
      </c>
      <c r="F187" s="525"/>
      <c r="G187" s="1258"/>
      <c r="H187" s="739" t="s">
        <v>24</v>
      </c>
      <c r="I187" s="711"/>
      <c r="J187" s="524"/>
      <c r="K187" s="524"/>
      <c r="L187" s="537"/>
      <c r="M187" s="526"/>
      <c r="N187" s="510"/>
      <c r="O187" s="510"/>
      <c r="P187" s="510"/>
      <c r="Q187" s="510"/>
      <c r="R187" s="510"/>
      <c r="S187" s="510"/>
      <c r="T187" s="510"/>
      <c r="U187" s="510"/>
      <c r="V187" s="510"/>
      <c r="W187" s="510"/>
      <c r="X187" s="510"/>
      <c r="Y187" s="510"/>
      <c r="Z187" s="510"/>
      <c r="AA187" s="510"/>
      <c r="AB187" s="510"/>
      <c r="AC187" s="510"/>
      <c r="AD187" s="510"/>
      <c r="AE187" s="510"/>
      <c r="AF187" s="510"/>
      <c r="AG187" s="510"/>
      <c r="AH187" s="510"/>
      <c r="AI187" s="510"/>
      <c r="AJ187" s="510"/>
      <c r="AK187" s="510"/>
      <c r="AL187" s="510"/>
      <c r="AM187" s="510"/>
      <c r="AN187" s="510"/>
      <c r="AO187" s="510"/>
      <c r="AP187" s="510"/>
      <c r="AQ187" s="510"/>
      <c r="AR187" s="510"/>
      <c r="AS187" s="510"/>
      <c r="AT187" s="510"/>
      <c r="AU187" s="510"/>
      <c r="AV187" s="510"/>
      <c r="AW187" s="510"/>
      <c r="AX187" s="510"/>
      <c r="AY187" s="510"/>
      <c r="AZ187" s="510"/>
      <c r="BA187" s="510"/>
      <c r="BB187" s="510"/>
      <c r="BC187" s="510"/>
      <c r="BD187" s="510"/>
      <c r="BE187" s="510"/>
      <c r="BF187" s="510"/>
      <c r="BG187" s="510"/>
      <c r="BH187" s="510"/>
      <c r="BI187" s="510"/>
      <c r="BJ187" s="510"/>
      <c r="BK187" s="510"/>
      <c r="BL187" s="510"/>
      <c r="BM187" s="510"/>
      <c r="BN187" s="510"/>
      <c r="BO187" s="510"/>
      <c r="BP187" s="510"/>
      <c r="BQ187" s="510"/>
      <c r="BR187" s="510"/>
      <c r="BS187" s="510"/>
      <c r="BT187" s="510"/>
      <c r="BU187" s="510"/>
      <c r="BV187" s="510"/>
      <c r="BW187" s="510"/>
      <c r="BX187" s="510"/>
      <c r="BY187" s="510"/>
      <c r="BZ187" s="510"/>
      <c r="CA187" s="510"/>
      <c r="CB187" s="510"/>
      <c r="CC187" s="510"/>
      <c r="CD187" s="510"/>
      <c r="CE187" s="510"/>
      <c r="CF187" s="510"/>
      <c r="CG187" s="510"/>
      <c r="CH187" s="510"/>
      <c r="CI187" s="510"/>
      <c r="CJ187" s="510"/>
      <c r="CK187" s="510"/>
      <c r="CL187" s="510"/>
      <c r="CM187" s="510"/>
      <c r="CN187" s="510"/>
      <c r="CO187" s="510"/>
      <c r="CP187" s="510"/>
      <c r="CQ187" s="510"/>
      <c r="CR187" s="510"/>
      <c r="CS187" s="510"/>
      <c r="CT187" s="510"/>
      <c r="CU187" s="510"/>
      <c r="CV187" s="510"/>
      <c r="CW187" s="510"/>
      <c r="CX187" s="510"/>
      <c r="CY187" s="510"/>
      <c r="CZ187" s="510"/>
      <c r="DA187" s="510"/>
      <c r="DB187" s="510"/>
      <c r="DC187" s="510"/>
      <c r="DD187" s="510"/>
      <c r="DE187" s="510"/>
      <c r="DF187" s="510"/>
      <c r="DG187" s="510"/>
      <c r="DH187" s="510"/>
      <c r="DI187" s="510"/>
      <c r="DJ187" s="510"/>
      <c r="DK187" s="510"/>
      <c r="DL187" s="510"/>
      <c r="DM187" s="510"/>
      <c r="DN187" s="510"/>
      <c r="DO187" s="510"/>
      <c r="DP187" s="510"/>
      <c r="DQ187" s="510"/>
      <c r="DR187" s="510"/>
      <c r="DS187" s="510"/>
      <c r="DT187" s="510"/>
      <c r="DU187" s="510"/>
      <c r="DV187" s="510"/>
      <c r="DW187" s="510"/>
      <c r="DX187" s="510"/>
      <c r="DY187" s="510"/>
      <c r="DZ187" s="510"/>
      <c r="EA187" s="510"/>
      <c r="EB187" s="510"/>
      <c r="EC187" s="510"/>
      <c r="ED187" s="510"/>
      <c r="EE187" s="510"/>
      <c r="EF187" s="510"/>
      <c r="EG187" s="510"/>
      <c r="EH187" s="510"/>
      <c r="EI187" s="510"/>
      <c r="EJ187" s="510"/>
      <c r="EK187" s="510"/>
      <c r="EL187" s="510"/>
      <c r="EM187" s="510"/>
      <c r="EN187" s="510"/>
      <c r="EO187" s="510"/>
      <c r="EP187" s="510"/>
      <c r="EQ187" s="510"/>
      <c r="ER187" s="510"/>
      <c r="ES187" s="510"/>
      <c r="ET187" s="510"/>
      <c r="EU187" s="510"/>
      <c r="EV187" s="510"/>
      <c r="EW187" s="510"/>
      <c r="EX187" s="510"/>
      <c r="EY187" s="510"/>
      <c r="EZ187" s="510"/>
      <c r="FA187" s="510"/>
      <c r="FB187" s="510"/>
      <c r="FC187" s="510"/>
      <c r="FD187" s="510"/>
      <c r="FE187" s="510"/>
      <c r="FF187" s="510"/>
      <c r="FG187" s="510"/>
      <c r="FH187" s="510"/>
      <c r="FI187" s="510"/>
      <c r="FJ187" s="510"/>
      <c r="FK187" s="510"/>
      <c r="FL187" s="510"/>
      <c r="FM187" s="510"/>
      <c r="FN187" s="510"/>
      <c r="FO187" s="510"/>
      <c r="FP187" s="510"/>
      <c r="FQ187" s="510"/>
      <c r="FR187" s="510"/>
      <c r="FS187" s="510"/>
      <c r="FT187" s="510"/>
      <c r="FU187" s="510"/>
      <c r="FV187" s="510"/>
      <c r="FW187" s="510"/>
      <c r="FX187" s="510"/>
      <c r="FY187" s="510"/>
      <c r="FZ187" s="510"/>
      <c r="GA187" s="510"/>
      <c r="GB187" s="510"/>
      <c r="GC187" s="510"/>
      <c r="GD187" s="510"/>
      <c r="GE187" s="510"/>
      <c r="GF187" s="510"/>
      <c r="GG187" s="510"/>
      <c r="GH187" s="510"/>
      <c r="GI187" s="510"/>
      <c r="GJ187" s="510"/>
      <c r="GK187" s="510"/>
      <c r="GL187" s="510"/>
      <c r="GM187" s="510"/>
      <c r="GN187" s="510"/>
      <c r="GO187" s="510"/>
      <c r="GP187" s="510"/>
      <c r="GQ187" s="510"/>
      <c r="GR187" s="510"/>
      <c r="GS187" s="510"/>
      <c r="GT187" s="510"/>
      <c r="GU187" s="510"/>
      <c r="GV187" s="510"/>
      <c r="GW187" s="510"/>
      <c r="GX187" s="510"/>
      <c r="GY187" s="510"/>
      <c r="GZ187" s="510"/>
      <c r="HA187" s="510"/>
      <c r="HB187" s="510"/>
      <c r="HC187" s="510"/>
      <c r="HD187" s="510"/>
      <c r="HE187" s="510"/>
      <c r="HF187" s="510"/>
      <c r="HG187" s="510"/>
      <c r="HH187" s="510"/>
      <c r="HI187" s="510"/>
      <c r="HJ187" s="510"/>
      <c r="HK187" s="510"/>
      <c r="HL187" s="510"/>
      <c r="HM187" s="510"/>
      <c r="HN187" s="510"/>
      <c r="HO187" s="510"/>
      <c r="HP187" s="510"/>
      <c r="HQ187" s="510"/>
      <c r="HR187" s="510"/>
      <c r="HS187" s="510"/>
      <c r="HT187" s="510"/>
      <c r="HU187" s="510"/>
      <c r="HV187" s="510"/>
      <c r="HW187" s="510"/>
      <c r="HX187" s="510"/>
      <c r="HY187" s="510"/>
      <c r="HZ187" s="510"/>
      <c r="IA187" s="510"/>
      <c r="IB187" s="510"/>
      <c r="IC187" s="510"/>
      <c r="ID187" s="510"/>
      <c r="IE187" s="510"/>
      <c r="IF187" s="510"/>
      <c r="IG187" s="510"/>
      <c r="IH187" s="510"/>
      <c r="II187" s="510"/>
      <c r="IJ187" s="510"/>
      <c r="IK187" s="510"/>
      <c r="IL187" s="510"/>
      <c r="IM187" s="510"/>
      <c r="IN187" s="510"/>
      <c r="IO187" s="510"/>
      <c r="IP187" s="510"/>
      <c r="IQ187" s="510"/>
    </row>
    <row r="188" spans="1:13" s="1084" customFormat="1" ht="18" customHeight="1">
      <c r="A188" s="509">
        <v>179</v>
      </c>
      <c r="B188" s="1074"/>
      <c r="C188" s="1154"/>
      <c r="D188" s="1155" t="s">
        <v>303</v>
      </c>
      <c r="E188" s="1077"/>
      <c r="F188" s="1078"/>
      <c r="G188" s="1261"/>
      <c r="H188" s="1079"/>
      <c r="I188" s="1080"/>
      <c r="J188" s="1156">
        <v>6096</v>
      </c>
      <c r="K188" s="1156"/>
      <c r="L188" s="1082">
        <f>SUM(I188:K188)</f>
        <v>6096</v>
      </c>
      <c r="M188" s="1083"/>
    </row>
    <row r="189" spans="1:13" s="1084" customFormat="1" ht="18" customHeight="1">
      <c r="A189" s="561">
        <v>180</v>
      </c>
      <c r="B189" s="1074"/>
      <c r="C189" s="1154"/>
      <c r="D189" s="1161" t="s">
        <v>994</v>
      </c>
      <c r="E189" s="1077"/>
      <c r="F189" s="1078"/>
      <c r="G189" s="1261"/>
      <c r="H189" s="1079"/>
      <c r="I189" s="1080"/>
      <c r="J189" s="1237">
        <v>6096</v>
      </c>
      <c r="K189" s="1156"/>
      <c r="L189" s="1103">
        <f>SUM(I189:K189)</f>
        <v>6096</v>
      </c>
      <c r="M189" s="1083"/>
    </row>
    <row r="190" spans="1:13" s="1095" customFormat="1" ht="18" customHeight="1">
      <c r="A190" s="509">
        <v>181</v>
      </c>
      <c r="B190" s="1085"/>
      <c r="C190" s="1157"/>
      <c r="D190" s="1158" t="s">
        <v>1036</v>
      </c>
      <c r="E190" s="1088"/>
      <c r="F190" s="1089"/>
      <c r="G190" s="1259"/>
      <c r="H190" s="1090"/>
      <c r="I190" s="1091"/>
      <c r="J190" s="1159">
        <v>0</v>
      </c>
      <c r="K190" s="1159"/>
      <c r="L190" s="1093">
        <f>SUM(I190:K190)</f>
        <v>0</v>
      </c>
      <c r="M190" s="1094"/>
    </row>
    <row r="191" spans="1:251" ht="22.5" customHeight="1">
      <c r="A191" s="509">
        <v>182</v>
      </c>
      <c r="B191" s="522"/>
      <c r="C191" s="523">
        <v>46</v>
      </c>
      <c r="D191" s="323" t="s">
        <v>697</v>
      </c>
      <c r="E191" s="524">
        <f>F191+G191+L194+M192</f>
        <v>300</v>
      </c>
      <c r="F191" s="525"/>
      <c r="G191" s="1258">
        <v>300</v>
      </c>
      <c r="H191" s="739" t="s">
        <v>24</v>
      </c>
      <c r="I191" s="711"/>
      <c r="J191" s="524"/>
      <c r="K191" s="524"/>
      <c r="L191" s="537"/>
      <c r="M191" s="526"/>
      <c r="N191" s="510"/>
      <c r="O191" s="510"/>
      <c r="P191" s="510"/>
      <c r="Q191" s="510"/>
      <c r="R191" s="510"/>
      <c r="S191" s="510"/>
      <c r="T191" s="510"/>
      <c r="U191" s="510"/>
      <c r="V191" s="510"/>
      <c r="W191" s="510"/>
      <c r="X191" s="510"/>
      <c r="Y191" s="510"/>
      <c r="Z191" s="510"/>
      <c r="AA191" s="510"/>
      <c r="AB191" s="510"/>
      <c r="AC191" s="510"/>
      <c r="AD191" s="510"/>
      <c r="AE191" s="510"/>
      <c r="AF191" s="510"/>
      <c r="AG191" s="510"/>
      <c r="AH191" s="510"/>
      <c r="AI191" s="510"/>
      <c r="AJ191" s="510"/>
      <c r="AK191" s="510"/>
      <c r="AL191" s="510"/>
      <c r="AM191" s="510"/>
      <c r="AN191" s="510"/>
      <c r="AO191" s="510"/>
      <c r="AP191" s="510"/>
      <c r="AQ191" s="510"/>
      <c r="AR191" s="510"/>
      <c r="AS191" s="510"/>
      <c r="AT191" s="510"/>
      <c r="AU191" s="510"/>
      <c r="AV191" s="510"/>
      <c r="AW191" s="510"/>
      <c r="AX191" s="510"/>
      <c r="AY191" s="510"/>
      <c r="AZ191" s="510"/>
      <c r="BA191" s="510"/>
      <c r="BB191" s="510"/>
      <c r="BC191" s="510"/>
      <c r="BD191" s="510"/>
      <c r="BE191" s="510"/>
      <c r="BF191" s="510"/>
      <c r="BG191" s="510"/>
      <c r="BH191" s="510"/>
      <c r="BI191" s="510"/>
      <c r="BJ191" s="510"/>
      <c r="BK191" s="510"/>
      <c r="BL191" s="510"/>
      <c r="BM191" s="510"/>
      <c r="BN191" s="510"/>
      <c r="BO191" s="510"/>
      <c r="BP191" s="510"/>
      <c r="BQ191" s="510"/>
      <c r="BR191" s="510"/>
      <c r="BS191" s="510"/>
      <c r="BT191" s="510"/>
      <c r="BU191" s="510"/>
      <c r="BV191" s="510"/>
      <c r="BW191" s="510"/>
      <c r="BX191" s="510"/>
      <c r="BY191" s="510"/>
      <c r="BZ191" s="510"/>
      <c r="CA191" s="510"/>
      <c r="CB191" s="510"/>
      <c r="CC191" s="510"/>
      <c r="CD191" s="510"/>
      <c r="CE191" s="510"/>
      <c r="CF191" s="510"/>
      <c r="CG191" s="510"/>
      <c r="CH191" s="510"/>
      <c r="CI191" s="510"/>
      <c r="CJ191" s="510"/>
      <c r="CK191" s="510"/>
      <c r="CL191" s="510"/>
      <c r="CM191" s="510"/>
      <c r="CN191" s="510"/>
      <c r="CO191" s="510"/>
      <c r="CP191" s="510"/>
      <c r="CQ191" s="510"/>
      <c r="CR191" s="510"/>
      <c r="CS191" s="510"/>
      <c r="CT191" s="510"/>
      <c r="CU191" s="510"/>
      <c r="CV191" s="510"/>
      <c r="CW191" s="510"/>
      <c r="CX191" s="510"/>
      <c r="CY191" s="510"/>
      <c r="CZ191" s="510"/>
      <c r="DA191" s="510"/>
      <c r="DB191" s="510"/>
      <c r="DC191" s="510"/>
      <c r="DD191" s="510"/>
      <c r="DE191" s="510"/>
      <c r="DF191" s="510"/>
      <c r="DG191" s="510"/>
      <c r="DH191" s="510"/>
      <c r="DI191" s="510"/>
      <c r="DJ191" s="510"/>
      <c r="DK191" s="510"/>
      <c r="DL191" s="510"/>
      <c r="DM191" s="510"/>
      <c r="DN191" s="510"/>
      <c r="DO191" s="510"/>
      <c r="DP191" s="510"/>
      <c r="DQ191" s="510"/>
      <c r="DR191" s="510"/>
      <c r="DS191" s="510"/>
      <c r="DT191" s="510"/>
      <c r="DU191" s="510"/>
      <c r="DV191" s="510"/>
      <c r="DW191" s="510"/>
      <c r="DX191" s="510"/>
      <c r="DY191" s="510"/>
      <c r="DZ191" s="510"/>
      <c r="EA191" s="510"/>
      <c r="EB191" s="510"/>
      <c r="EC191" s="510"/>
      <c r="ED191" s="510"/>
      <c r="EE191" s="510"/>
      <c r="EF191" s="510"/>
      <c r="EG191" s="510"/>
      <c r="EH191" s="510"/>
      <c r="EI191" s="510"/>
      <c r="EJ191" s="510"/>
      <c r="EK191" s="510"/>
      <c r="EL191" s="510"/>
      <c r="EM191" s="510"/>
      <c r="EN191" s="510"/>
      <c r="EO191" s="510"/>
      <c r="EP191" s="510"/>
      <c r="EQ191" s="510"/>
      <c r="ER191" s="510"/>
      <c r="ES191" s="510"/>
      <c r="ET191" s="510"/>
      <c r="EU191" s="510"/>
      <c r="EV191" s="510"/>
      <c r="EW191" s="510"/>
      <c r="EX191" s="510"/>
      <c r="EY191" s="510"/>
      <c r="EZ191" s="510"/>
      <c r="FA191" s="510"/>
      <c r="FB191" s="510"/>
      <c r="FC191" s="510"/>
      <c r="FD191" s="510"/>
      <c r="FE191" s="510"/>
      <c r="FF191" s="510"/>
      <c r="FG191" s="510"/>
      <c r="FH191" s="510"/>
      <c r="FI191" s="510"/>
      <c r="FJ191" s="510"/>
      <c r="FK191" s="510"/>
      <c r="FL191" s="510"/>
      <c r="FM191" s="510"/>
      <c r="FN191" s="510"/>
      <c r="FO191" s="510"/>
      <c r="FP191" s="510"/>
      <c r="FQ191" s="510"/>
      <c r="FR191" s="510"/>
      <c r="FS191" s="510"/>
      <c r="FT191" s="510"/>
      <c r="FU191" s="510"/>
      <c r="FV191" s="510"/>
      <c r="FW191" s="510"/>
      <c r="FX191" s="510"/>
      <c r="FY191" s="510"/>
      <c r="FZ191" s="510"/>
      <c r="GA191" s="510"/>
      <c r="GB191" s="510"/>
      <c r="GC191" s="510"/>
      <c r="GD191" s="510"/>
      <c r="GE191" s="510"/>
      <c r="GF191" s="510"/>
      <c r="GG191" s="510"/>
      <c r="GH191" s="510"/>
      <c r="GI191" s="510"/>
      <c r="GJ191" s="510"/>
      <c r="GK191" s="510"/>
      <c r="GL191" s="510"/>
      <c r="GM191" s="510"/>
      <c r="GN191" s="510"/>
      <c r="GO191" s="510"/>
      <c r="GP191" s="510"/>
      <c r="GQ191" s="510"/>
      <c r="GR191" s="510"/>
      <c r="GS191" s="510"/>
      <c r="GT191" s="510"/>
      <c r="GU191" s="510"/>
      <c r="GV191" s="510"/>
      <c r="GW191" s="510"/>
      <c r="GX191" s="510"/>
      <c r="GY191" s="510"/>
      <c r="GZ191" s="510"/>
      <c r="HA191" s="510"/>
      <c r="HB191" s="510"/>
      <c r="HC191" s="510"/>
      <c r="HD191" s="510"/>
      <c r="HE191" s="510"/>
      <c r="HF191" s="510"/>
      <c r="HG191" s="510"/>
      <c r="HH191" s="510"/>
      <c r="HI191" s="510"/>
      <c r="HJ191" s="510"/>
      <c r="HK191" s="510"/>
      <c r="HL191" s="510"/>
      <c r="HM191" s="510"/>
      <c r="HN191" s="510"/>
      <c r="HO191" s="510"/>
      <c r="HP191" s="510"/>
      <c r="HQ191" s="510"/>
      <c r="HR191" s="510"/>
      <c r="HS191" s="510"/>
      <c r="HT191" s="510"/>
      <c r="HU191" s="510"/>
      <c r="HV191" s="510"/>
      <c r="HW191" s="510"/>
      <c r="HX191" s="510"/>
      <c r="HY191" s="510"/>
      <c r="HZ191" s="510"/>
      <c r="IA191" s="510"/>
      <c r="IB191" s="510"/>
      <c r="IC191" s="510"/>
      <c r="ID191" s="510"/>
      <c r="IE191" s="510"/>
      <c r="IF191" s="510"/>
      <c r="IG191" s="510"/>
      <c r="IH191" s="510"/>
      <c r="II191" s="510"/>
      <c r="IJ191" s="510"/>
      <c r="IK191" s="510"/>
      <c r="IL191" s="510"/>
      <c r="IM191" s="510"/>
      <c r="IN191" s="510"/>
      <c r="IO191" s="510"/>
      <c r="IP191" s="510"/>
      <c r="IQ191" s="510"/>
    </row>
    <row r="192" spans="1:13" s="1084" customFormat="1" ht="18" customHeight="1">
      <c r="A192" s="561">
        <v>183</v>
      </c>
      <c r="B192" s="1074"/>
      <c r="C192" s="1154"/>
      <c r="D192" s="1155" t="s">
        <v>303</v>
      </c>
      <c r="E192" s="1077"/>
      <c r="F192" s="1078"/>
      <c r="G192" s="1261"/>
      <c r="H192" s="1079"/>
      <c r="I192" s="1080"/>
      <c r="J192" s="1156">
        <v>450</v>
      </c>
      <c r="K192" s="1156"/>
      <c r="L192" s="1082">
        <f>SUM(I192:K192)</f>
        <v>450</v>
      </c>
      <c r="M192" s="1083"/>
    </row>
    <row r="193" spans="1:13" s="1084" customFormat="1" ht="18" customHeight="1">
      <c r="A193" s="509">
        <v>184</v>
      </c>
      <c r="B193" s="1074"/>
      <c r="C193" s="1154"/>
      <c r="D193" s="1161" t="s">
        <v>994</v>
      </c>
      <c r="E193" s="1077"/>
      <c r="F193" s="1078"/>
      <c r="G193" s="1261"/>
      <c r="H193" s="1079"/>
      <c r="I193" s="1080"/>
      <c r="J193" s="1237">
        <v>0</v>
      </c>
      <c r="K193" s="1156"/>
      <c r="L193" s="1103">
        <f>SUM(I193:K193)</f>
        <v>0</v>
      </c>
      <c r="M193" s="1083"/>
    </row>
    <row r="194" spans="1:13" s="1095" customFormat="1" ht="18" customHeight="1">
      <c r="A194" s="509">
        <v>185</v>
      </c>
      <c r="B194" s="1085"/>
      <c r="C194" s="1157"/>
      <c r="D194" s="1158" t="s">
        <v>1035</v>
      </c>
      <c r="E194" s="1088"/>
      <c r="F194" s="1089"/>
      <c r="G194" s="1259"/>
      <c r="H194" s="1090"/>
      <c r="I194" s="1091"/>
      <c r="J194" s="1159">
        <v>0</v>
      </c>
      <c r="K194" s="1159"/>
      <c r="L194" s="1093">
        <f>SUM(I194:K194)</f>
        <v>0</v>
      </c>
      <c r="M194" s="1094"/>
    </row>
    <row r="195" spans="1:251" ht="22.5" customHeight="1">
      <c r="A195" s="561">
        <v>186</v>
      </c>
      <c r="B195" s="522"/>
      <c r="C195" s="523">
        <v>47</v>
      </c>
      <c r="D195" s="323" t="s">
        <v>698</v>
      </c>
      <c r="E195" s="524">
        <f>F195+G195+L198+M196</f>
        <v>30074</v>
      </c>
      <c r="F195" s="525"/>
      <c r="G195" s="1258"/>
      <c r="H195" s="739" t="s">
        <v>24</v>
      </c>
      <c r="I195" s="711"/>
      <c r="J195" s="524"/>
      <c r="K195" s="524"/>
      <c r="L195" s="537"/>
      <c r="M195" s="526"/>
      <c r="N195" s="510"/>
      <c r="O195" s="510"/>
      <c r="P195" s="510"/>
      <c r="Q195" s="510"/>
      <c r="R195" s="510"/>
      <c r="S195" s="510"/>
      <c r="T195" s="510"/>
      <c r="U195" s="510"/>
      <c r="V195" s="510"/>
      <c r="W195" s="510"/>
      <c r="X195" s="510"/>
      <c r="Y195" s="510"/>
      <c r="Z195" s="510"/>
      <c r="AA195" s="510"/>
      <c r="AB195" s="510"/>
      <c r="AC195" s="510"/>
      <c r="AD195" s="510"/>
      <c r="AE195" s="510"/>
      <c r="AF195" s="510"/>
      <c r="AG195" s="510"/>
      <c r="AH195" s="510"/>
      <c r="AI195" s="510"/>
      <c r="AJ195" s="510"/>
      <c r="AK195" s="510"/>
      <c r="AL195" s="510"/>
      <c r="AM195" s="510"/>
      <c r="AN195" s="510"/>
      <c r="AO195" s="510"/>
      <c r="AP195" s="510"/>
      <c r="AQ195" s="510"/>
      <c r="AR195" s="510"/>
      <c r="AS195" s="510"/>
      <c r="AT195" s="510"/>
      <c r="AU195" s="510"/>
      <c r="AV195" s="510"/>
      <c r="AW195" s="510"/>
      <c r="AX195" s="510"/>
      <c r="AY195" s="510"/>
      <c r="AZ195" s="510"/>
      <c r="BA195" s="510"/>
      <c r="BB195" s="510"/>
      <c r="BC195" s="510"/>
      <c r="BD195" s="510"/>
      <c r="BE195" s="510"/>
      <c r="BF195" s="510"/>
      <c r="BG195" s="510"/>
      <c r="BH195" s="510"/>
      <c r="BI195" s="510"/>
      <c r="BJ195" s="510"/>
      <c r="BK195" s="510"/>
      <c r="BL195" s="510"/>
      <c r="BM195" s="510"/>
      <c r="BN195" s="510"/>
      <c r="BO195" s="510"/>
      <c r="BP195" s="510"/>
      <c r="BQ195" s="510"/>
      <c r="BR195" s="510"/>
      <c r="BS195" s="510"/>
      <c r="BT195" s="510"/>
      <c r="BU195" s="510"/>
      <c r="BV195" s="510"/>
      <c r="BW195" s="510"/>
      <c r="BX195" s="510"/>
      <c r="BY195" s="510"/>
      <c r="BZ195" s="510"/>
      <c r="CA195" s="510"/>
      <c r="CB195" s="510"/>
      <c r="CC195" s="510"/>
      <c r="CD195" s="510"/>
      <c r="CE195" s="510"/>
      <c r="CF195" s="510"/>
      <c r="CG195" s="510"/>
      <c r="CH195" s="510"/>
      <c r="CI195" s="510"/>
      <c r="CJ195" s="510"/>
      <c r="CK195" s="510"/>
      <c r="CL195" s="510"/>
      <c r="CM195" s="510"/>
      <c r="CN195" s="510"/>
      <c r="CO195" s="510"/>
      <c r="CP195" s="510"/>
      <c r="CQ195" s="510"/>
      <c r="CR195" s="510"/>
      <c r="CS195" s="510"/>
      <c r="CT195" s="510"/>
      <c r="CU195" s="510"/>
      <c r="CV195" s="510"/>
      <c r="CW195" s="510"/>
      <c r="CX195" s="510"/>
      <c r="CY195" s="510"/>
      <c r="CZ195" s="510"/>
      <c r="DA195" s="510"/>
      <c r="DB195" s="510"/>
      <c r="DC195" s="510"/>
      <c r="DD195" s="510"/>
      <c r="DE195" s="510"/>
      <c r="DF195" s="510"/>
      <c r="DG195" s="510"/>
      <c r="DH195" s="510"/>
      <c r="DI195" s="510"/>
      <c r="DJ195" s="510"/>
      <c r="DK195" s="510"/>
      <c r="DL195" s="510"/>
      <c r="DM195" s="510"/>
      <c r="DN195" s="510"/>
      <c r="DO195" s="510"/>
      <c r="DP195" s="510"/>
      <c r="DQ195" s="510"/>
      <c r="DR195" s="510"/>
      <c r="DS195" s="510"/>
      <c r="DT195" s="510"/>
      <c r="DU195" s="510"/>
      <c r="DV195" s="510"/>
      <c r="DW195" s="510"/>
      <c r="DX195" s="510"/>
      <c r="DY195" s="510"/>
      <c r="DZ195" s="510"/>
      <c r="EA195" s="510"/>
      <c r="EB195" s="510"/>
      <c r="EC195" s="510"/>
      <c r="ED195" s="510"/>
      <c r="EE195" s="510"/>
      <c r="EF195" s="510"/>
      <c r="EG195" s="510"/>
      <c r="EH195" s="510"/>
      <c r="EI195" s="510"/>
      <c r="EJ195" s="510"/>
      <c r="EK195" s="510"/>
      <c r="EL195" s="510"/>
      <c r="EM195" s="510"/>
      <c r="EN195" s="510"/>
      <c r="EO195" s="510"/>
      <c r="EP195" s="510"/>
      <c r="EQ195" s="510"/>
      <c r="ER195" s="510"/>
      <c r="ES195" s="510"/>
      <c r="ET195" s="510"/>
      <c r="EU195" s="510"/>
      <c r="EV195" s="510"/>
      <c r="EW195" s="510"/>
      <c r="EX195" s="510"/>
      <c r="EY195" s="510"/>
      <c r="EZ195" s="510"/>
      <c r="FA195" s="510"/>
      <c r="FB195" s="510"/>
      <c r="FC195" s="510"/>
      <c r="FD195" s="510"/>
      <c r="FE195" s="510"/>
      <c r="FF195" s="510"/>
      <c r="FG195" s="510"/>
      <c r="FH195" s="510"/>
      <c r="FI195" s="510"/>
      <c r="FJ195" s="510"/>
      <c r="FK195" s="510"/>
      <c r="FL195" s="510"/>
      <c r="FM195" s="510"/>
      <c r="FN195" s="510"/>
      <c r="FO195" s="510"/>
      <c r="FP195" s="510"/>
      <c r="FQ195" s="510"/>
      <c r="FR195" s="510"/>
      <c r="FS195" s="510"/>
      <c r="FT195" s="510"/>
      <c r="FU195" s="510"/>
      <c r="FV195" s="510"/>
      <c r="FW195" s="510"/>
      <c r="FX195" s="510"/>
      <c r="FY195" s="510"/>
      <c r="FZ195" s="510"/>
      <c r="GA195" s="510"/>
      <c r="GB195" s="510"/>
      <c r="GC195" s="510"/>
      <c r="GD195" s="510"/>
      <c r="GE195" s="510"/>
      <c r="GF195" s="510"/>
      <c r="GG195" s="510"/>
      <c r="GH195" s="510"/>
      <c r="GI195" s="510"/>
      <c r="GJ195" s="510"/>
      <c r="GK195" s="510"/>
      <c r="GL195" s="510"/>
      <c r="GM195" s="510"/>
      <c r="GN195" s="510"/>
      <c r="GO195" s="510"/>
      <c r="GP195" s="510"/>
      <c r="GQ195" s="510"/>
      <c r="GR195" s="510"/>
      <c r="GS195" s="510"/>
      <c r="GT195" s="510"/>
      <c r="GU195" s="510"/>
      <c r="GV195" s="510"/>
      <c r="GW195" s="510"/>
      <c r="GX195" s="510"/>
      <c r="GY195" s="510"/>
      <c r="GZ195" s="510"/>
      <c r="HA195" s="510"/>
      <c r="HB195" s="510"/>
      <c r="HC195" s="510"/>
      <c r="HD195" s="510"/>
      <c r="HE195" s="510"/>
      <c r="HF195" s="510"/>
      <c r="HG195" s="510"/>
      <c r="HH195" s="510"/>
      <c r="HI195" s="510"/>
      <c r="HJ195" s="510"/>
      <c r="HK195" s="510"/>
      <c r="HL195" s="510"/>
      <c r="HM195" s="510"/>
      <c r="HN195" s="510"/>
      <c r="HO195" s="510"/>
      <c r="HP195" s="510"/>
      <c r="HQ195" s="510"/>
      <c r="HR195" s="510"/>
      <c r="HS195" s="510"/>
      <c r="HT195" s="510"/>
      <c r="HU195" s="510"/>
      <c r="HV195" s="510"/>
      <c r="HW195" s="510"/>
      <c r="HX195" s="510"/>
      <c r="HY195" s="510"/>
      <c r="HZ195" s="510"/>
      <c r="IA195" s="510"/>
      <c r="IB195" s="510"/>
      <c r="IC195" s="510"/>
      <c r="ID195" s="510"/>
      <c r="IE195" s="510"/>
      <c r="IF195" s="510"/>
      <c r="IG195" s="510"/>
      <c r="IH195" s="510"/>
      <c r="II195" s="510"/>
      <c r="IJ195" s="510"/>
      <c r="IK195" s="510"/>
      <c r="IL195" s="510"/>
      <c r="IM195" s="510"/>
      <c r="IN195" s="510"/>
      <c r="IO195" s="510"/>
      <c r="IP195" s="510"/>
      <c r="IQ195" s="510"/>
    </row>
    <row r="196" spans="1:13" s="1084" customFormat="1" ht="18" customHeight="1">
      <c r="A196" s="509">
        <v>187</v>
      </c>
      <c r="B196" s="1074"/>
      <c r="C196" s="1154"/>
      <c r="D196" s="1155" t="s">
        <v>303</v>
      </c>
      <c r="E196" s="1077"/>
      <c r="F196" s="1078"/>
      <c r="G196" s="1261"/>
      <c r="H196" s="1079"/>
      <c r="I196" s="1080"/>
      <c r="J196" s="1156">
        <v>30075</v>
      </c>
      <c r="K196" s="1156"/>
      <c r="L196" s="1082">
        <f>SUM(I196:K196)</f>
        <v>30075</v>
      </c>
      <c r="M196" s="1083"/>
    </row>
    <row r="197" spans="1:13" s="1084" customFormat="1" ht="18" customHeight="1">
      <c r="A197" s="509">
        <v>188</v>
      </c>
      <c r="B197" s="1074"/>
      <c r="C197" s="1154"/>
      <c r="D197" s="1161" t="s">
        <v>994</v>
      </c>
      <c r="E197" s="1077"/>
      <c r="F197" s="1078"/>
      <c r="G197" s="1261"/>
      <c r="H197" s="1079"/>
      <c r="I197" s="1080"/>
      <c r="J197" s="1237">
        <v>30075</v>
      </c>
      <c r="K197" s="1156"/>
      <c r="L197" s="1103">
        <f>SUM(I197:K197)</f>
        <v>30075</v>
      </c>
      <c r="M197" s="1083"/>
    </row>
    <row r="198" spans="1:13" s="1095" customFormat="1" ht="18" customHeight="1">
      <c r="A198" s="561">
        <v>189</v>
      </c>
      <c r="B198" s="1085"/>
      <c r="C198" s="1157"/>
      <c r="D198" s="1158" t="s">
        <v>1036</v>
      </c>
      <c r="E198" s="1088"/>
      <c r="F198" s="1089"/>
      <c r="G198" s="1259"/>
      <c r="H198" s="1090"/>
      <c r="I198" s="1091"/>
      <c r="J198" s="1159">
        <v>30074</v>
      </c>
      <c r="K198" s="1159"/>
      <c r="L198" s="1093">
        <f>SUM(I198:K198)</f>
        <v>30074</v>
      </c>
      <c r="M198" s="1094"/>
    </row>
    <row r="199" spans="1:251" ht="22.5" customHeight="1">
      <c r="A199" s="509">
        <v>190</v>
      </c>
      <c r="B199" s="522"/>
      <c r="C199" s="523">
        <v>48</v>
      </c>
      <c r="D199" s="796" t="s">
        <v>699</v>
      </c>
      <c r="E199" s="524">
        <f>F199+G199+L202+M200</f>
        <v>7227</v>
      </c>
      <c r="F199" s="525"/>
      <c r="G199" s="1258">
        <v>449</v>
      </c>
      <c r="H199" s="739" t="s">
        <v>24</v>
      </c>
      <c r="I199" s="711"/>
      <c r="J199" s="524"/>
      <c r="K199" s="524"/>
      <c r="L199" s="537"/>
      <c r="M199" s="526"/>
      <c r="N199" s="510"/>
      <c r="O199" s="510"/>
      <c r="P199" s="510"/>
      <c r="Q199" s="510"/>
      <c r="R199" s="510"/>
      <c r="S199" s="510"/>
      <c r="T199" s="510"/>
      <c r="U199" s="510"/>
      <c r="V199" s="510"/>
      <c r="W199" s="510"/>
      <c r="X199" s="510"/>
      <c r="Y199" s="510"/>
      <c r="Z199" s="510"/>
      <c r="AA199" s="510"/>
      <c r="AB199" s="510"/>
      <c r="AC199" s="510"/>
      <c r="AD199" s="510"/>
      <c r="AE199" s="510"/>
      <c r="AF199" s="510"/>
      <c r="AG199" s="510"/>
      <c r="AH199" s="510"/>
      <c r="AI199" s="510"/>
      <c r="AJ199" s="510"/>
      <c r="AK199" s="510"/>
      <c r="AL199" s="510"/>
      <c r="AM199" s="510"/>
      <c r="AN199" s="510"/>
      <c r="AO199" s="510"/>
      <c r="AP199" s="510"/>
      <c r="AQ199" s="510"/>
      <c r="AR199" s="510"/>
      <c r="AS199" s="510"/>
      <c r="AT199" s="510"/>
      <c r="AU199" s="510"/>
      <c r="AV199" s="510"/>
      <c r="AW199" s="510"/>
      <c r="AX199" s="510"/>
      <c r="AY199" s="510"/>
      <c r="AZ199" s="510"/>
      <c r="BA199" s="510"/>
      <c r="BB199" s="510"/>
      <c r="BC199" s="510"/>
      <c r="BD199" s="510"/>
      <c r="BE199" s="510"/>
      <c r="BF199" s="510"/>
      <c r="BG199" s="510"/>
      <c r="BH199" s="510"/>
      <c r="BI199" s="510"/>
      <c r="BJ199" s="510"/>
      <c r="BK199" s="510"/>
      <c r="BL199" s="510"/>
      <c r="BM199" s="510"/>
      <c r="BN199" s="510"/>
      <c r="BO199" s="510"/>
      <c r="BP199" s="510"/>
      <c r="BQ199" s="510"/>
      <c r="BR199" s="510"/>
      <c r="BS199" s="510"/>
      <c r="BT199" s="510"/>
      <c r="BU199" s="510"/>
      <c r="BV199" s="510"/>
      <c r="BW199" s="510"/>
      <c r="BX199" s="510"/>
      <c r="BY199" s="510"/>
      <c r="BZ199" s="510"/>
      <c r="CA199" s="510"/>
      <c r="CB199" s="510"/>
      <c r="CC199" s="510"/>
      <c r="CD199" s="510"/>
      <c r="CE199" s="510"/>
      <c r="CF199" s="510"/>
      <c r="CG199" s="510"/>
      <c r="CH199" s="510"/>
      <c r="CI199" s="510"/>
      <c r="CJ199" s="510"/>
      <c r="CK199" s="510"/>
      <c r="CL199" s="510"/>
      <c r="CM199" s="510"/>
      <c r="CN199" s="510"/>
      <c r="CO199" s="510"/>
      <c r="CP199" s="510"/>
      <c r="CQ199" s="510"/>
      <c r="CR199" s="510"/>
      <c r="CS199" s="510"/>
      <c r="CT199" s="510"/>
      <c r="CU199" s="510"/>
      <c r="CV199" s="510"/>
      <c r="CW199" s="510"/>
      <c r="CX199" s="510"/>
      <c r="CY199" s="510"/>
      <c r="CZ199" s="510"/>
      <c r="DA199" s="510"/>
      <c r="DB199" s="510"/>
      <c r="DC199" s="510"/>
      <c r="DD199" s="510"/>
      <c r="DE199" s="510"/>
      <c r="DF199" s="510"/>
      <c r="DG199" s="510"/>
      <c r="DH199" s="510"/>
      <c r="DI199" s="510"/>
      <c r="DJ199" s="510"/>
      <c r="DK199" s="510"/>
      <c r="DL199" s="510"/>
      <c r="DM199" s="510"/>
      <c r="DN199" s="510"/>
      <c r="DO199" s="510"/>
      <c r="DP199" s="510"/>
      <c r="DQ199" s="510"/>
      <c r="DR199" s="510"/>
      <c r="DS199" s="510"/>
      <c r="DT199" s="510"/>
      <c r="DU199" s="510"/>
      <c r="DV199" s="510"/>
      <c r="DW199" s="510"/>
      <c r="DX199" s="510"/>
      <c r="DY199" s="510"/>
      <c r="DZ199" s="510"/>
      <c r="EA199" s="510"/>
      <c r="EB199" s="510"/>
      <c r="EC199" s="510"/>
      <c r="ED199" s="510"/>
      <c r="EE199" s="510"/>
      <c r="EF199" s="510"/>
      <c r="EG199" s="510"/>
      <c r="EH199" s="510"/>
      <c r="EI199" s="510"/>
      <c r="EJ199" s="510"/>
      <c r="EK199" s="510"/>
      <c r="EL199" s="510"/>
      <c r="EM199" s="510"/>
      <c r="EN199" s="510"/>
      <c r="EO199" s="510"/>
      <c r="EP199" s="510"/>
      <c r="EQ199" s="510"/>
      <c r="ER199" s="510"/>
      <c r="ES199" s="510"/>
      <c r="ET199" s="510"/>
      <c r="EU199" s="510"/>
      <c r="EV199" s="510"/>
      <c r="EW199" s="510"/>
      <c r="EX199" s="510"/>
      <c r="EY199" s="510"/>
      <c r="EZ199" s="510"/>
      <c r="FA199" s="510"/>
      <c r="FB199" s="510"/>
      <c r="FC199" s="510"/>
      <c r="FD199" s="510"/>
      <c r="FE199" s="510"/>
      <c r="FF199" s="510"/>
      <c r="FG199" s="510"/>
      <c r="FH199" s="510"/>
      <c r="FI199" s="510"/>
      <c r="FJ199" s="510"/>
      <c r="FK199" s="510"/>
      <c r="FL199" s="510"/>
      <c r="FM199" s="510"/>
      <c r="FN199" s="510"/>
      <c r="FO199" s="510"/>
      <c r="FP199" s="510"/>
      <c r="FQ199" s="510"/>
      <c r="FR199" s="510"/>
      <c r="FS199" s="510"/>
      <c r="FT199" s="510"/>
      <c r="FU199" s="510"/>
      <c r="FV199" s="510"/>
      <c r="FW199" s="510"/>
      <c r="FX199" s="510"/>
      <c r="FY199" s="510"/>
      <c r="FZ199" s="510"/>
      <c r="GA199" s="510"/>
      <c r="GB199" s="510"/>
      <c r="GC199" s="510"/>
      <c r="GD199" s="510"/>
      <c r="GE199" s="510"/>
      <c r="GF199" s="510"/>
      <c r="GG199" s="510"/>
      <c r="GH199" s="510"/>
      <c r="GI199" s="510"/>
      <c r="GJ199" s="510"/>
      <c r="GK199" s="510"/>
      <c r="GL199" s="510"/>
      <c r="GM199" s="510"/>
      <c r="GN199" s="510"/>
      <c r="GO199" s="510"/>
      <c r="GP199" s="510"/>
      <c r="GQ199" s="510"/>
      <c r="GR199" s="510"/>
      <c r="GS199" s="510"/>
      <c r="GT199" s="510"/>
      <c r="GU199" s="510"/>
      <c r="GV199" s="510"/>
      <c r="GW199" s="510"/>
      <c r="GX199" s="510"/>
      <c r="GY199" s="510"/>
      <c r="GZ199" s="510"/>
      <c r="HA199" s="510"/>
      <c r="HB199" s="510"/>
      <c r="HC199" s="510"/>
      <c r="HD199" s="510"/>
      <c r="HE199" s="510"/>
      <c r="HF199" s="510"/>
      <c r="HG199" s="510"/>
      <c r="HH199" s="510"/>
      <c r="HI199" s="510"/>
      <c r="HJ199" s="510"/>
      <c r="HK199" s="510"/>
      <c r="HL199" s="510"/>
      <c r="HM199" s="510"/>
      <c r="HN199" s="510"/>
      <c r="HO199" s="510"/>
      <c r="HP199" s="510"/>
      <c r="HQ199" s="510"/>
      <c r="HR199" s="510"/>
      <c r="HS199" s="510"/>
      <c r="HT199" s="510"/>
      <c r="HU199" s="510"/>
      <c r="HV199" s="510"/>
      <c r="HW199" s="510"/>
      <c r="HX199" s="510"/>
      <c r="HY199" s="510"/>
      <c r="HZ199" s="510"/>
      <c r="IA199" s="510"/>
      <c r="IB199" s="510"/>
      <c r="IC199" s="510"/>
      <c r="ID199" s="510"/>
      <c r="IE199" s="510"/>
      <c r="IF199" s="510"/>
      <c r="IG199" s="510"/>
      <c r="IH199" s="510"/>
      <c r="II199" s="510"/>
      <c r="IJ199" s="510"/>
      <c r="IK199" s="510"/>
      <c r="IL199" s="510"/>
      <c r="IM199" s="510"/>
      <c r="IN199" s="510"/>
      <c r="IO199" s="510"/>
      <c r="IP199" s="510"/>
      <c r="IQ199" s="510"/>
    </row>
    <row r="200" spans="1:13" s="1084" customFormat="1" ht="18" customHeight="1">
      <c r="A200" s="509">
        <v>191</v>
      </c>
      <c r="B200" s="1074"/>
      <c r="C200" s="1154"/>
      <c r="D200" s="1155" t="s">
        <v>303</v>
      </c>
      <c r="E200" s="1077"/>
      <c r="F200" s="1078"/>
      <c r="G200" s="1261"/>
      <c r="H200" s="1079"/>
      <c r="I200" s="1080"/>
      <c r="J200" s="1156">
        <v>7051</v>
      </c>
      <c r="K200" s="1156"/>
      <c r="L200" s="1082">
        <f>SUM(I200:K200)</f>
        <v>7051</v>
      </c>
      <c r="M200" s="1083"/>
    </row>
    <row r="201" spans="1:13" s="1084" customFormat="1" ht="18" customHeight="1">
      <c r="A201" s="561">
        <v>192</v>
      </c>
      <c r="B201" s="1074"/>
      <c r="C201" s="1154"/>
      <c r="D201" s="1161" t="s">
        <v>994</v>
      </c>
      <c r="E201" s="1077"/>
      <c r="F201" s="1078"/>
      <c r="G201" s="1261"/>
      <c r="H201" s="1079"/>
      <c r="I201" s="1080"/>
      <c r="J201" s="1237">
        <v>6779</v>
      </c>
      <c r="K201" s="1156"/>
      <c r="L201" s="1103">
        <f>SUM(I201:K201)</f>
        <v>6779</v>
      </c>
      <c r="M201" s="1083"/>
    </row>
    <row r="202" spans="1:13" s="1095" customFormat="1" ht="18" customHeight="1">
      <c r="A202" s="509">
        <v>193</v>
      </c>
      <c r="B202" s="1085"/>
      <c r="C202" s="1157"/>
      <c r="D202" s="1158" t="s">
        <v>1035</v>
      </c>
      <c r="E202" s="1088"/>
      <c r="F202" s="1089"/>
      <c r="G202" s="1259"/>
      <c r="H202" s="1090"/>
      <c r="I202" s="1091"/>
      <c r="J202" s="1159">
        <v>6778</v>
      </c>
      <c r="K202" s="1159"/>
      <c r="L202" s="1093">
        <f>SUM(I202:K202)</f>
        <v>6778</v>
      </c>
      <c r="M202" s="1094"/>
    </row>
    <row r="203" spans="1:17" ht="22.5" customHeight="1">
      <c r="A203" s="509">
        <v>194</v>
      </c>
      <c r="B203" s="522"/>
      <c r="C203" s="523">
        <v>49</v>
      </c>
      <c r="D203" s="323" t="s">
        <v>723</v>
      </c>
      <c r="E203" s="524">
        <f>F203+G203+L206+M204</f>
        <v>0</v>
      </c>
      <c r="F203" s="525"/>
      <c r="G203" s="1258"/>
      <c r="H203" s="739" t="s">
        <v>24</v>
      </c>
      <c r="I203" s="711"/>
      <c r="J203" s="524"/>
      <c r="K203" s="524"/>
      <c r="L203" s="537"/>
      <c r="M203" s="526"/>
      <c r="N203" s="510"/>
      <c r="O203" s="510"/>
      <c r="P203" s="510"/>
      <c r="Q203" s="510"/>
    </row>
    <row r="204" spans="1:13" s="1084" customFormat="1" ht="18" customHeight="1">
      <c r="A204" s="561">
        <v>195</v>
      </c>
      <c r="B204" s="1074"/>
      <c r="C204" s="1154"/>
      <c r="D204" s="1155" t="s">
        <v>303</v>
      </c>
      <c r="E204" s="1077"/>
      <c r="F204" s="1078"/>
      <c r="G204" s="1261"/>
      <c r="H204" s="1079"/>
      <c r="I204" s="1080"/>
      <c r="J204" s="1156"/>
      <c r="K204" s="1156">
        <v>24000</v>
      </c>
      <c r="L204" s="1082">
        <f>SUM(I204:K204)</f>
        <v>24000</v>
      </c>
      <c r="M204" s="1083"/>
    </row>
    <row r="205" spans="1:13" s="1084" customFormat="1" ht="18" customHeight="1">
      <c r="A205" s="509">
        <v>196</v>
      </c>
      <c r="B205" s="1074"/>
      <c r="C205" s="1154"/>
      <c r="D205" s="1161" t="s">
        <v>994</v>
      </c>
      <c r="E205" s="1077"/>
      <c r="F205" s="1078"/>
      <c r="G205" s="1261"/>
      <c r="H205" s="1079"/>
      <c r="I205" s="1080"/>
      <c r="J205" s="1156"/>
      <c r="K205" s="1237">
        <v>0</v>
      </c>
      <c r="L205" s="1103">
        <f>SUM(I205:K205)</f>
        <v>0</v>
      </c>
      <c r="M205" s="1083"/>
    </row>
    <row r="206" spans="1:13" s="1095" customFormat="1" ht="18" customHeight="1">
      <c r="A206" s="509">
        <v>197</v>
      </c>
      <c r="B206" s="1085"/>
      <c r="C206" s="1157"/>
      <c r="D206" s="1158" t="s">
        <v>1035</v>
      </c>
      <c r="E206" s="1088"/>
      <c r="F206" s="1089"/>
      <c r="G206" s="1259"/>
      <c r="H206" s="1090"/>
      <c r="I206" s="1091"/>
      <c r="J206" s="1159"/>
      <c r="K206" s="1159">
        <v>0</v>
      </c>
      <c r="L206" s="1093">
        <f>SUM(I206:K206)</f>
        <v>0</v>
      </c>
      <c r="M206" s="1094"/>
    </row>
    <row r="207" spans="1:13" ht="22.5" customHeight="1">
      <c r="A207" s="561">
        <v>198</v>
      </c>
      <c r="B207" s="522"/>
      <c r="C207" s="523">
        <v>50</v>
      </c>
      <c r="D207" s="323" t="s">
        <v>724</v>
      </c>
      <c r="E207" s="524">
        <f>F207+G207+L210+M208</f>
        <v>480000</v>
      </c>
      <c r="F207" s="525"/>
      <c r="G207" s="1258"/>
      <c r="H207" s="739" t="s">
        <v>23</v>
      </c>
      <c r="I207" s="711"/>
      <c r="J207" s="524"/>
      <c r="K207" s="524"/>
      <c r="L207" s="537"/>
      <c r="M207" s="526"/>
    </row>
    <row r="208" spans="1:13" s="1084" customFormat="1" ht="18" customHeight="1">
      <c r="A208" s="509">
        <v>199</v>
      </c>
      <c r="B208" s="1074"/>
      <c r="C208" s="1154"/>
      <c r="D208" s="1155" t="s">
        <v>303</v>
      </c>
      <c r="E208" s="1077"/>
      <c r="F208" s="1078"/>
      <c r="G208" s="1261"/>
      <c r="H208" s="1079"/>
      <c r="I208" s="1080"/>
      <c r="J208" s="1156"/>
      <c r="K208" s="1156">
        <v>480000</v>
      </c>
      <c r="L208" s="1082">
        <f>SUM(I208:K208)</f>
        <v>480000</v>
      </c>
      <c r="M208" s="1083"/>
    </row>
    <row r="209" spans="1:13" s="1084" customFormat="1" ht="18" customHeight="1">
      <c r="A209" s="509">
        <v>200</v>
      </c>
      <c r="B209" s="1074"/>
      <c r="C209" s="1154"/>
      <c r="D209" s="1161" t="s">
        <v>994</v>
      </c>
      <c r="E209" s="1077"/>
      <c r="F209" s="1078"/>
      <c r="G209" s="1261"/>
      <c r="H209" s="1079"/>
      <c r="I209" s="1080"/>
      <c r="J209" s="1156"/>
      <c r="K209" s="1237">
        <v>480000</v>
      </c>
      <c r="L209" s="1103">
        <f>SUM(I209:K209)</f>
        <v>480000</v>
      </c>
      <c r="M209" s="1083"/>
    </row>
    <row r="210" spans="1:13" s="1095" customFormat="1" ht="18" customHeight="1">
      <c r="A210" s="561">
        <v>201</v>
      </c>
      <c r="B210" s="1085"/>
      <c r="C210" s="1157"/>
      <c r="D210" s="1158" t="s">
        <v>1036</v>
      </c>
      <c r="E210" s="1088"/>
      <c r="F210" s="1089"/>
      <c r="G210" s="1259"/>
      <c r="H210" s="1090"/>
      <c r="I210" s="1091"/>
      <c r="J210" s="1159"/>
      <c r="K210" s="1159">
        <v>480000</v>
      </c>
      <c r="L210" s="1093">
        <f>SUM(I210:K210)</f>
        <v>480000</v>
      </c>
      <c r="M210" s="1094"/>
    </row>
    <row r="211" spans="1:13" s="1105" customFormat="1" ht="30" customHeight="1">
      <c r="A211" s="509">
        <v>202</v>
      </c>
      <c r="B211" s="1096"/>
      <c r="C211" s="527">
        <v>51</v>
      </c>
      <c r="D211" s="323" t="s">
        <v>855</v>
      </c>
      <c r="E211" s="524">
        <f>F211+G211+L213+M212</f>
        <v>10000</v>
      </c>
      <c r="F211" s="1099"/>
      <c r="G211" s="1262"/>
      <c r="H211" s="1361" t="s">
        <v>24</v>
      </c>
      <c r="I211" s="1101"/>
      <c r="J211" s="1101"/>
      <c r="K211" s="1101"/>
      <c r="L211" s="1103"/>
      <c r="M211" s="1239"/>
    </row>
    <row r="212" spans="1:13" s="1105" customFormat="1" ht="18" customHeight="1">
      <c r="A212" s="509">
        <v>203</v>
      </c>
      <c r="B212" s="1096"/>
      <c r="C212" s="523"/>
      <c r="D212" s="1161" t="s">
        <v>994</v>
      </c>
      <c r="E212" s="524"/>
      <c r="F212" s="1099"/>
      <c r="G212" s="1262"/>
      <c r="H212" s="1238"/>
      <c r="I212" s="1101"/>
      <c r="J212" s="1101"/>
      <c r="K212" s="1101">
        <v>10000</v>
      </c>
      <c r="L212" s="1103">
        <f>SUM(I212:K212)</f>
        <v>10000</v>
      </c>
      <c r="M212" s="1239"/>
    </row>
    <row r="213" spans="1:13" s="1105" customFormat="1" ht="18" customHeight="1">
      <c r="A213" s="561">
        <v>204</v>
      </c>
      <c r="B213" s="1096"/>
      <c r="C213" s="1160"/>
      <c r="D213" s="1158" t="s">
        <v>1035</v>
      </c>
      <c r="E213" s="524"/>
      <c r="F213" s="1099"/>
      <c r="G213" s="1262"/>
      <c r="H213" s="1238"/>
      <c r="I213" s="1101"/>
      <c r="J213" s="1101"/>
      <c r="K213" s="1091">
        <v>10000</v>
      </c>
      <c r="L213" s="1093">
        <f>SUM(I213:K213)</f>
        <v>10000</v>
      </c>
      <c r="M213" s="1239"/>
    </row>
    <row r="214" spans="1:13" s="1105" customFormat="1" ht="30.75" customHeight="1">
      <c r="A214" s="509">
        <v>205</v>
      </c>
      <c r="B214" s="1096"/>
      <c r="C214" s="527">
        <v>52</v>
      </c>
      <c r="D214" s="323" t="s">
        <v>915</v>
      </c>
      <c r="E214" s="524">
        <f>F214+G214+L216+M215</f>
        <v>160</v>
      </c>
      <c r="F214" s="1099"/>
      <c r="G214" s="1262"/>
      <c r="H214" s="1361" t="s">
        <v>24</v>
      </c>
      <c r="I214" s="1101"/>
      <c r="J214" s="1101"/>
      <c r="K214" s="1101"/>
      <c r="L214" s="1103"/>
      <c r="M214" s="1239"/>
    </row>
    <row r="215" spans="1:13" s="1105" customFormat="1" ht="19.5" customHeight="1">
      <c r="A215" s="509">
        <v>206</v>
      </c>
      <c r="B215" s="1096"/>
      <c r="C215" s="527"/>
      <c r="D215" s="1161" t="s">
        <v>994</v>
      </c>
      <c r="E215" s="524"/>
      <c r="F215" s="1099"/>
      <c r="G215" s="1262"/>
      <c r="H215" s="1238"/>
      <c r="I215" s="1101"/>
      <c r="J215" s="1101"/>
      <c r="K215" s="1101">
        <v>160</v>
      </c>
      <c r="L215" s="1103">
        <f>SUM(I215:K215)</f>
        <v>160</v>
      </c>
      <c r="M215" s="1239"/>
    </row>
    <row r="216" spans="1:13" s="1105" customFormat="1" ht="18" customHeight="1">
      <c r="A216" s="561">
        <v>207</v>
      </c>
      <c r="B216" s="1096"/>
      <c r="C216" s="1160"/>
      <c r="D216" s="1158" t="s">
        <v>1035</v>
      </c>
      <c r="E216" s="1098"/>
      <c r="F216" s="1099"/>
      <c r="G216" s="1262"/>
      <c r="H216" s="1238"/>
      <c r="I216" s="1101"/>
      <c r="J216" s="1101"/>
      <c r="K216" s="1091">
        <v>160</v>
      </c>
      <c r="L216" s="1093">
        <f>SUM(I216:K216)</f>
        <v>160</v>
      </c>
      <c r="M216" s="1239"/>
    </row>
    <row r="217" spans="1:13" s="1105" customFormat="1" ht="22.5" customHeight="1">
      <c r="A217" s="509">
        <v>208</v>
      </c>
      <c r="B217" s="1096"/>
      <c r="C217" s="523">
        <v>53</v>
      </c>
      <c r="D217" s="323" t="s">
        <v>808</v>
      </c>
      <c r="E217" s="524">
        <f>F217+G217+L219+M218</f>
        <v>0</v>
      </c>
      <c r="F217" s="1099"/>
      <c r="G217" s="1262"/>
      <c r="H217" s="1361" t="s">
        <v>24</v>
      </c>
      <c r="I217" s="1237"/>
      <c r="J217" s="1237"/>
      <c r="K217" s="1237"/>
      <c r="L217" s="1103"/>
      <c r="M217" s="1239"/>
    </row>
    <row r="218" spans="1:13" s="1105" customFormat="1" ht="18" customHeight="1">
      <c r="A218" s="509">
        <v>209</v>
      </c>
      <c r="B218" s="1096"/>
      <c r="C218" s="527"/>
      <c r="D218" s="1161" t="s">
        <v>994</v>
      </c>
      <c r="E218" s="524"/>
      <c r="F218" s="1099"/>
      <c r="G218" s="1262"/>
      <c r="H218" s="1238"/>
      <c r="I218" s="1237"/>
      <c r="J218" s="1237">
        <v>50</v>
      </c>
      <c r="K218" s="1237"/>
      <c r="L218" s="1103">
        <f>SUM(I218:K218)</f>
        <v>50</v>
      </c>
      <c r="M218" s="1239"/>
    </row>
    <row r="219" spans="1:13" s="1105" customFormat="1" ht="18" customHeight="1">
      <c r="A219" s="561">
        <v>210</v>
      </c>
      <c r="B219" s="1096"/>
      <c r="C219" s="527"/>
      <c r="D219" s="1158" t="s">
        <v>1036</v>
      </c>
      <c r="E219" s="1098"/>
      <c r="F219" s="1099"/>
      <c r="G219" s="1262"/>
      <c r="H219" s="1238"/>
      <c r="I219" s="1237"/>
      <c r="J219" s="1159">
        <v>0</v>
      </c>
      <c r="K219" s="1237"/>
      <c r="L219" s="1103">
        <f>SUM(I219:K219)</f>
        <v>0</v>
      </c>
      <c r="M219" s="1239"/>
    </row>
    <row r="220" spans="1:13" s="1105" customFormat="1" ht="22.5" customHeight="1">
      <c r="A220" s="509">
        <v>211</v>
      </c>
      <c r="B220" s="1096"/>
      <c r="C220" s="523">
        <v>54</v>
      </c>
      <c r="D220" s="323" t="s">
        <v>809</v>
      </c>
      <c r="E220" s="524">
        <f>F220+G220+L222+M221</f>
        <v>0</v>
      </c>
      <c r="F220" s="1099"/>
      <c r="G220" s="1262"/>
      <c r="H220" s="1361" t="s">
        <v>24</v>
      </c>
      <c r="I220" s="1237"/>
      <c r="J220" s="1237"/>
      <c r="K220" s="1237"/>
      <c r="L220" s="1103"/>
      <c r="M220" s="1239"/>
    </row>
    <row r="221" spans="1:13" s="1105" customFormat="1" ht="18" customHeight="1">
      <c r="A221" s="509">
        <v>212</v>
      </c>
      <c r="B221" s="1096"/>
      <c r="C221" s="527"/>
      <c r="D221" s="1161" t="s">
        <v>994</v>
      </c>
      <c r="E221" s="524"/>
      <c r="F221" s="1099"/>
      <c r="G221" s="1262"/>
      <c r="H221" s="1238"/>
      <c r="I221" s="1359"/>
      <c r="J221" s="1237">
        <v>15</v>
      </c>
      <c r="K221" s="1237"/>
      <c r="L221" s="1103">
        <f>SUM(I221:K221)</f>
        <v>15</v>
      </c>
      <c r="M221" s="1239"/>
    </row>
    <row r="222" spans="1:13" s="1105" customFormat="1" ht="18" customHeight="1">
      <c r="A222" s="561">
        <v>213</v>
      </c>
      <c r="B222" s="1096"/>
      <c r="C222" s="1160"/>
      <c r="D222" s="1158" t="s">
        <v>1036</v>
      </c>
      <c r="E222" s="1098"/>
      <c r="F222" s="1099"/>
      <c r="G222" s="1262"/>
      <c r="H222" s="1238"/>
      <c r="I222" s="1237"/>
      <c r="J222" s="1159">
        <v>0</v>
      </c>
      <c r="K222" s="1237"/>
      <c r="L222" s="1103">
        <f>SUM(I222:K222)</f>
        <v>0</v>
      </c>
      <c r="M222" s="1239"/>
    </row>
    <row r="223" spans="1:13" s="1105" customFormat="1" ht="32.25" customHeight="1">
      <c r="A223" s="509">
        <v>214</v>
      </c>
      <c r="B223" s="1315"/>
      <c r="C223" s="1387">
        <v>55</v>
      </c>
      <c r="D223" s="323" t="s">
        <v>924</v>
      </c>
      <c r="E223" s="524">
        <f>F223+G223+L225+M224</f>
        <v>528</v>
      </c>
      <c r="F223" s="1318"/>
      <c r="G223" s="1319"/>
      <c r="H223" s="739" t="s">
        <v>23</v>
      </c>
      <c r="I223" s="1321"/>
      <c r="J223" s="1321"/>
      <c r="K223" s="1321"/>
      <c r="L223" s="1103"/>
      <c r="M223" s="1322"/>
    </row>
    <row r="224" spans="1:13" s="1105" customFormat="1" ht="18" customHeight="1">
      <c r="A224" s="509">
        <v>215</v>
      </c>
      <c r="B224" s="1315"/>
      <c r="C224" s="1371"/>
      <c r="D224" s="1161" t="s">
        <v>994</v>
      </c>
      <c r="E224" s="1317"/>
      <c r="F224" s="1318"/>
      <c r="G224" s="1319"/>
      <c r="H224" s="1370"/>
      <c r="I224" s="1321"/>
      <c r="J224" s="1321">
        <v>528</v>
      </c>
      <c r="K224" s="1321"/>
      <c r="L224" s="1103">
        <f>SUM(I224:K224)</f>
        <v>528</v>
      </c>
      <c r="M224" s="1322"/>
    </row>
    <row r="225" spans="1:13" s="1105" customFormat="1" ht="18" customHeight="1">
      <c r="A225" s="561">
        <v>216</v>
      </c>
      <c r="B225" s="1315"/>
      <c r="C225" s="1316"/>
      <c r="D225" s="1158" t="s">
        <v>1036</v>
      </c>
      <c r="E225" s="1317"/>
      <c r="F225" s="1318"/>
      <c r="G225" s="1319"/>
      <c r="H225" s="1320"/>
      <c r="I225" s="1321"/>
      <c r="J225" s="1358">
        <v>528</v>
      </c>
      <c r="K225" s="1358"/>
      <c r="L225" s="1103">
        <f>SUM(I225:K225)</f>
        <v>528</v>
      </c>
      <c r="M225" s="1322"/>
    </row>
    <row r="226" spans="1:13" s="1105" customFormat="1" ht="22.5" customHeight="1">
      <c r="A226" s="509">
        <v>217</v>
      </c>
      <c r="B226" s="1315"/>
      <c r="C226" s="1371">
        <v>56</v>
      </c>
      <c r="D226" s="323" t="s">
        <v>847</v>
      </c>
      <c r="E226" s="524">
        <f>F226+G226+L228+M227</f>
        <v>300</v>
      </c>
      <c r="F226" s="1318"/>
      <c r="G226" s="1319"/>
      <c r="H226" s="1361" t="s">
        <v>24</v>
      </c>
      <c r="I226" s="1321"/>
      <c r="J226" s="1321"/>
      <c r="K226" s="1321"/>
      <c r="L226" s="1103"/>
      <c r="M226" s="1322"/>
    </row>
    <row r="227" spans="1:13" s="1105" customFormat="1" ht="18" customHeight="1">
      <c r="A227" s="509">
        <v>218</v>
      </c>
      <c r="B227" s="1315"/>
      <c r="C227" s="1371"/>
      <c r="D227" s="1161" t="s">
        <v>994</v>
      </c>
      <c r="E227" s="1317"/>
      <c r="F227" s="1318"/>
      <c r="G227" s="1319"/>
      <c r="H227" s="1370"/>
      <c r="I227" s="1321"/>
      <c r="J227" s="1321">
        <v>300</v>
      </c>
      <c r="K227" s="1321"/>
      <c r="L227" s="1103">
        <f>SUM(I227:K227)</f>
        <v>300</v>
      </c>
      <c r="M227" s="1322"/>
    </row>
    <row r="228" spans="1:13" s="1105" customFormat="1" ht="18" customHeight="1">
      <c r="A228" s="561">
        <v>219</v>
      </c>
      <c r="B228" s="1315"/>
      <c r="C228" s="1316"/>
      <c r="D228" s="1158" t="s">
        <v>1036</v>
      </c>
      <c r="E228" s="1317"/>
      <c r="F228" s="1318"/>
      <c r="G228" s="1319"/>
      <c r="H228" s="1320"/>
      <c r="I228" s="1321"/>
      <c r="J228" s="1358">
        <v>300</v>
      </c>
      <c r="K228" s="1321"/>
      <c r="L228" s="1103">
        <f>SUM(I228:K228)</f>
        <v>300</v>
      </c>
      <c r="M228" s="1322"/>
    </row>
    <row r="229" spans="1:13" s="1105" customFormat="1" ht="32.25" customHeight="1">
      <c r="A229" s="509">
        <v>220</v>
      </c>
      <c r="B229" s="1315"/>
      <c r="C229" s="1387">
        <v>57</v>
      </c>
      <c r="D229" s="323" t="s">
        <v>853</v>
      </c>
      <c r="E229" s="524">
        <f>F229+G229+L231+M230</f>
        <v>10</v>
      </c>
      <c r="F229" s="1318"/>
      <c r="G229" s="1319"/>
      <c r="H229" s="1361" t="s">
        <v>24</v>
      </c>
      <c r="I229" s="1321"/>
      <c r="J229" s="1321"/>
      <c r="K229" s="1321"/>
      <c r="L229" s="1103"/>
      <c r="M229" s="1322"/>
    </row>
    <row r="230" spans="1:13" s="1105" customFormat="1" ht="18" customHeight="1">
      <c r="A230" s="509">
        <v>221</v>
      </c>
      <c r="B230" s="1315"/>
      <c r="C230" s="1371"/>
      <c r="D230" s="1161" t="s">
        <v>994</v>
      </c>
      <c r="E230" s="1317"/>
      <c r="F230" s="1318"/>
      <c r="G230" s="1319"/>
      <c r="H230" s="1370"/>
      <c r="I230" s="1321"/>
      <c r="J230" s="1321">
        <v>100</v>
      </c>
      <c r="K230" s="1321"/>
      <c r="L230" s="1103">
        <f>SUM(I230:K230)</f>
        <v>100</v>
      </c>
      <c r="M230" s="1322"/>
    </row>
    <row r="231" spans="1:13" s="1105" customFormat="1" ht="18" customHeight="1">
      <c r="A231" s="561">
        <v>222</v>
      </c>
      <c r="B231" s="1315"/>
      <c r="C231" s="1316"/>
      <c r="D231" s="1158" t="s">
        <v>1036</v>
      </c>
      <c r="E231" s="1317"/>
      <c r="F231" s="1318"/>
      <c r="G231" s="1319"/>
      <c r="H231" s="1320"/>
      <c r="I231" s="1321"/>
      <c r="J231" s="1358">
        <v>10</v>
      </c>
      <c r="K231" s="1321"/>
      <c r="L231" s="1103">
        <f>SUM(I231:K231)</f>
        <v>10</v>
      </c>
      <c r="M231" s="1322"/>
    </row>
    <row r="232" spans="1:13" s="1105" customFormat="1" ht="32.25" customHeight="1">
      <c r="A232" s="509">
        <v>223</v>
      </c>
      <c r="B232" s="1315"/>
      <c r="C232" s="1387">
        <v>58</v>
      </c>
      <c r="D232" s="323" t="s">
        <v>851</v>
      </c>
      <c r="E232" s="524">
        <f>F232+G232+L234+M233</f>
        <v>6357</v>
      </c>
      <c r="F232" s="1318"/>
      <c r="G232" s="1319"/>
      <c r="H232" s="1370" t="s">
        <v>24</v>
      </c>
      <c r="I232" s="1321"/>
      <c r="J232" s="1321"/>
      <c r="K232" s="1321"/>
      <c r="L232" s="1103"/>
      <c r="M232" s="1322"/>
    </row>
    <row r="233" spans="1:13" s="1105" customFormat="1" ht="18" customHeight="1">
      <c r="A233" s="509">
        <v>224</v>
      </c>
      <c r="B233" s="1315"/>
      <c r="C233" s="1371"/>
      <c r="D233" s="1161" t="s">
        <v>994</v>
      </c>
      <c r="E233" s="1317"/>
      <c r="F233" s="1318"/>
      <c r="G233" s="1319"/>
      <c r="H233" s="1370"/>
      <c r="I233" s="1321"/>
      <c r="J233" s="1321">
        <v>11000</v>
      </c>
      <c r="K233" s="1321"/>
      <c r="L233" s="1103">
        <f>SUM(I233:K233)</f>
        <v>11000</v>
      </c>
      <c r="M233" s="1322"/>
    </row>
    <row r="234" spans="1:13" s="1105" customFormat="1" ht="18" customHeight="1">
      <c r="A234" s="561">
        <v>225</v>
      </c>
      <c r="B234" s="1315"/>
      <c r="C234" s="1316"/>
      <c r="D234" s="1158" t="s">
        <v>1035</v>
      </c>
      <c r="E234" s="1317"/>
      <c r="F234" s="1318"/>
      <c r="G234" s="1319"/>
      <c r="H234" s="1320"/>
      <c r="I234" s="1321"/>
      <c r="J234" s="1358">
        <v>6357</v>
      </c>
      <c r="K234" s="1321"/>
      <c r="L234" s="1103">
        <f>SUM(I234:K234)</f>
        <v>6357</v>
      </c>
      <c r="M234" s="1322"/>
    </row>
    <row r="235" spans="1:13" s="1105" customFormat="1" ht="22.5" customHeight="1">
      <c r="A235" s="509">
        <v>226</v>
      </c>
      <c r="B235" s="1315"/>
      <c r="C235" s="1371">
        <v>59</v>
      </c>
      <c r="D235" s="323" t="s">
        <v>852</v>
      </c>
      <c r="E235" s="524">
        <f>F235+G235+L237+M236</f>
        <v>6069</v>
      </c>
      <c r="F235" s="1318"/>
      <c r="G235" s="1319"/>
      <c r="H235" s="1370" t="s">
        <v>24</v>
      </c>
      <c r="I235" s="1321"/>
      <c r="J235" s="1321"/>
      <c r="K235" s="1321"/>
      <c r="L235" s="1103"/>
      <c r="M235" s="1322"/>
    </row>
    <row r="236" spans="1:13" s="1105" customFormat="1" ht="18" customHeight="1">
      <c r="A236" s="509">
        <v>227</v>
      </c>
      <c r="B236" s="1315"/>
      <c r="C236" s="1371"/>
      <c r="D236" s="1161" t="s">
        <v>994</v>
      </c>
      <c r="E236" s="1317"/>
      <c r="F236" s="1318"/>
      <c r="G236" s="1319"/>
      <c r="H236" s="1370"/>
      <c r="I236" s="1321">
        <v>1525</v>
      </c>
      <c r="J236" s="1321">
        <v>5475</v>
      </c>
      <c r="K236" s="1321"/>
      <c r="L236" s="1103">
        <f>SUM(I236:K236)</f>
        <v>7000</v>
      </c>
      <c r="M236" s="1322"/>
    </row>
    <row r="237" spans="1:13" s="1105" customFormat="1" ht="18" customHeight="1">
      <c r="A237" s="561">
        <v>228</v>
      </c>
      <c r="B237" s="1315"/>
      <c r="C237" s="1316"/>
      <c r="D237" s="1158" t="s">
        <v>1050</v>
      </c>
      <c r="E237" s="1317"/>
      <c r="F237" s="1318"/>
      <c r="G237" s="1319"/>
      <c r="H237" s="1320"/>
      <c r="I237" s="1358">
        <v>1525</v>
      </c>
      <c r="J237" s="1358">
        <v>4544</v>
      </c>
      <c r="K237" s="1321"/>
      <c r="L237" s="1103">
        <f>SUM(I237:K237)</f>
        <v>6069</v>
      </c>
      <c r="M237" s="1322"/>
    </row>
    <row r="238" spans="1:13" s="1105" customFormat="1" ht="22.5" customHeight="1">
      <c r="A238" s="509">
        <v>229</v>
      </c>
      <c r="B238" s="1315"/>
      <c r="C238" s="1371">
        <v>60</v>
      </c>
      <c r="D238" s="323" t="s">
        <v>854</v>
      </c>
      <c r="E238" s="524">
        <f>F238+G238+L240+M239</f>
        <v>652</v>
      </c>
      <c r="F238" s="1318"/>
      <c r="G238" s="1319"/>
      <c r="H238" s="1320"/>
      <c r="I238" s="1321"/>
      <c r="J238" s="1321"/>
      <c r="K238" s="1321"/>
      <c r="L238" s="1103"/>
      <c r="M238" s="1322"/>
    </row>
    <row r="239" spans="1:13" s="1105" customFormat="1" ht="18" customHeight="1">
      <c r="A239" s="509">
        <v>230</v>
      </c>
      <c r="B239" s="1315"/>
      <c r="C239" s="1371"/>
      <c r="D239" s="1161" t="s">
        <v>994</v>
      </c>
      <c r="E239" s="1317"/>
      <c r="F239" s="1318"/>
      <c r="G239" s="1319"/>
      <c r="H239" s="1320"/>
      <c r="I239" s="1321"/>
      <c r="J239" s="1321">
        <v>653</v>
      </c>
      <c r="K239" s="1321"/>
      <c r="L239" s="1103">
        <f>SUM(I239:K239)</f>
        <v>653</v>
      </c>
      <c r="M239" s="1322"/>
    </row>
    <row r="240" spans="1:13" s="1105" customFormat="1" ht="18" customHeight="1">
      <c r="A240" s="561">
        <v>231</v>
      </c>
      <c r="B240" s="1315"/>
      <c r="C240" s="1316"/>
      <c r="D240" s="1158" t="s">
        <v>1035</v>
      </c>
      <c r="E240" s="1317"/>
      <c r="F240" s="1318"/>
      <c r="G240" s="1319"/>
      <c r="H240" s="1320"/>
      <c r="I240" s="1321"/>
      <c r="J240" s="1358">
        <v>652</v>
      </c>
      <c r="K240" s="1321"/>
      <c r="L240" s="1385">
        <f>SUM(I240:K240)</f>
        <v>652</v>
      </c>
      <c r="M240" s="1322"/>
    </row>
    <row r="241" spans="1:13" s="1105" customFormat="1" ht="22.5" customHeight="1">
      <c r="A241" s="509">
        <v>232</v>
      </c>
      <c r="B241" s="1096"/>
      <c r="C241" s="523">
        <v>61</v>
      </c>
      <c r="D241" s="796" t="s">
        <v>838</v>
      </c>
      <c r="E241" s="524">
        <f>F241+G241+L243+M242</f>
        <v>5000</v>
      </c>
      <c r="F241" s="1099"/>
      <c r="G241" s="1262"/>
      <c r="H241" s="1361" t="s">
        <v>24</v>
      </c>
      <c r="I241" s="1237"/>
      <c r="J241" s="1237"/>
      <c r="K241" s="1237"/>
      <c r="L241" s="1103"/>
      <c r="M241" s="1239"/>
    </row>
    <row r="242" spans="1:13" s="1105" customFormat="1" ht="18" customHeight="1">
      <c r="A242" s="509">
        <v>233</v>
      </c>
      <c r="B242" s="1096"/>
      <c r="C242" s="523"/>
      <c r="D242" s="1161" t="s">
        <v>994</v>
      </c>
      <c r="E242" s="1098"/>
      <c r="F242" s="1099"/>
      <c r="G242" s="1262"/>
      <c r="H242" s="1361"/>
      <c r="I242" s="1237"/>
      <c r="J242" s="1237"/>
      <c r="K242" s="1237">
        <v>5000</v>
      </c>
      <c r="L242" s="1103">
        <f>SUM(I242:K242)</f>
        <v>5000</v>
      </c>
      <c r="M242" s="1239"/>
    </row>
    <row r="243" spans="1:13" s="1105" customFormat="1" ht="18" customHeight="1">
      <c r="A243" s="561">
        <v>234</v>
      </c>
      <c r="B243" s="1096"/>
      <c r="C243" s="1160"/>
      <c r="D243" s="1158" t="s">
        <v>1036</v>
      </c>
      <c r="E243" s="1098"/>
      <c r="F243" s="1099"/>
      <c r="G243" s="1262"/>
      <c r="H243" s="1238"/>
      <c r="I243" s="1237"/>
      <c r="J243" s="1237"/>
      <c r="K243" s="1159">
        <v>5000</v>
      </c>
      <c r="L243" s="1103">
        <f>SUM(I243:K243)</f>
        <v>5000</v>
      </c>
      <c r="M243" s="1239"/>
    </row>
    <row r="244" spans="1:13" s="1105" customFormat="1" ht="22.5" customHeight="1">
      <c r="A244" s="509">
        <v>235</v>
      </c>
      <c r="B244" s="1096"/>
      <c r="C244" s="523">
        <v>62</v>
      </c>
      <c r="D244" s="323" t="s">
        <v>916</v>
      </c>
      <c r="E244" s="524">
        <f>F244+G244+L246+M245</f>
        <v>0</v>
      </c>
      <c r="F244" s="1099"/>
      <c r="G244" s="1262"/>
      <c r="H244" s="1238"/>
      <c r="I244" s="1237"/>
      <c r="J244" s="1237"/>
      <c r="K244" s="1237"/>
      <c r="L244" s="1103"/>
      <c r="M244" s="1239"/>
    </row>
    <row r="245" spans="1:13" s="1105" customFormat="1" ht="19.5" customHeight="1">
      <c r="A245" s="509">
        <v>236</v>
      </c>
      <c r="B245" s="1096"/>
      <c r="C245" s="523"/>
      <c r="D245" s="1161" t="s">
        <v>994</v>
      </c>
      <c r="E245" s="524"/>
      <c r="F245" s="1099"/>
      <c r="G245" s="1262"/>
      <c r="H245" s="1238"/>
      <c r="I245" s="1237"/>
      <c r="J245" s="1237">
        <v>800</v>
      </c>
      <c r="K245" s="1237"/>
      <c r="L245" s="1103">
        <f>SUM(J245:K245)</f>
        <v>800</v>
      </c>
      <c r="M245" s="1239"/>
    </row>
    <row r="246" spans="1:13" s="1105" customFormat="1" ht="18" customHeight="1">
      <c r="A246" s="561">
        <v>237</v>
      </c>
      <c r="B246" s="1096"/>
      <c r="C246" s="1160"/>
      <c r="D246" s="1158" t="s">
        <v>1035</v>
      </c>
      <c r="E246" s="1098"/>
      <c r="F246" s="1099"/>
      <c r="G246" s="1262"/>
      <c r="H246" s="1238"/>
      <c r="I246" s="1237"/>
      <c r="J246" s="1159">
        <v>0</v>
      </c>
      <c r="K246" s="1237"/>
      <c r="L246" s="1385">
        <f>SUM(J246:K246)</f>
        <v>0</v>
      </c>
      <c r="M246" s="1239"/>
    </row>
    <row r="247" spans="1:13" s="1105" customFormat="1" ht="22.5" customHeight="1">
      <c r="A247" s="509">
        <v>238</v>
      </c>
      <c r="B247" s="1096"/>
      <c r="C247" s="523">
        <v>63</v>
      </c>
      <c r="D247" s="323" t="s">
        <v>919</v>
      </c>
      <c r="E247" s="524">
        <f>F247+G247+L249+M248</f>
        <v>1625</v>
      </c>
      <c r="F247" s="1099"/>
      <c r="G247" s="1262"/>
      <c r="H247" s="1238"/>
      <c r="I247" s="1237"/>
      <c r="J247" s="1237"/>
      <c r="K247" s="1237"/>
      <c r="L247" s="1103"/>
      <c r="M247" s="1239"/>
    </row>
    <row r="248" spans="1:13" s="1105" customFormat="1" ht="18" customHeight="1">
      <c r="A248" s="509">
        <v>239</v>
      </c>
      <c r="B248" s="1096"/>
      <c r="C248" s="527"/>
      <c r="D248" s="1161" t="s">
        <v>994</v>
      </c>
      <c r="E248" s="524"/>
      <c r="F248" s="1099"/>
      <c r="G248" s="1262"/>
      <c r="H248" s="1238"/>
      <c r="I248" s="1237"/>
      <c r="J248" s="1237">
        <v>1625</v>
      </c>
      <c r="K248" s="1237"/>
      <c r="L248" s="1103">
        <f>SUM(J248:K248)</f>
        <v>1625</v>
      </c>
      <c r="M248" s="1239"/>
    </row>
    <row r="249" spans="1:13" s="1105" customFormat="1" ht="18" customHeight="1">
      <c r="A249" s="561">
        <v>240</v>
      </c>
      <c r="B249" s="1096"/>
      <c r="C249" s="1160"/>
      <c r="D249" s="1158" t="s">
        <v>1035</v>
      </c>
      <c r="E249" s="1098"/>
      <c r="F249" s="1099"/>
      <c r="G249" s="1262"/>
      <c r="H249" s="1238"/>
      <c r="I249" s="1237"/>
      <c r="J249" s="1159">
        <v>1625</v>
      </c>
      <c r="K249" s="1237"/>
      <c r="L249" s="1385">
        <f>SUM(J249:K249)</f>
        <v>1625</v>
      </c>
      <c r="M249" s="1239"/>
    </row>
    <row r="250" spans="1:13" s="1105" customFormat="1" ht="22.5" customHeight="1">
      <c r="A250" s="509">
        <v>241</v>
      </c>
      <c r="B250" s="1096"/>
      <c r="C250" s="523">
        <v>64</v>
      </c>
      <c r="D250" s="323" t="s">
        <v>918</v>
      </c>
      <c r="E250" s="524">
        <f>F250+G250+L252+M251</f>
        <v>10</v>
      </c>
      <c r="F250" s="1099"/>
      <c r="G250" s="1262"/>
      <c r="H250" s="1238"/>
      <c r="I250" s="1237"/>
      <c r="J250" s="1237"/>
      <c r="K250" s="1237"/>
      <c r="L250" s="1103"/>
      <c r="M250" s="1239"/>
    </row>
    <row r="251" spans="1:13" s="1105" customFormat="1" ht="19.5" customHeight="1">
      <c r="A251" s="509">
        <v>242</v>
      </c>
      <c r="B251" s="1096"/>
      <c r="C251" s="527"/>
      <c r="D251" s="1161" t="s">
        <v>994</v>
      </c>
      <c r="E251" s="524"/>
      <c r="F251" s="1099"/>
      <c r="G251" s="1262"/>
      <c r="H251" s="1238"/>
      <c r="I251" s="1237"/>
      <c r="J251" s="1237">
        <v>10</v>
      </c>
      <c r="K251" s="1237"/>
      <c r="L251" s="1103">
        <f>SUM(I251:K251)</f>
        <v>10</v>
      </c>
      <c r="M251" s="1239"/>
    </row>
    <row r="252" spans="1:13" s="1105" customFormat="1" ht="18" customHeight="1">
      <c r="A252" s="561">
        <v>243</v>
      </c>
      <c r="B252" s="1096"/>
      <c r="C252" s="1160"/>
      <c r="D252" s="1158" t="s">
        <v>1035</v>
      </c>
      <c r="E252" s="1098"/>
      <c r="F252" s="1099"/>
      <c r="G252" s="1262"/>
      <c r="H252" s="1238"/>
      <c r="I252" s="1237"/>
      <c r="J252" s="1159">
        <v>10</v>
      </c>
      <c r="K252" s="1237"/>
      <c r="L252" s="1385">
        <f>SUM(I252:K252)</f>
        <v>10</v>
      </c>
      <c r="M252" s="1239"/>
    </row>
    <row r="253" spans="1:13" s="1105" customFormat="1" ht="22.5" customHeight="1">
      <c r="A253" s="509">
        <v>244</v>
      </c>
      <c r="B253" s="1096"/>
      <c r="C253" s="523">
        <v>65</v>
      </c>
      <c r="D253" s="323" t="s">
        <v>917</v>
      </c>
      <c r="E253" s="524">
        <f>F253+G253+L255+M254</f>
        <v>6990</v>
      </c>
      <c r="F253" s="1099"/>
      <c r="G253" s="1262"/>
      <c r="H253" s="1238"/>
      <c r="I253" s="1237"/>
      <c r="J253" s="1237"/>
      <c r="K253" s="1237"/>
      <c r="L253" s="1103"/>
      <c r="M253" s="1239"/>
    </row>
    <row r="254" spans="1:13" s="1105" customFormat="1" ht="18" customHeight="1">
      <c r="A254" s="509">
        <v>245</v>
      </c>
      <c r="B254" s="1096"/>
      <c r="C254" s="527"/>
      <c r="D254" s="1161" t="s">
        <v>994</v>
      </c>
      <c r="E254" s="1098"/>
      <c r="F254" s="1099"/>
      <c r="G254" s="1262"/>
      <c r="H254" s="1238"/>
      <c r="I254" s="1237"/>
      <c r="J254" s="1237">
        <v>6990</v>
      </c>
      <c r="K254" s="1237"/>
      <c r="L254" s="1103">
        <f>SUM(I254:K254)</f>
        <v>6990</v>
      </c>
      <c r="M254" s="1239"/>
    </row>
    <row r="255" spans="1:13" s="1105" customFormat="1" ht="18" customHeight="1">
      <c r="A255" s="561">
        <v>246</v>
      </c>
      <c r="B255" s="1096"/>
      <c r="C255" s="1160"/>
      <c r="D255" s="1158" t="s">
        <v>1035</v>
      </c>
      <c r="E255" s="1098"/>
      <c r="F255" s="1099"/>
      <c r="G255" s="1262"/>
      <c r="H255" s="1238"/>
      <c r="I255" s="1237"/>
      <c r="J255" s="1159">
        <v>6990</v>
      </c>
      <c r="K255" s="1237"/>
      <c r="L255" s="1385">
        <f>SUM(I255:K255)</f>
        <v>6990</v>
      </c>
      <c r="M255" s="1239"/>
    </row>
    <row r="256" spans="1:13" s="1105" customFormat="1" ht="22.5" customHeight="1">
      <c r="A256" s="509">
        <v>247</v>
      </c>
      <c r="B256" s="1096"/>
      <c r="C256" s="523">
        <v>66</v>
      </c>
      <c r="D256" s="323" t="s">
        <v>936</v>
      </c>
      <c r="E256" s="524">
        <f>F256+G256+L258+M257</f>
        <v>10</v>
      </c>
      <c r="F256" s="1099"/>
      <c r="G256" s="1262"/>
      <c r="H256" s="1238"/>
      <c r="I256" s="1237"/>
      <c r="J256" s="1237"/>
      <c r="K256" s="1237"/>
      <c r="L256" s="1103"/>
      <c r="M256" s="1239"/>
    </row>
    <row r="257" spans="1:13" s="1105" customFormat="1" ht="18" customHeight="1">
      <c r="A257" s="509">
        <v>248</v>
      </c>
      <c r="B257" s="1096"/>
      <c r="C257" s="523"/>
      <c r="D257" s="1161" t="s">
        <v>994</v>
      </c>
      <c r="E257" s="524"/>
      <c r="F257" s="1099"/>
      <c r="G257" s="1262"/>
      <c r="H257" s="1238"/>
      <c r="I257" s="1237"/>
      <c r="J257" s="1237">
        <v>10</v>
      </c>
      <c r="K257" s="1237"/>
      <c r="L257" s="1103">
        <f>SUM(J257:K257)</f>
        <v>10</v>
      </c>
      <c r="M257" s="1239"/>
    </row>
    <row r="258" spans="1:13" s="1105" customFormat="1" ht="18" customHeight="1">
      <c r="A258" s="561">
        <v>249</v>
      </c>
      <c r="B258" s="1096"/>
      <c r="C258" s="1160"/>
      <c r="D258" s="1158" t="s">
        <v>1035</v>
      </c>
      <c r="E258" s="1098"/>
      <c r="F258" s="1099"/>
      <c r="G258" s="1262"/>
      <c r="H258" s="1238"/>
      <c r="I258" s="1237"/>
      <c r="J258" s="1159">
        <v>10</v>
      </c>
      <c r="K258" s="1159"/>
      <c r="L258" s="1385">
        <f>SUM(I258:K258)</f>
        <v>10</v>
      </c>
      <c r="M258" s="1239"/>
    </row>
    <row r="259" spans="1:13" s="1105" customFormat="1" ht="22.5" customHeight="1">
      <c r="A259" s="509">
        <v>250</v>
      </c>
      <c r="B259" s="1096"/>
      <c r="C259" s="523">
        <v>67</v>
      </c>
      <c r="D259" s="323" t="s">
        <v>937</v>
      </c>
      <c r="E259" s="524">
        <f>F259+G259+L261+M260</f>
        <v>4000</v>
      </c>
      <c r="F259" s="1099"/>
      <c r="G259" s="1262"/>
      <c r="H259" s="1238"/>
      <c r="I259" s="1237"/>
      <c r="J259" s="1237"/>
      <c r="K259" s="1237"/>
      <c r="L259" s="1103"/>
      <c r="M259" s="1239"/>
    </row>
    <row r="260" spans="1:13" s="1105" customFormat="1" ht="18" customHeight="1">
      <c r="A260" s="509">
        <v>251</v>
      </c>
      <c r="B260" s="1096"/>
      <c r="C260" s="523"/>
      <c r="D260" s="1161" t="s">
        <v>994</v>
      </c>
      <c r="E260" s="524"/>
      <c r="F260" s="1099"/>
      <c r="G260" s="1262"/>
      <c r="H260" s="1238"/>
      <c r="I260" s="1237"/>
      <c r="J260" s="1237">
        <v>4000</v>
      </c>
      <c r="K260" s="1237"/>
      <c r="L260" s="1415">
        <f>SUM(J260:K260)</f>
        <v>4000</v>
      </c>
      <c r="M260" s="1239"/>
    </row>
    <row r="261" spans="1:13" s="1105" customFormat="1" ht="18" customHeight="1">
      <c r="A261" s="561">
        <v>252</v>
      </c>
      <c r="B261" s="1096"/>
      <c r="C261" s="1160"/>
      <c r="D261" s="1158" t="s">
        <v>1035</v>
      </c>
      <c r="E261" s="1098"/>
      <c r="F261" s="1099"/>
      <c r="G261" s="1262"/>
      <c r="H261" s="1238"/>
      <c r="I261" s="1237"/>
      <c r="J261" s="1159">
        <v>4000</v>
      </c>
      <c r="K261" s="1159"/>
      <c r="L261" s="1391">
        <f>SUM(I261:K261)</f>
        <v>4000</v>
      </c>
      <c r="M261" s="1239"/>
    </row>
    <row r="262" spans="1:13" s="1105" customFormat="1" ht="18" customHeight="1">
      <c r="A262" s="509">
        <v>253</v>
      </c>
      <c r="B262" s="1315"/>
      <c r="C262" s="1387">
        <v>68</v>
      </c>
      <c r="D262" s="323" t="s">
        <v>974</v>
      </c>
      <c r="E262" s="524">
        <f>F262+G262+L264+M263</f>
        <v>0</v>
      </c>
      <c r="F262" s="1318"/>
      <c r="G262" s="1441"/>
      <c r="H262" s="1443"/>
      <c r="I262" s="1429"/>
      <c r="J262" s="1429"/>
      <c r="K262" s="1429"/>
      <c r="L262" s="1430"/>
      <c r="M262" s="1104"/>
    </row>
    <row r="263" spans="1:13" s="1105" customFormat="1" ht="18" customHeight="1">
      <c r="A263" s="509">
        <v>254</v>
      </c>
      <c r="B263" s="1315"/>
      <c r="C263" s="1387"/>
      <c r="D263" s="1161" t="s">
        <v>994</v>
      </c>
      <c r="E263" s="1317"/>
      <c r="F263" s="1318"/>
      <c r="G263" s="1441"/>
      <c r="H263" s="1443"/>
      <c r="I263" s="1429"/>
      <c r="J263" s="1429">
        <v>200</v>
      </c>
      <c r="K263" s="1429"/>
      <c r="L263" s="1430">
        <f>SUM(J263:K263)</f>
        <v>200</v>
      </c>
      <c r="M263" s="1104"/>
    </row>
    <row r="264" spans="1:13" s="1105" customFormat="1" ht="18" customHeight="1">
      <c r="A264" s="561">
        <v>255</v>
      </c>
      <c r="B264" s="1315"/>
      <c r="C264" s="1316"/>
      <c r="D264" s="1158" t="s">
        <v>1035</v>
      </c>
      <c r="E264" s="1317"/>
      <c r="F264" s="1318"/>
      <c r="G264" s="1441"/>
      <c r="H264" s="1443"/>
      <c r="I264" s="1429"/>
      <c r="J264" s="1442">
        <v>0</v>
      </c>
      <c r="K264" s="1429"/>
      <c r="L264" s="1444">
        <f>SUM(H264:K264)</f>
        <v>0</v>
      </c>
      <c r="M264" s="1104"/>
    </row>
    <row r="265" spans="1:13" s="1105" customFormat="1" ht="31.5" customHeight="1">
      <c r="A265" s="509">
        <v>256</v>
      </c>
      <c r="B265" s="1096"/>
      <c r="C265" s="523">
        <v>69</v>
      </c>
      <c r="D265" s="323" t="s">
        <v>958</v>
      </c>
      <c r="E265" s="524">
        <f>F265+G265+L267+M266</f>
        <v>0</v>
      </c>
      <c r="F265" s="1099"/>
      <c r="G265" s="1260"/>
      <c r="H265" s="1100"/>
      <c r="I265" s="1237"/>
      <c r="J265" s="1237"/>
      <c r="K265" s="1237"/>
      <c r="L265" s="1359"/>
      <c r="M265" s="1104"/>
    </row>
    <row r="266" spans="1:13" s="1105" customFormat="1" ht="18" customHeight="1">
      <c r="A266" s="509">
        <v>257</v>
      </c>
      <c r="B266" s="1096"/>
      <c r="C266" s="523"/>
      <c r="D266" s="1161" t="s">
        <v>994</v>
      </c>
      <c r="E266" s="524"/>
      <c r="F266" s="1099"/>
      <c r="G266" s="1260"/>
      <c r="H266" s="1100"/>
      <c r="I266" s="1237"/>
      <c r="J266" s="1237">
        <v>275</v>
      </c>
      <c r="K266" s="1237"/>
      <c r="L266" s="1462">
        <f>SUM(I266:K266)</f>
        <v>275</v>
      </c>
      <c r="M266" s="1104"/>
    </row>
    <row r="267" spans="1:13" s="1105" customFormat="1" ht="18" customHeight="1" thickBot="1">
      <c r="A267" s="561">
        <v>258</v>
      </c>
      <c r="B267" s="1096"/>
      <c r="C267" s="1160"/>
      <c r="D267" s="1158" t="s">
        <v>1035</v>
      </c>
      <c r="E267" s="1098"/>
      <c r="F267" s="1099"/>
      <c r="G267" s="1260"/>
      <c r="H267" s="1100"/>
      <c r="I267" s="1237"/>
      <c r="J267" s="1159">
        <v>0</v>
      </c>
      <c r="K267" s="1159"/>
      <c r="L267" s="1391">
        <f>SUM(I267:K267)</f>
        <v>0</v>
      </c>
      <c r="M267" s="1104"/>
    </row>
    <row r="268" spans="1:13" ht="36" customHeight="1">
      <c r="A268" s="509">
        <v>259</v>
      </c>
      <c r="B268" s="2170" t="s">
        <v>13</v>
      </c>
      <c r="C268" s="2171"/>
      <c r="D268" s="2171"/>
      <c r="E268" s="2171"/>
      <c r="F268" s="2171"/>
      <c r="G268" s="2172"/>
      <c r="H268" s="1109"/>
      <c r="I268" s="1110"/>
      <c r="J268" s="1110"/>
      <c r="K268" s="1110"/>
      <c r="L268" s="1110"/>
      <c r="M268" s="1112"/>
    </row>
    <row r="269" spans="1:13" s="1084" customFormat="1" ht="18" customHeight="1">
      <c r="A269" s="509">
        <v>260</v>
      </c>
      <c r="B269" s="1074"/>
      <c r="C269" s="1154"/>
      <c r="D269" s="1155" t="s">
        <v>303</v>
      </c>
      <c r="E269" s="1077"/>
      <c r="F269" s="1078"/>
      <c r="G269" s="1261"/>
      <c r="H269" s="1079"/>
      <c r="I269" s="1080">
        <f>#VALUE!</f>
        <v>10468</v>
      </c>
      <c r="J269" s="1156">
        <f>#VALUE!</f>
        <v>765891</v>
      </c>
      <c r="K269" s="1156">
        <f>#VALUE!</f>
        <v>504000</v>
      </c>
      <c r="L269" s="1082">
        <f>SUM(I269:K269)</f>
        <v>1280359</v>
      </c>
      <c r="M269" s="1083"/>
    </row>
    <row r="270" spans="1:13" s="1084" customFormat="1" ht="18" customHeight="1">
      <c r="A270" s="561">
        <v>261</v>
      </c>
      <c r="B270" s="1074"/>
      <c r="C270" s="1154"/>
      <c r="D270" s="1161" t="s">
        <v>994</v>
      </c>
      <c r="E270" s="1077"/>
      <c r="F270" s="1078"/>
      <c r="G270" s="1261"/>
      <c r="H270" s="1079"/>
      <c r="I270" s="1101">
        <f>#VALUE!</f>
        <v>8194</v>
      </c>
      <c r="J270" s="1101">
        <f>#VALUE!</f>
        <v>749525</v>
      </c>
      <c r="K270" s="1101">
        <f>#VALUE!</f>
        <v>495160</v>
      </c>
      <c r="L270" s="1101">
        <f>#VALUE!</f>
        <v>1252879</v>
      </c>
      <c r="M270" s="1083"/>
    </row>
    <row r="271" spans="1:13" s="1095" customFormat="1" ht="18" customHeight="1" thickBot="1">
      <c r="A271" s="509">
        <v>262</v>
      </c>
      <c r="B271" s="1538"/>
      <c r="C271" s="1539"/>
      <c r="D271" s="1540" t="s">
        <v>1036</v>
      </c>
      <c r="E271" s="1541"/>
      <c r="F271" s="1542"/>
      <c r="G271" s="1543"/>
      <c r="H271" s="1544"/>
      <c r="I271" s="1545">
        <f>#VALUE!</f>
        <v>6326</v>
      </c>
      <c r="J271" s="1545">
        <f>#VALUE!</f>
        <v>374976</v>
      </c>
      <c r="K271" s="1545">
        <f>#VALUE!</f>
        <v>495160</v>
      </c>
      <c r="L271" s="1545">
        <f>#VALUE!</f>
        <v>866302</v>
      </c>
      <c r="M271" s="1546"/>
    </row>
    <row r="272" spans="2:12" ht="18" customHeight="1">
      <c r="B272" s="1162" t="s">
        <v>27</v>
      </c>
      <c r="C272" s="1162"/>
      <c r="D272" s="1162"/>
      <c r="E272" s="505"/>
      <c r="F272" s="506"/>
      <c r="G272" s="505"/>
      <c r="H272" s="1163"/>
      <c r="I272" s="505"/>
      <c r="J272" s="505"/>
      <c r="K272" s="505"/>
      <c r="L272" s="505"/>
    </row>
    <row r="273" spans="2:12" ht="18" customHeight="1">
      <c r="B273" s="1162" t="s">
        <v>28</v>
      </c>
      <c r="C273" s="1162"/>
      <c r="D273" s="1162"/>
      <c r="E273" s="1164"/>
      <c r="F273" s="506"/>
      <c r="G273" s="505"/>
      <c r="H273" s="1163"/>
      <c r="I273" s="505"/>
      <c r="J273" s="505"/>
      <c r="K273" s="505"/>
      <c r="L273" s="505"/>
    </row>
    <row r="274" spans="2:12" ht="18" customHeight="1">
      <c r="B274" s="1162" t="s">
        <v>29</v>
      </c>
      <c r="C274" s="1162"/>
      <c r="D274" s="1162"/>
      <c r="E274" s="1164"/>
      <c r="F274" s="506"/>
      <c r="G274" s="505"/>
      <c r="H274" s="1163"/>
      <c r="I274" s="505"/>
      <c r="J274" s="505"/>
      <c r="K274" s="505"/>
      <c r="L274" s="505"/>
    </row>
  </sheetData>
  <sheetProtection/>
  <mergeCells count="15">
    <mergeCell ref="B1:Q1"/>
    <mergeCell ref="B268:G268"/>
    <mergeCell ref="B3:M3"/>
    <mergeCell ref="B4:M4"/>
    <mergeCell ref="B7:B9"/>
    <mergeCell ref="C7:C9"/>
    <mergeCell ref="D7:D9"/>
    <mergeCell ref="E7:E9"/>
    <mergeCell ref="F7:F9"/>
    <mergeCell ref="G7:G9"/>
    <mergeCell ref="H7:H9"/>
    <mergeCell ref="I7:L7"/>
    <mergeCell ref="M7:M9"/>
    <mergeCell ref="J8:K8"/>
    <mergeCell ref="L8:L9"/>
  </mergeCells>
  <printOptions horizontalCentered="1"/>
  <pageMargins left="0.1968503937007874" right="0.1968503937007874" top="0.5905511811023623" bottom="0.5905511811023623" header="0.31496062992125984" footer="0.31496062992125984"/>
  <pageSetup fitToHeight="0" horizontalDpi="600" verticalDpi="600" orientation="portrait" paperSize="9" scale="50"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Schumacher Judit</dc:creator>
  <cp:keywords/>
  <dc:description/>
  <cp:lastModifiedBy>Szabó Balázs</cp:lastModifiedBy>
  <cp:lastPrinted>2021-04-22T10:10:57Z</cp:lastPrinted>
  <dcterms:created xsi:type="dcterms:W3CDTF">2015-02-11T07:38:58Z</dcterms:created>
  <dcterms:modified xsi:type="dcterms:W3CDTF">2021-05-04T13:40:21Z</dcterms:modified>
  <cp:category/>
  <cp:version/>
  <cp:contentType/>
  <cp:contentStatus/>
</cp:coreProperties>
</file>