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tabRatio="934" activeTab="0"/>
  </bookViews>
  <sheets>
    <sheet name="1.Onbe" sheetId="1" r:id="rId1"/>
    <sheet name="1.A Norm" sheetId="2" state="hidden" r:id="rId2"/>
    <sheet name="2.Onki" sheetId="3" r:id="rId3"/>
    <sheet name="3.Inbe " sheetId="4" r:id="rId4"/>
    <sheet name="3.A Inbe" sheetId="5" state="hidden" r:id="rId5"/>
    <sheet name="4.Inki" sheetId="6" r:id="rId6"/>
    <sheet name="5.Infelhki" sheetId="7" r:id="rId7"/>
    <sheet name="6.Önk.műk." sheetId="8" r:id="rId8"/>
    <sheet name="6.A Alapítv" sheetId="9" r:id="rId9"/>
    <sheet name="7.Beruh." sheetId="10" r:id="rId10"/>
    <sheet name="8.Felúj." sheetId="11" r:id="rId11"/>
    <sheet name="9.Projekt" sheetId="12" r:id="rId12"/>
    <sheet name="10.MVP és hazai" sheetId="13" r:id="rId13"/>
    <sheet name="11.EKF" sheetId="14" r:id="rId14"/>
    <sheet name="12.Mérleg" sheetId="15" r:id="rId15"/>
    <sheet name="13.Hitel" sheetId="16" r:id="rId16"/>
    <sheet name="14.EU" sheetId="17" r:id="rId17"/>
  </sheets>
  <definedNames>
    <definedName name="_4._sz._sor_részletezése" localSheetId="1">#REF!</definedName>
    <definedName name="_4._sz._sor_részletezése" localSheetId="0">#REF!</definedName>
    <definedName name="_4._sz._sor_részletezése" localSheetId="12">#REF!</definedName>
    <definedName name="_4._sz._sor_részletezése" localSheetId="13">#REF!</definedName>
    <definedName name="_4._sz._sor_részletezése" localSheetId="16">#REF!</definedName>
    <definedName name="_4._sz._sor_részletezése" localSheetId="6">#REF!</definedName>
    <definedName name="_4._sz._sor_részletezése" localSheetId="8">#REF!</definedName>
    <definedName name="_4._sz._sor_részletezése" localSheetId="9">#REF!</definedName>
    <definedName name="_4._sz._sor_részletezése" localSheetId="10">#REF!</definedName>
    <definedName name="_4._sz._sor_részletezése" localSheetId="11">#REF!</definedName>
    <definedName name="_4._sz._sor_részletezése">#REF!</definedName>
    <definedName name="_xlnm.Print_Titles" localSheetId="0">'1.Onbe'!$5:$7</definedName>
    <definedName name="_xlnm.Print_Titles" localSheetId="12">'10.MVP és hazai'!$5:$9</definedName>
    <definedName name="_xlnm.Print_Titles" localSheetId="13">'11.EKF'!$5:$9</definedName>
    <definedName name="_xlnm.Print_Titles" localSheetId="16">'14.EU'!$6:$10</definedName>
    <definedName name="_xlnm.Print_Titles" localSheetId="2">'2.Onki'!$5:$7</definedName>
    <definedName name="_xlnm.Print_Titles" localSheetId="4">'3.A Inbe'!$5:$8</definedName>
    <definedName name="_xlnm.Print_Titles" localSheetId="3">'3.Inbe '!$5:$8</definedName>
    <definedName name="_xlnm.Print_Titles" localSheetId="5">'4.Inki'!$5:$8</definedName>
    <definedName name="_xlnm.Print_Titles" localSheetId="6">'5.Infelhki'!$5:$8</definedName>
    <definedName name="_xlnm.Print_Titles" localSheetId="8">'6.A Alapítv'!$6:$9</definedName>
    <definedName name="_xlnm.Print_Titles" localSheetId="7">'6.Önk.műk.'!$5:$8</definedName>
    <definedName name="_xlnm.Print_Titles" localSheetId="9">'7.Beruh.'!$5:$9</definedName>
    <definedName name="_xlnm.Print_Titles" localSheetId="10">'8.Felúj.'!$5:$9</definedName>
    <definedName name="_xlnm.Print_Titles" localSheetId="11">'9.Projekt'!$5:$9</definedName>
    <definedName name="_xlnm.Print_Area" localSheetId="1">'1.A Norm'!$A$1:$G$44</definedName>
    <definedName name="_xlnm.Print_Area" localSheetId="0">'1.Onbe'!$A$1:$L$65</definedName>
    <definedName name="_xlnm.Print_Area" localSheetId="12">'10.MVP és hazai'!$A$1:$P$88</definedName>
    <definedName name="_xlnm.Print_Area" localSheetId="13">'11.EKF'!$A$1:$Q$145</definedName>
    <definedName name="_xlnm.Print_Area" localSheetId="14">'12.Mérleg'!$A$1:$K$39</definedName>
    <definedName name="_xlnm.Print_Area" localSheetId="16">'14.EU'!$A$1:$Z$48</definedName>
    <definedName name="_xlnm.Print_Area" localSheetId="2">'2.Onki'!$A$1:$L$41</definedName>
    <definedName name="_xlnm.Print_Area" localSheetId="4">'3.A Inbe'!$A$1:$H$30</definedName>
    <definedName name="_xlnm.Print_Area" localSheetId="3">'3.Inbe '!$A$1:$O$132</definedName>
    <definedName name="_xlnm.Print_Area" localSheetId="5">'4.Inki'!$A$1:$R$252</definedName>
    <definedName name="_xlnm.Print_Area" localSheetId="6">'5.Infelhki'!$A$1:$K$184</definedName>
    <definedName name="_xlnm.Print_Area" localSheetId="8">'6.A Alapítv'!$A$1:$C$56</definedName>
    <definedName name="_xlnm.Print_Area" localSheetId="7">'6.Önk.műk.'!$A$1:$N$611</definedName>
    <definedName name="_xlnm.Print_Area" localSheetId="9">'7.Beruh.'!$A$1:$M$204</definedName>
    <definedName name="_xlnm.Print_Area" localSheetId="10">'8.Felúj.'!$A$1:$L$58</definedName>
    <definedName name="_xlnm.Print_Area" localSheetId="11">'9.Projekt'!$A$1:$P$121</definedName>
  </definedNames>
  <calcPr fullCalcOnLoad="1"/>
</workbook>
</file>

<file path=xl/comments12.xml><?xml version="1.0" encoding="utf-8"?>
<comments xmlns="http://schemas.openxmlformats.org/spreadsheetml/2006/main">
  <authors>
    <author>Eckert Szilvia</author>
  </authors>
  <commentList>
    <comment ref="E7" authorId="0">
      <text>
        <r>
          <rPr>
            <b/>
            <sz val="9"/>
            <rFont val="Tahoma"/>
            <family val="2"/>
          </rPr>
          <t>Eckert Szilvia:</t>
        </r>
        <r>
          <rPr>
            <sz val="9"/>
            <rFont val="Tahoma"/>
            <family val="2"/>
          </rPr>
          <t xml:space="preserve">
Hivatalt és intézményeket is beletegyük?</t>
        </r>
      </text>
    </comment>
  </commentList>
</comments>
</file>

<file path=xl/sharedStrings.xml><?xml version="1.0" encoding="utf-8"?>
<sst xmlns="http://schemas.openxmlformats.org/spreadsheetml/2006/main" count="2906" uniqueCount="969">
  <si>
    <t>adatok eFt-ban</t>
  </si>
  <si>
    <t>A</t>
  </si>
  <si>
    <t>C</t>
  </si>
  <si>
    <t>B</t>
  </si>
  <si>
    <t>D</t>
  </si>
  <si>
    <t>E</t>
  </si>
  <si>
    <t>Megnevezés</t>
  </si>
  <si>
    <t>Temetők üzemeltetésével kapcsolatos feladatok</t>
  </si>
  <si>
    <t>Parkfenntartás</t>
  </si>
  <si>
    <t>Köztisztasági feladatok</t>
  </si>
  <si>
    <t>Városi kiemelt fesztiválok</t>
  </si>
  <si>
    <t>Városi lap kiadásai</t>
  </si>
  <si>
    <t>Kitüntetések</t>
  </si>
  <si>
    <t>MINDÖSSZESEN:</t>
  </si>
  <si>
    <t>Veszprém Megyei Jogú Város Önkormányzata</t>
  </si>
  <si>
    <t>F</t>
  </si>
  <si>
    <t>G</t>
  </si>
  <si>
    <t>H</t>
  </si>
  <si>
    <t>Cím</t>
  </si>
  <si>
    <t>Alcím</t>
  </si>
  <si>
    <t>Feladatellátás jellege*</t>
  </si>
  <si>
    <t>Teljes költség</t>
  </si>
  <si>
    <t>K</t>
  </si>
  <si>
    <t>NK</t>
  </si>
  <si>
    <t>Eötvös Károly Megyei Könyvtár</t>
  </si>
  <si>
    <t>VMJV Polgármesteri Hivatal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</si>
  <si>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</si>
  <si>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</si>
  <si>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</si>
  <si>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J</t>
  </si>
  <si>
    <t>Önkormányzati beruházási kiadások</t>
  </si>
  <si>
    <t>Laczkó Dezső Múzeum</t>
  </si>
  <si>
    <t>Informatikai kiadások</t>
  </si>
  <si>
    <t>I</t>
  </si>
  <si>
    <t>L</t>
  </si>
  <si>
    <t>M</t>
  </si>
  <si>
    <t>Működési költségvetési kiadások</t>
  </si>
  <si>
    <t>Személyi juttatások</t>
  </si>
  <si>
    <t>Munk.a. terh. jár. és szoc.hj.adó</t>
  </si>
  <si>
    <t>Dologi kiadások</t>
  </si>
  <si>
    <t>Egyéb működési kiadások</t>
  </si>
  <si>
    <t>Nemzeti ünnepek kiadásaira</t>
  </si>
  <si>
    <t>Nemzetközi kapcsolatok</t>
  </si>
  <si>
    <t>Marketing tevékenység, marketing stratégia</t>
  </si>
  <si>
    <t>ebből: - Veszprémi Ünnepi Játékok</t>
  </si>
  <si>
    <t xml:space="preserve">          - Gizella Napok</t>
  </si>
  <si>
    <t xml:space="preserve">          - Tánc Fesztivál </t>
  </si>
  <si>
    <t xml:space="preserve">          - Veszprémi Utcazene Fesztivál</t>
  </si>
  <si>
    <t xml:space="preserve">          - Auer Hegedűfesztivál</t>
  </si>
  <si>
    <t>Eseti rendezvények</t>
  </si>
  <si>
    <t>Köztéri szobrok, emléktáblák, lektorátus</t>
  </si>
  <si>
    <t>I. Világháborús Centenáriumi Emlékezés költségei</t>
  </si>
  <si>
    <t>Kiadványok, folyóiratok támogatása</t>
  </si>
  <si>
    <t>Méz Rádió támogatása</t>
  </si>
  <si>
    <t>ebből: - Mendelssohn Kamarazenekar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</si>
  <si>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</si>
  <si>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</si>
  <si>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</si>
  <si>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</si>
  <si>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Sziveri János Intézet működtetése</t>
  </si>
  <si>
    <t>Filharmónia koncertek támogatás</t>
  </si>
  <si>
    <t>Tanórán kívüli tevékenység támogatása</t>
  </si>
  <si>
    <t>Verseny és élsport</t>
  </si>
  <si>
    <t>Sportpálya fenntartás, ill. fenntartói tám.</t>
  </si>
  <si>
    <t>Sportcélok és feladatok (sportigazgatás)</t>
  </si>
  <si>
    <t>Szabadidő- és diáksport</t>
  </si>
  <si>
    <t>Polgármesteri keret</t>
  </si>
  <si>
    <t>Városi civil keret</t>
  </si>
  <si>
    <t xml:space="preserve"> ebből : - Nyugdíjas szervezetek számára pályázati keret</t>
  </si>
  <si>
    <t xml:space="preserve">            - Pályázati keret</t>
  </si>
  <si>
    <t>Köztemetés</t>
  </si>
  <si>
    <t xml:space="preserve">Közcélú és közhasznú foglalkoztatás </t>
  </si>
  <si>
    <t>Települési szilárdhulladék szállítás ártámogatás</t>
  </si>
  <si>
    <t>Máltai Szeretetszolgálatnak pénzeszköz átadás (ellátási szerződés)</t>
  </si>
  <si>
    <t>Lelkisegély szolgálat</t>
  </si>
  <si>
    <t>Hittudományi Főiskola támogatása</t>
  </si>
  <si>
    <t>Foglalkoztatás eü. szolg.</t>
  </si>
  <si>
    <t>Munkavédelmi feladatok</t>
  </si>
  <si>
    <t>Közbeszerzési eljárások költségei</t>
  </si>
  <si>
    <t xml:space="preserve">Önkormányzat igazgatási tevékenysége </t>
  </si>
  <si>
    <t>Igazgatás - Állam felé befizetési kötelezettség</t>
  </si>
  <si>
    <t>ÁFA befizetés</t>
  </si>
  <si>
    <t>Kamatkiadások</t>
  </si>
  <si>
    <t>Városi Közbiztonság Keret</t>
  </si>
  <si>
    <t>Nem lakáscélú helyiségek üzemeltetési költségei</t>
  </si>
  <si>
    <t>Közüzemi Zrt. jutaléka</t>
  </si>
  <si>
    <t>Városi TV közszolgálati műsorok támogatása</t>
  </si>
  <si>
    <t>Kittenberger K. Növény- és Vadaspark KHT működéséhez hozzájárulás</t>
  </si>
  <si>
    <t>Peres ügyek, Kártérítési díjak kifizetése ingatlantulajdonosok részére</t>
  </si>
  <si>
    <t>Jutasi úti műfüves pálya fenntartása (LUC)</t>
  </si>
  <si>
    <t>Többfunkciós csarnok szolgált. vásárlás</t>
  </si>
  <si>
    <t>TDM Irodától szolgáltatás vásárlása</t>
  </si>
  <si>
    <t>Programiroda szolgáltatás vásárlás</t>
  </si>
  <si>
    <t>Településfejlesztési feladatok</t>
  </si>
  <si>
    <t>Rekultivációt megelőző telephely fenntartási költség</t>
  </si>
  <si>
    <t>Aluljárók csapadékvíz átemelőinek üzemeltetése</t>
  </si>
  <si>
    <t>Szökőkutak, ivókutak szolgáltatási díjai</t>
  </si>
  <si>
    <t>Városgazdálkodási szolg.</t>
  </si>
  <si>
    <t>Közvilágítás</t>
  </si>
  <si>
    <t>Közműalagút működtetése</t>
  </si>
  <si>
    <t>Környezetvédelmi feladat (Városüzemeltetés feladatai)</t>
  </si>
  <si>
    <t>Környezetvédelmi feladat (Közigazgatási Iroda feladatai)</t>
  </si>
  <si>
    <t>Nemzetiségi önkormányzatok kiadásai:</t>
  </si>
  <si>
    <t xml:space="preserve"> ebből: - Roma Nemzetiségi Önkormányzat</t>
  </si>
  <si>
    <t>- Német Nemzetiségi Önkormányzat</t>
  </si>
  <si>
    <t>- Örmény Nemzetiségi Önkormányzat</t>
  </si>
  <si>
    <t>- Lengyel Nemzetiségi Önkormányzat</t>
  </si>
  <si>
    <t>- Ukrán Nemzetiségi Önkormányzat</t>
  </si>
  <si>
    <t>Választókerületi keretből civil szervezetek támogatása</t>
  </si>
  <si>
    <t>Ebből: Önkormányzat által ellátott kötelező feladatok összesen:</t>
  </si>
  <si>
    <t>Ebből: Önkormányzat által ellátott önként vállalt feladatok összesen:</t>
  </si>
  <si>
    <t>KIMUTATÁS</t>
  </si>
  <si>
    <t>Módosítás</t>
  </si>
  <si>
    <t>Göllesz Viktor Fogyatékos Személyek Nappali Intézménye</t>
  </si>
  <si>
    <t>VMJV Önkormányzata</t>
  </si>
  <si>
    <t>Összesen</t>
  </si>
  <si>
    <t>1.</t>
  </si>
  <si>
    <t>Iparűzési adó</t>
  </si>
  <si>
    <t>Építményadó</t>
  </si>
  <si>
    <t>Telekadó</t>
  </si>
  <si>
    <t>Kommunális adó</t>
  </si>
  <si>
    <t>Idegenforgalmi adó</t>
  </si>
  <si>
    <t>Gépjárműadó</t>
  </si>
  <si>
    <t>2.</t>
  </si>
  <si>
    <t>3.</t>
  </si>
  <si>
    <t>4.</t>
  </si>
  <si>
    <t>5.</t>
  </si>
  <si>
    <t>Veszprém Megyei Jogú Város Önkormányzata Intézményei</t>
  </si>
  <si>
    <t>Működési költségvetési bevételek</t>
  </si>
  <si>
    <t>Felhalmozási költségvetési bevételek</t>
  </si>
  <si>
    <t>Irányító szervtől kapott támogatás</t>
  </si>
  <si>
    <t>Működési bevételek</t>
  </si>
  <si>
    <t>Működési célú támogatás Áht-on belülről</t>
  </si>
  <si>
    <t>Működési célú átvett pénzeszköz</t>
  </si>
  <si>
    <t>Felhalmozási bevétel</t>
  </si>
  <si>
    <t>Felhalmozási célú támogatás Áht.-on belülről</t>
  </si>
  <si>
    <t>Felhalmozási célú átvett pénzeszköz</t>
  </si>
  <si>
    <t>Közcélú és közhasznú foglalkoztatás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</si>
  <si>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</si>
  <si>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</si>
  <si>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</si>
  <si>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</si>
  <si>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Veszprémi Petőfi Színház</t>
  </si>
  <si>
    <t>INTÉZMÉNYEK ÖSSZESEN:</t>
  </si>
  <si>
    <t>VMJV Polgármesteri Hivatal által ellátott kötelező és önként vállalt feladatok</t>
  </si>
  <si>
    <t>N</t>
  </si>
  <si>
    <t>O</t>
  </si>
  <si>
    <t>P</t>
  </si>
  <si>
    <t>Felhalmozási költségvetési kiadások</t>
  </si>
  <si>
    <t>Egyéb felhalmozási célú kiadások</t>
  </si>
  <si>
    <t>Igazgatási tevékenység</t>
  </si>
  <si>
    <t>Gondnokság</t>
  </si>
  <si>
    <t>Ebből:</t>
  </si>
  <si>
    <t>Önkormányzati kötelező feladatokat ellátó intézmények összesen</t>
  </si>
  <si>
    <t>Önkormányzat által önként vállalt feladatokat ellátó intézmények összesen</t>
  </si>
  <si>
    <t>VMJV Polgármesteri Hivatal által ellátott kötelező és államigazgatási feladatok összesen</t>
  </si>
  <si>
    <t>Veszprém Megyei Jogú Város Önkormányzatának</t>
  </si>
  <si>
    <t>Működési célú támogatások Áht-on belülről</t>
  </si>
  <si>
    <t>Önkormányzatok működési támogatásai</t>
  </si>
  <si>
    <t>Működési célú költségvetési támogatások és kiegészítő támogatások</t>
  </si>
  <si>
    <t>Egyéb működési célú támogatások bevételei</t>
  </si>
  <si>
    <t>ebből: Társadalombizt. Alapból származó támogatás</t>
  </si>
  <si>
    <t>Önkormányzati Intézmények  működési célú támogatások Áht-on belülről</t>
  </si>
  <si>
    <t>Közhatalmi bevételek</t>
  </si>
  <si>
    <t>Adók</t>
  </si>
  <si>
    <t>Egyéb pótlékok, bírságok</t>
  </si>
  <si>
    <t>Egyéb közhatalmi bevételek (bírságok, igazgatási szolgáltatási díjak)</t>
  </si>
  <si>
    <t>Önkormányzati Intézmények működési bevételek</t>
  </si>
  <si>
    <t>Működési célú átvett pénzeszközök</t>
  </si>
  <si>
    <t>Önkormányzati Intézmények működési célú átvett pénzeszközök</t>
  </si>
  <si>
    <t>Felhalmozási célú támogatások Áht-on belülről</t>
  </si>
  <si>
    <t>Felhalmozási célú önkormányzati támogatások</t>
  </si>
  <si>
    <t>Egyéb felhalmozási célú támogatások bevételei</t>
  </si>
  <si>
    <t>Önkormányzati Intézmények felhalmozási célú támogatások Áht-on belülről</t>
  </si>
  <si>
    <t>Felhalmozási bevételek</t>
  </si>
  <si>
    <t>Ingatlanok értékesítése</t>
  </si>
  <si>
    <t>Önkormányzati Intézmények felhalmozási bevételei</t>
  </si>
  <si>
    <t>Felhalmozási célú átvett pénzeszközök</t>
  </si>
  <si>
    <t>Önkormányzati Intézmények felhalmozási célú átvett pénzeszközök</t>
  </si>
  <si>
    <t>Lakásalap</t>
  </si>
  <si>
    <t>Költségvetési bevételek összesen</t>
  </si>
  <si>
    <t>Költségvetési egyenleg összege</t>
  </si>
  <si>
    <t>Finanszírozási bevételek</t>
  </si>
  <si>
    <t>Intézmények</t>
  </si>
  <si>
    <t>VMJV Polgármesteri Hivatala</t>
  </si>
  <si>
    <t>Beruházási hitelfelvétel</t>
  </si>
  <si>
    <t>Előző évi hitelszerződéseken alapuló felvétel</t>
  </si>
  <si>
    <t>Bevételi főösszeg</t>
  </si>
  <si>
    <t xml:space="preserve">Cím  </t>
  </si>
  <si>
    <t>Intézményi költségvetési kiadások</t>
  </si>
  <si>
    <t>Céltartalékok</t>
  </si>
  <si>
    <t>Általános tartalék</t>
  </si>
  <si>
    <t>Lakásalap kiadása</t>
  </si>
  <si>
    <t>Költségvetési kiadások összesen</t>
  </si>
  <si>
    <t>Finanszírozási kiadások</t>
  </si>
  <si>
    <t>Működési finanszírozási kiadások</t>
  </si>
  <si>
    <t>Felhalmozási finanszírozási kiadások</t>
  </si>
  <si>
    <t xml:space="preserve"> - Hiteltörlesztés</t>
  </si>
  <si>
    <t xml:space="preserve"> - Lakásalap hiteltörlesztése</t>
  </si>
  <si>
    <t>Kiadási főösszeg</t>
  </si>
  <si>
    <t>VESZPRÉM MEGYEI JOGÚ VÁROS ÖNKORMÁNYZATÁNAK MŰKÖDÉSI ÉS FELHALMOZÁSI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</si>
  <si>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</si>
  <si>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</si>
  <si>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</si>
  <si>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</si>
  <si>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Ellátottak pénzbeli juttatásai</t>
  </si>
  <si>
    <t>Egyéb működési célú kiadások (tartalékok nélkül)</t>
  </si>
  <si>
    <t>6.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</si>
  <si>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</si>
  <si>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</si>
  <si>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</si>
  <si>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</si>
  <si>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</si>
  <si>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</si>
  <si>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</si>
  <si>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</si>
  <si>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</si>
  <si>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</si>
  <si>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</si>
  <si>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</si>
  <si>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</si>
  <si>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</si>
  <si>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</si>
  <si>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</si>
  <si>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</si>
  <si>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</si>
  <si>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</si>
  <si>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</si>
  <si>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</si>
  <si>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ebből működési:</t>
  </si>
  <si>
    <t>ebből felhalmozási: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</si>
  <si>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</si>
  <si>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</si>
  <si>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</si>
  <si>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</si>
  <si>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</si>
  <si>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</si>
  <si>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Kiemelt művészeti együttesek támogatása</t>
  </si>
  <si>
    <t>Swing-Swing Kft. Szolgáltatás vásárlás</t>
  </si>
  <si>
    <t>Bérleményekkel, haszonbérletekkel kapcsolatos feladatok</t>
  </si>
  <si>
    <t>Csapadékcsatornák üzemeltetési szolgáltatásai</t>
  </si>
  <si>
    <t>Felhalmozási célú átvett pénzeszközök (kölcsönök visszatérülése)</t>
  </si>
  <si>
    <t>Felhalmozási célú költségvetési maradvány igénybevétele</t>
  </si>
  <si>
    <t>Működési célú  költségvetési maradvány igénybevétele</t>
  </si>
  <si>
    <t>Előző évi  költségvetési maradvány</t>
  </si>
  <si>
    <t>Államháztartáson belüli megelőlegezések</t>
  </si>
  <si>
    <t>Államháztartáson belüli megelőlegezések visszafizetése</t>
  </si>
  <si>
    <t>Veszprémi Ringató Körzeti Óvoda</t>
  </si>
  <si>
    <t>Veszprémi Egry úti Körzeti Óvoda</t>
  </si>
  <si>
    <t>Veszprémi Csillag úti Körzeti Óvoda</t>
  </si>
  <si>
    <t>Veszprémi Kastélykert Körzeti Óvoda</t>
  </si>
  <si>
    <t>Veszprémi Intézményi Szolgáltató Szervezet</t>
  </si>
  <si>
    <t>Nyári diákmunka</t>
  </si>
  <si>
    <t>Pannon Várszínház támogatás</t>
  </si>
  <si>
    <t>Végleges forgalomba helyezéshez szükséges ingatlanrendezés</t>
  </si>
  <si>
    <t>Pápai u.-Jutasi u. belső krt mellékkötelezettségek</t>
  </si>
  <si>
    <t>Városi rendezvények</t>
  </si>
  <si>
    <t>SÉD folyóirat költségei</t>
  </si>
  <si>
    <t>M.J.V.SZ. tám. Kárpátalja megsegítésére</t>
  </si>
  <si>
    <t>ebből:  - Lélektér Alapítvány</t>
  </si>
  <si>
    <t xml:space="preserve">           - Tanulmányi ösztöndíj</t>
  </si>
  <si>
    <t xml:space="preserve">           - Fiatalok napja rendezvény</t>
  </si>
  <si>
    <t>Lakbértámogatás</t>
  </si>
  <si>
    <t>Települési támogatások</t>
  </si>
  <si>
    <t>Parkolók üzemeltetési költsége</t>
  </si>
  <si>
    <t>ebből: - Vár Ucca Műhely támogatása</t>
  </si>
  <si>
    <t xml:space="preserve">          - Veszprémi Szemle Várostörténeti Közhasznú Alapítvány Támogatása</t>
  </si>
  <si>
    <t>ebből:  - Rendkívüli támogatás</t>
  </si>
  <si>
    <t>Egészségügyi feladatok ellátását szolgáló ingatlanrész bérleti díja és rezsiköltségek</t>
  </si>
  <si>
    <t>Szolgáltatások, közvetített szolgáltatások ellenértéke</t>
  </si>
  <si>
    <t>Tulajdonosi bevételek</t>
  </si>
  <si>
    <t>ÁFA bevételek és visszatérülések</t>
  </si>
  <si>
    <t xml:space="preserve">Egyéb működési  bevételek </t>
  </si>
  <si>
    <t>Helyi önkormányzatok működésének általános  és ágazati feladataihoz kapcsolódó támogatás</t>
  </si>
  <si>
    <t>Költségvetési hiány belső finanszírozására szolgáló bevételek</t>
  </si>
  <si>
    <t>Költségvetési hiány külső finanszírozására szolgáló bevételek</t>
  </si>
  <si>
    <t>Feladatellátás jellege</t>
  </si>
  <si>
    <t>Egyéb városüzemeltetési feladatok</t>
  </si>
  <si>
    <t>VKSZ Zrt. által ellátott városüzemeltetési feladatok</t>
  </si>
  <si>
    <t>VKSZ Zrt. által ellátott intézményüzemeltetési feladatok</t>
  </si>
  <si>
    <t>Intézményi működtetők költsége</t>
  </si>
  <si>
    <t>Szenvedélybetegek ellátásának működési kiadásaihoz támogatás</t>
  </si>
  <si>
    <t>Költségvetési maradvány</t>
  </si>
  <si>
    <t>eredeti előirányzat</t>
  </si>
  <si>
    <t>(Hársfa Tagóvoda, Bóbita Óvoda)</t>
  </si>
  <si>
    <t>Veszprémi Bóbita Körzeti Óvoda</t>
  </si>
  <si>
    <t>Veszprémi Vadvirág Körzeti Óvoda</t>
  </si>
  <si>
    <t>Bérlakások üzemeltetési költségei</t>
  </si>
  <si>
    <t>Veszprém Megyei Jogú Város Önkormányzata által</t>
  </si>
  <si>
    <t>Támogatás összege</t>
  </si>
  <si>
    <t>17</t>
  </si>
  <si>
    <t>Vagyongazdálkodással és ingatlanhasznosítással összefüggő fel. (Földhivatali eljárások, vagyonértékelés)</t>
  </si>
  <si>
    <t>Alapítvány / egyesület / civil szervezet / társadalmi szervezet megnevezése</t>
  </si>
  <si>
    <t>Gizella Múzeum támogatása</t>
  </si>
  <si>
    <t>(Csillagvár Waldorf Tagóvoda, Vadvirág Óvoda)</t>
  </si>
  <si>
    <t>Q</t>
  </si>
  <si>
    <t>Veszprémi Bölcsődei és Egészségügyi Alapellátási Integrált Intézmény</t>
  </si>
  <si>
    <t xml:space="preserve"> - Gizella Kórus/Dowland Alapítvány</t>
  </si>
  <si>
    <t xml:space="preserve">Központi orvosi ügyelet </t>
  </si>
  <si>
    <t>ELENA projekt előkészítési feladatokra konzorciumi hozzájárulás</t>
  </si>
  <si>
    <t xml:space="preserve">           - Veszprémi Ifjúsági Közalapítvány</t>
  </si>
  <si>
    <t>Mendelssohn Kamarazenekar</t>
  </si>
  <si>
    <t xml:space="preserve"> Európai Uniós forrásból finanszírozott támogatással megvalósuló programok, projektek bevételeiről és kiadásairól az Ávr. 24. § (1) bekezdés a.) és bd.) pontjainak megfelelően</t>
  </si>
  <si>
    <t>Program megnevezés</t>
  </si>
  <si>
    <t>Program megvalósításának ideje</t>
  </si>
  <si>
    <t>Saját erő</t>
  </si>
  <si>
    <t>EU támogatás összesen</t>
  </si>
  <si>
    <t>EU támogatás</t>
  </si>
  <si>
    <t>VMJV Önkormányzat</t>
  </si>
  <si>
    <t xml:space="preserve">Veszprémi Bóbita Körzeti Óvoda </t>
  </si>
  <si>
    <r>
      <t>Ebből</t>
    </r>
    <r>
      <rPr>
        <i/>
        <sz val="10"/>
        <rFont val="Palatino Linotype"/>
        <family val="1"/>
      </rPr>
      <t>: költségvetési támogatás</t>
    </r>
  </si>
  <si>
    <t>Veszprémi Vadvirág Körzeti Óvoda                                                (Csillagvár Waldorf Tagóvoda, Vadvirág Óvoda)</t>
  </si>
  <si>
    <t>Veszprémi Kastélykert Körzeti Óvoda                                       (Kastélykert Óvoda, Ficánka Óvoda)</t>
  </si>
  <si>
    <t xml:space="preserve">B </t>
  </si>
  <si>
    <t>Projekt forrás összetétel</t>
  </si>
  <si>
    <t>Projekt költség megbontás</t>
  </si>
  <si>
    <t>2016. évi            tény</t>
  </si>
  <si>
    <t>2016. évi                tény</t>
  </si>
  <si>
    <t>1-16</t>
  </si>
  <si>
    <t>a Veszprém Megyei Jogú Város Önkormányzata Támogatási Szerződéssel rendelkező</t>
  </si>
  <si>
    <t>Eü. Alapellátás</t>
  </si>
  <si>
    <t>Megyei Könyvtár kistelepülési könyvtári és közművelődési célú kiegészítő állami támogatás</t>
  </si>
  <si>
    <t>Gépkocsi gumiabroncs beszerzés</t>
  </si>
  <si>
    <t>Stadion üzemeltetése</t>
  </si>
  <si>
    <t>Városi ifjúsági keret</t>
  </si>
  <si>
    <t>Rendszeres gyermekvédelmi kedvezmény/pénzbeli ellátás</t>
  </si>
  <si>
    <t>Szünidei gyermekétkeztetés</t>
  </si>
  <si>
    <t xml:space="preserve">          - Lakásfenntartási támogatás </t>
  </si>
  <si>
    <t xml:space="preserve">          - Albérleti támogatás</t>
  </si>
  <si>
    <t xml:space="preserve">          - Temetési támogatás</t>
  </si>
  <si>
    <t xml:space="preserve">          - Térítési díj</t>
  </si>
  <si>
    <t xml:space="preserve">          - Gyógyszertámogatás</t>
  </si>
  <si>
    <t xml:space="preserve">         - Adósságcsökkentési támogatás</t>
  </si>
  <si>
    <t xml:space="preserve">         - Szünidei gyermekétkeztetés</t>
  </si>
  <si>
    <t>Nevelési szolgáltatás</t>
  </si>
  <si>
    <t>Német Nemzetiségi Önk. helységének bérleti díja</t>
  </si>
  <si>
    <t>Szolidaritási hozzájárulás</t>
  </si>
  <si>
    <t xml:space="preserve">Észak-Nyugati Közlekedési Központ Zrt. Helyi közösségi közlekedés közszolgáltatás és veszteségkiegyenlítés </t>
  </si>
  <si>
    <t>Térinformatikai rendszer adatfeltöltés, fakataszter</t>
  </si>
  <si>
    <t>TOP-6.4.1-15-VP1-2016-00001"Közlekedésbiztonsági és kerékpárosbarát fejlesztések megvalósulása Veszprém város területén"</t>
  </si>
  <si>
    <t>DAT térképfrissítés, földkönyv, közműnyilvántartás, GPS</t>
  </si>
  <si>
    <t>Hiány finanszírozása belső finanszírozásra szolgáló költségvetési bevétel összegével</t>
  </si>
  <si>
    <t>Hiány finanszírozása külső finanszírozásra szolgáló költségvetési bevétel összegével</t>
  </si>
  <si>
    <t>DTP1-1-311-2.2 Interreg Duna Nemzetközi Program Networld*</t>
  </si>
  <si>
    <t>KÖFOP-1.2.1-VEKOP-16-2017-01268, Veszprém Megyei Jogú Város Önkormányzata ASP Központhoz való csatlakozása</t>
  </si>
  <si>
    <t>Csillagvár Waldorf Tagóvoda</t>
  </si>
  <si>
    <t>Hársfa Tagóvoda</t>
  </si>
  <si>
    <t>Nárcisz Tagóvoda</t>
  </si>
  <si>
    <t>Cholnoky Jenő Ltp. Tagóvoda</t>
  </si>
  <si>
    <t>Ficánka Tagóvoda</t>
  </si>
  <si>
    <t>Hóvirág Bölcsőde</t>
  </si>
  <si>
    <t>Vackor Bölcsőde</t>
  </si>
  <si>
    <t>Aprófalvi Bölcsőde</t>
  </si>
  <si>
    <t>Módszertani Bölcsőde</t>
  </si>
  <si>
    <t>Fogorvosi körzeteknek működési hozzájárulás</t>
  </si>
  <si>
    <t>Fogorvosi körzetek részére pályázati alap</t>
  </si>
  <si>
    <t>Állatmenhelyek támogatása</t>
  </si>
  <si>
    <t>Helikoni Ünnepségek Keszthelyen (diákok nevezési díjai)</t>
  </si>
  <si>
    <t>Hatósági engedélyek beszerzése, hatályban tartása</t>
  </si>
  <si>
    <t>Gyulafirátót 10089/4 hrsz-ú ingatlan közműfejlesztési költségei</t>
  </si>
  <si>
    <t>TOP-6.3.3-16-VP1-2017-00001 Dózsaváros, Pápai úti csapadékvíz-elvezető rendszer fejlesztése</t>
  </si>
  <si>
    <t>EFOP-1.9.9-17-2017-00004 Még jobb kezekben - Veszprémben</t>
  </si>
  <si>
    <t>Veszprém, Pápai út 37. szám alatti ingatlanon munkásszállás kialakítása</t>
  </si>
  <si>
    <t>Gyulafirátót Németh u. útrekonstrukció I. ütem csapadékvíz elvezetés</t>
  </si>
  <si>
    <t>Török I.u. - Aulich összekötés</t>
  </si>
  <si>
    <t>Máltai Szeretetszolgálat</t>
  </si>
  <si>
    <t>Kulturális kínálat bővítés/ amatőr művészeti csoportok támogatása</t>
  </si>
  <si>
    <t>Veszprémi Kistérségi Társulásnak pénzeszköz átadás (Egyesített Szoc.Int.)</t>
  </si>
  <si>
    <t>Közutak, hidak fenntartása</t>
  </si>
  <si>
    <t xml:space="preserve"> - Viziközmű fejlesztés</t>
  </si>
  <si>
    <t>Művészetek Háza Veszprém Művelődési Ház és Kiállítóhely</t>
  </si>
  <si>
    <t>Kabóca Bábszínház</t>
  </si>
  <si>
    <t>2017. évi tény</t>
  </si>
  <si>
    <t>TOP-6.6.1-16-VP1-2017-00002 Kádártai rendelő felújítása</t>
  </si>
  <si>
    <t>601835-CITIZ-1-2018-1-HU-CITIZ-NT Reveal YouropEaN Cultural Heritage/Tárd fel  európai kulturális örökségedet (ENriCH)</t>
  </si>
  <si>
    <t>TOP-6.4.1-15-VP1-2016-00001 Közlekedésbiztonsági és kerékpárosbarát fejlesztések megvalósulása Veszprém város területén</t>
  </si>
  <si>
    <t>Veszprémi Családsegítő és Gyermekjóléti Integrált Intézmény</t>
  </si>
  <si>
    <t>Agóra Veszprém Kulturális Központ</t>
  </si>
  <si>
    <t xml:space="preserve">Agóra Veszprém Kulturális Központ </t>
  </si>
  <si>
    <t>1-17</t>
  </si>
  <si>
    <t>18</t>
  </si>
  <si>
    <t>Napsugár Bölcsőde</t>
  </si>
  <si>
    <t>TOP-6.4.1-16-VP1-2018-00002 Kerékpárút építése Márkó-Bánd települések irányába</t>
  </si>
  <si>
    <t>Veszprém Város Vegyeskar utánpótlás/Dúdoló Kórus</t>
  </si>
  <si>
    <t>Oktatási intézmények támogatása</t>
  </si>
  <si>
    <t>Téli rezsicsökkentésben nem részesültek egyszeri támogatása</t>
  </si>
  <si>
    <t>VESZOL - Veszprém, Pápai u. 37. sz. munkásszálló működetési feladatai</t>
  </si>
  <si>
    <t>MVP Veszprémi Zeneművészeti Szakgimnázium és Alapfokú Művészeti Iskola intézményegysége, a Csermák Antal Zeneiskola felújításához tartozó költöztetési feladatok elvégzése</t>
  </si>
  <si>
    <t>TOP orvosi rendelők felújításához tartozó költöztetési munkák</t>
  </si>
  <si>
    <t>Felújításra kerülő bölcsődék költöztetési, eszközszállítási feladatai</t>
  </si>
  <si>
    <t>Infrastruktúra fejlesztési feladatokhoz kapcsolódó kiadások</t>
  </si>
  <si>
    <t>GINOP - 7.1.9-17-2018-00023 Veszprém kulturális turisztikai kínálatának fejlesztése</t>
  </si>
  <si>
    <t>Festő utca rekonstrukciója, tervezés</t>
  </si>
  <si>
    <t>Brusznyai Árpád Alapítvány támogatása</t>
  </si>
  <si>
    <t>Működési célú tartalékok</t>
  </si>
  <si>
    <t>Felhalmozási célú tartalékok</t>
  </si>
  <si>
    <t>Működési célú céltartalékok</t>
  </si>
  <si>
    <t>Felhalmozási célú céltartalékok</t>
  </si>
  <si>
    <t>R</t>
  </si>
  <si>
    <t>S</t>
  </si>
  <si>
    <t>URBACT Innova Tor</t>
  </si>
  <si>
    <t>Projekt teljes költség</t>
  </si>
  <si>
    <t>TOP-6.5.1-16-VP1-2018-00005 - Március 15. utcai Sportcsarnok és Uszoda energetikai megújítása</t>
  </si>
  <si>
    <t>TOP-6.5.1-16-VP1-2018-00002 Völgyikút utca 2. szám alatti épület energetikai megújítása</t>
  </si>
  <si>
    <t xml:space="preserve"> - Beruházási kiadásokra képzett céltartalék                     </t>
  </si>
  <si>
    <t xml:space="preserve"> - Intézményi beruházáshoz kapcsolódó létszámbővítés</t>
  </si>
  <si>
    <t xml:space="preserve">          - Beiskolázási támogatás</t>
  </si>
  <si>
    <t>2018. évi tény</t>
  </si>
  <si>
    <t>VMJV Polgármesteri Hivatal összesen:</t>
  </si>
  <si>
    <t>Veszprémi Bóbita Körzeti Óvoda                                                                    (Hársfa Tagóvoda, Bóbita Óvoda)</t>
  </si>
  <si>
    <t>Veszprémi Ringató Körzeti Óvoda                                                              (Ringató Óvoda, Erdei Tagóvoda, Kuckó Tagóvoda)</t>
  </si>
  <si>
    <t>Veszprémi Egry úti Körzeti Óvoda                                                                          (Egry ltp. Óvoda, Nárcisz Tagóvoda)</t>
  </si>
  <si>
    <t>Veszprémi Csillag úti Körzeti Óvoda                                                                   (Csillag úti Óvoda, Cholnoky ltp. Óvoda)</t>
  </si>
  <si>
    <t>Munk.a. terh. Jár. És szoc.hj.adó</t>
  </si>
  <si>
    <t>TOP-6.3.2-16-VP1-2018-00001 Kulturális negyed</t>
  </si>
  <si>
    <t>Egyéb működési célú kiadások</t>
  </si>
  <si>
    <t>Teljes költség*</t>
  </si>
  <si>
    <t>* Az intézményeknél kimutatott adatokat is tartalmazza</t>
  </si>
  <si>
    <t>Működési költségvetési                                                                         kiadások</t>
  </si>
  <si>
    <r>
      <rPr>
        <b/>
        <sz val="10"/>
        <rFont val="Palatino Linotype"/>
        <family val="1"/>
      </rPr>
      <t>TOP – 6.9.2 -16-VP1-2018-00001</t>
    </r>
    <r>
      <rPr>
        <sz val="10"/>
        <rFont val="Palatino Linotype"/>
        <family val="1"/>
      </rPr>
      <t xml:space="preserve"> Közösségfejlesztés Veszprém város településrészein</t>
    </r>
  </si>
  <si>
    <t>Európa Parlament tagjainak 2019. évi választása</t>
  </si>
  <si>
    <t>Helyi és nemzetiségi önkormányzati képviselők 2019. évi választása</t>
  </si>
  <si>
    <t xml:space="preserve"> - Működési kiadásokra képzett céltartalék</t>
  </si>
  <si>
    <t xml:space="preserve"> - Adóbevételekkel szembeni kötelezettség</t>
  </si>
  <si>
    <t>Óvodák összesen:</t>
  </si>
  <si>
    <t>Egészségügyi és szociális intézmények összesen:</t>
  </si>
  <si>
    <t>Kulturális és közművelődési intézmények összesen:</t>
  </si>
  <si>
    <t>TOP-6.6.1-16-VP1-2018-0003 "Jutasi u. 59. sz. alatti orvosi rendelők megújítása"</t>
  </si>
  <si>
    <t xml:space="preserve">Előir. csop. </t>
  </si>
  <si>
    <t>Kie-melt előir.</t>
  </si>
  <si>
    <t xml:space="preserve">Kie-melt előir. </t>
  </si>
  <si>
    <t xml:space="preserve"> Erdei és Kuckó Tagóvoda</t>
  </si>
  <si>
    <t>Önkormányzati működési kiadások</t>
  </si>
  <si>
    <t>INTÉZMÉNYEK BERUHÁZÁSI KIADÁSAI ÖSSZESEN:</t>
  </si>
  <si>
    <t>VMJV  Polgármesteri Hivatal beruházási kiadásai összesen:</t>
  </si>
  <si>
    <t>BERUHÁZÁSI KIADÁSOK MINDÖSSZESEN:</t>
  </si>
  <si>
    <t>TOP-6.5.1-16-VP1-2018-00004 Aprófalvi bölcsőde energetikai korszerűsítése</t>
  </si>
  <si>
    <t>TOP-6.5.1-16-VP1-2018-00006 Módszertani bölcsőde energetikai megújítása</t>
  </si>
  <si>
    <t>TOP-6.6.1-16-VP1-2018-00004 Vilonyai utca 2/B szám alatti orvosi rendelő megújítása</t>
  </si>
  <si>
    <t>TOP-6.6.1-16-VP1-2018-00005 Ördögárok u. 5. szám alatti orvosi rendelő megújítása</t>
  </si>
  <si>
    <t>TOP-6.1.5-16-VP1-2017-00001 Északi Iparterület Közlekedés-fejlesztése</t>
  </si>
  <si>
    <t>TOP-6.4.1-16-VP1-2018-00002 Márkó-Bánd települések irányába kerékpárút építése</t>
  </si>
  <si>
    <t>KEHOP-5.4.1-16-2016-00142 "Veszprém, az energiatudatos város"</t>
  </si>
  <si>
    <t xml:space="preserve">TOP-7.1.1-16-H-ERFA-2019-00078 Szent Miklós-szegi Kálvária domb és környékének infrastrukturális felújítása és funkcióbővítése </t>
  </si>
  <si>
    <t xml:space="preserve">Urbact Innova-tor </t>
  </si>
  <si>
    <t>"Scholl of Participation" - Creative Europe projekt</t>
  </si>
  <si>
    <t>"Ister DTP Interreg Projekt</t>
  </si>
  <si>
    <t>TOP-7.1.1-16-H-ERFA-2019-00372 Barátságparki csalánkert</t>
  </si>
  <si>
    <t>KEHOP-1.2.1-18-2019-00247 Veszprém MJV klímastratégia kidolgozása és klímatudatosságot erősítő, szemléletformáló programok megvalósítása</t>
  </si>
  <si>
    <t>Erasmus+ KA1 " Media of the Future</t>
  </si>
  <si>
    <t>Iparos Park</t>
  </si>
  <si>
    <t>Veszprémi Petőfi Színház komplex fejlesztése</t>
  </si>
  <si>
    <t>Kittenberger Kálmán Növény- és Vadaspark fejlesztése és bővítése</t>
  </si>
  <si>
    <t>Veszprémi Zeneművészeti Szakgimnázium és Alapfokú Művészeti Iskola intézményegysége, a Csermák Antal Zeneiskola felújításának megvalósítása</t>
  </si>
  <si>
    <t>Veszprémi új Városi Jégcsarnok építése</t>
  </si>
  <si>
    <t>Veszprémi Atlétikai Stadion felújítása - I. ütem</t>
  </si>
  <si>
    <t>Veszprémi Atlétikai Stadion megvalósítás - II. ütem</t>
  </si>
  <si>
    <t>MVP feladatok előkészítés költségei</t>
  </si>
  <si>
    <t>Beruházások közműdíjai</t>
  </si>
  <si>
    <t>Leégett párizsi Notre Dame Katedrális támogatása</t>
  </si>
  <si>
    <t>Csererdő csapadékvíz -tervezés</t>
  </si>
  <si>
    <t>6.vk. Gyalogátkelőhely tervezése (Ady E. u)</t>
  </si>
  <si>
    <t>Parkoló tervezése a Halle u.-i szám előtti területen</t>
  </si>
  <si>
    <t>Egry úti Óvoda újjáépítése miatt szükséges óvodai felújítások, konténer ovi telepítése</t>
  </si>
  <si>
    <t>Európa Kulturális Fővárosa II. ütem</t>
  </si>
  <si>
    <t>Működési kiadások</t>
  </si>
  <si>
    <t>Felhalmozási kiadások</t>
  </si>
  <si>
    <t>Vörösmarty tér tömbbelső fejlesztés, I. ütem (csapadékvíz elvezetés kiépítése) + II. ütem</t>
  </si>
  <si>
    <t>Kulturális negyed tervezése II. ütem</t>
  </si>
  <si>
    <t>Egry utcai óvoda új villamos és gáz betáp vezeték tervezése és kiépítése, villamos kapacitásbővítés</t>
  </si>
  <si>
    <t>Veszprém 0105/1 hrsz.alatti nem veszélyes hulladéklerakó részletes tényfeltárása</t>
  </si>
  <si>
    <t>Közvilágítás fejlesztése (Zrínyi Miklós utca és a Káposztáskert utca)</t>
  </si>
  <si>
    <t>Barátság park sport fejlesztések előkészítése, közmű ellátása</t>
  </si>
  <si>
    <t>CLLD - Városrészi közösségi és kulturális terek infrastrukturális felújítása, átépítése</t>
  </si>
  <si>
    <t>Járásszékhely múzeumok szakmai támogatása</t>
  </si>
  <si>
    <t>Káposztáskert utcai távközlési kábel áthelyezése és új kiépítése</t>
  </si>
  <si>
    <t>Magyar Kórusok találkozója</t>
  </si>
  <si>
    <t>Programiroda Kft. törzstőke emelés</t>
  </si>
  <si>
    <t xml:space="preserve">Programiroda Kft. tőketartalékba helyezés </t>
  </si>
  <si>
    <t>Swing-Swing Kft. törzstőke emelés</t>
  </si>
  <si>
    <t>Swing-Swing Kft. tőketartalékba helyezés</t>
  </si>
  <si>
    <t>Veszprém - Balaton 2023 Zrt. törzstőke emelés</t>
  </si>
  <si>
    <t>Veszprém - Balaton 2023 Zrt. tőketartalékba helyezés</t>
  </si>
  <si>
    <t xml:space="preserve">207/2019. (IX.26.) Közgy.h. GFT beruházás: Veszprém Séd 3. sz. kút bekötővezeték, Kút bekötése a települési hálózatba </t>
  </si>
  <si>
    <t>207/2019. (IX.26.) Közgy.h. GFT beruházás:  Veszprém Méhes utca, Támfal építéshez kapcsolódó ivóvíz-hálózat bővítés</t>
  </si>
  <si>
    <t xml:space="preserve">207/2019. (IX.26.) Közgy.h. GFT beruházás: Veszprém Reguly A. utca, Barnamezős beruházásokhoz kapcsolódóan ivóvízvezeték kapacitás bővítés </t>
  </si>
  <si>
    <t xml:space="preserve"> - Képviselői keret</t>
  </si>
  <si>
    <t>Gyulafirátóti Bölcsőde</t>
  </si>
  <si>
    <t>Védőnői Szolgálat</t>
  </si>
  <si>
    <r>
      <rPr>
        <b/>
        <sz val="10"/>
        <rFont val="Palatino Linotype"/>
        <family val="1"/>
      </rPr>
      <t xml:space="preserve">TOP – 6.9.2 -16-VP1-2018-00001 </t>
    </r>
    <r>
      <rPr>
        <sz val="10"/>
        <rFont val="Palatino Linotype"/>
        <family val="1"/>
      </rPr>
      <t>Közösségfejlesztés Veszprém város településrészein</t>
    </r>
  </si>
  <si>
    <r>
      <rPr>
        <b/>
        <sz val="10"/>
        <rFont val="Palatino Linotype"/>
        <family val="1"/>
      </rPr>
      <t xml:space="preserve">EFOP-4.1.9-16-2017-00014 </t>
    </r>
    <r>
      <rPr>
        <sz val="10"/>
        <rFont val="Palatino Linotype"/>
        <family val="1"/>
      </rPr>
      <t>A múzeumi és levéltári intézményrendszer tanulás segítő infrastrukturális fejlesztései -Laczkó Dezső Múzeumban oktatótermek és kiszolgáló helyiségek kialakítása</t>
    </r>
  </si>
  <si>
    <r>
      <rPr>
        <b/>
        <sz val="10"/>
        <rFont val="Palatino Linotype"/>
        <family val="1"/>
      </rPr>
      <t xml:space="preserve">EFOP-3.3.2-16-2016-00107 </t>
    </r>
    <r>
      <rPr>
        <sz val="10"/>
        <rFont val="Palatino Linotype"/>
        <family val="1"/>
      </rPr>
      <t>Kulturális intézmények a köznevelés eredményességéért</t>
    </r>
  </si>
  <si>
    <t>Közösség Kádártáért Egyesület</t>
  </si>
  <si>
    <t>Virágzó Veszprém Egyesület</t>
  </si>
  <si>
    <t>Lokálpatrióták a Városért Egyesület</t>
  </si>
  <si>
    <t>Veszprémi Kultúráért Közalapítvány (új kuratórium, könyvvizsgálat költségeire)</t>
  </si>
  <si>
    <t>Gerence Hagyományőrző Néptáncegyüttes támogatása</t>
  </si>
  <si>
    <t xml:space="preserve">            - Civil irodai szolgáltatások, civil ház</t>
  </si>
  <si>
    <t xml:space="preserve">            - Civil nap költségei</t>
  </si>
  <si>
    <t>Pszichiátriai betegek nappali ellátás ("Horgony" Pszichiátriai Betegekért Közhasznú Alapítvány)</t>
  </si>
  <si>
    <t>V-Busz Kft. 2019. évi ellentételezés</t>
  </si>
  <si>
    <t>Intézményi karbantartási költségek</t>
  </si>
  <si>
    <t>Intézményi közüzemi költségek</t>
  </si>
  <si>
    <t>Kolostorok és kertek működtetése</t>
  </si>
  <si>
    <t>Viziközmű vagyonértékelés költségei</t>
  </si>
  <si>
    <t>Köztéri Szobor Alap</t>
  </si>
  <si>
    <t>Endrődi Sándor emlékév programjaira</t>
  </si>
  <si>
    <t>Swing-Swing Kft. üzletrész vásárlás</t>
  </si>
  <si>
    <t>II. ütem összesen</t>
  </si>
  <si>
    <t>Kelet-nyugati gyűjtőút zajvédő létesítmény tervezése</t>
  </si>
  <si>
    <t>TOP-6.9.2-16-VP1-2018-00001 Közösségfejlesztés Veszprém város településrészein</t>
  </si>
  <si>
    <t xml:space="preserve">A  </t>
  </si>
  <si>
    <t>T</t>
  </si>
  <si>
    <t>2019. évi tény</t>
  </si>
  <si>
    <t>2018-2021</t>
  </si>
  <si>
    <t>2018-2019</t>
  </si>
  <si>
    <t>2019-2020</t>
  </si>
  <si>
    <t>2016-2021</t>
  </si>
  <si>
    <t>2017-2020</t>
  </si>
  <si>
    <t>2018-2020</t>
  </si>
  <si>
    <t>2016-2019</t>
  </si>
  <si>
    <t>2019-2021</t>
  </si>
  <si>
    <t>2019-2022</t>
  </si>
  <si>
    <t>Urbact Innova-tor *</t>
  </si>
  <si>
    <t>* Az Urbact Innova-tor támogatása a szerződésben €-ban van meghatározva, az átszámítás 316.39 Ft/EUR-val történt</t>
  </si>
  <si>
    <t>ebből: - Európa Kulturális Főváros II. ütem</t>
  </si>
  <si>
    <t>Projekthez kapcsolódó működési bevétel (ÁFA)</t>
  </si>
  <si>
    <t>Újjáépítésre kerülő óvodák költöztetési munkák</t>
  </si>
  <si>
    <t>Veszprémi Stadion gázellátása és villamos kapacitásbővítése</t>
  </si>
  <si>
    <t>Sportterület közmű-, út infrastruktúra fejlesztés</t>
  </si>
  <si>
    <t xml:space="preserve">          - Comitatus Társadalomkutató Egyesület - Comitatus Önkormányzati Szemle</t>
  </si>
  <si>
    <t>V-Busz Kft. szolgáltatás vásárlás</t>
  </si>
  <si>
    <t>**Az intézményeknél kimutatott adatokat is tartalmazza</t>
  </si>
  <si>
    <t>** Az intézményeknél kimutatott adatokat is tartalmazza</t>
  </si>
  <si>
    <t>2019. évi              tény</t>
  </si>
  <si>
    <t>2020. évi eredeti előirányzat</t>
  </si>
  <si>
    <t>2021. évi előirányzat</t>
  </si>
  <si>
    <t>ERASMUS+ Program</t>
  </si>
  <si>
    <t>2021. évi saját bevételei</t>
  </si>
  <si>
    <t>2019. évi           tény</t>
  </si>
  <si>
    <t>2021. évi  előirányzat</t>
  </si>
  <si>
    <t>2021. évi bevételi előirányzat</t>
  </si>
  <si>
    <t>2021. évi kiadási előirányzat</t>
  </si>
  <si>
    <t>Koronavírus elleni védekezés költségeire</t>
  </si>
  <si>
    <t>Népszámlálás 2021.</t>
  </si>
  <si>
    <t>KÖLTSÉGVETÉSI BEVÉTELEI ÉS KIADÁSAI 2021. ÉVBEN</t>
  </si>
  <si>
    <t>Klímaberendezés</t>
  </si>
  <si>
    <t>Ülő bútozat (aulába)</t>
  </si>
  <si>
    <t>Csoportszoba bútorzat</t>
  </si>
  <si>
    <t>Rönkbútor</t>
  </si>
  <si>
    <t>Fészekhinta állvánnyal</t>
  </si>
  <si>
    <t>Mosógép</t>
  </si>
  <si>
    <t>Informatikai eszközök beszerzése (laptop)</t>
  </si>
  <si>
    <t>Tárgyi eszközök beszerzése</t>
  </si>
  <si>
    <t>Fénymásológép</t>
  </si>
  <si>
    <t>Konyhai eszközök, gépek</t>
  </si>
  <si>
    <r>
      <t xml:space="preserve">Tárgyi eszközök beszerzése </t>
    </r>
    <r>
      <rPr>
        <i/>
        <sz val="10"/>
        <rFont val="Palatino Linotype"/>
        <family val="1"/>
      </rPr>
      <t>(ruhaállávnyok, szőnyegek, konyhai eszközök, informatikai eszközök, csúszdatest, telefon, porszívó, székek, ipari botmixer)</t>
    </r>
  </si>
  <si>
    <t>Csoportszoba bútor</t>
  </si>
  <si>
    <r>
      <t xml:space="preserve">Tárgyi eszközök beszerzése </t>
    </r>
    <r>
      <rPr>
        <i/>
        <sz val="10"/>
        <rFont val="Palatino Linotype"/>
        <family val="1"/>
      </rPr>
      <t>(homokozó ponyva, mobil fogadó egység, gőztisztító gép, szappanadagoló, tároló kosarak, hosszabítók, ruhafogas)</t>
    </r>
  </si>
  <si>
    <t>Száratós mosógép</t>
  </si>
  <si>
    <t xml:space="preserve">Tárgyi eszközök beszerzése </t>
  </si>
  <si>
    <t>Mozgásfejlesztő udvari játék (mászóvár)</t>
  </si>
  <si>
    <t>Öltözöszekrények</t>
  </si>
  <si>
    <r>
      <t>Tárgyi eszközök beszerzésére</t>
    </r>
    <r>
      <rPr>
        <i/>
        <sz val="10"/>
        <rFont val="Palatino Linotype"/>
        <family val="1"/>
      </rPr>
      <t xml:space="preserve"> (hangszóró, könyvállvány, hangszerkészlet, udvari faasztalok-székek, sőrpad garnítura, bluetooth hangszórók)</t>
    </r>
  </si>
  <si>
    <t>Elektromos főzőlap</t>
  </si>
  <si>
    <t>Kombinálható akadálypálya</t>
  </si>
  <si>
    <t>Légkonícionálók</t>
  </si>
  <si>
    <t>Tabletek</t>
  </si>
  <si>
    <t>Okostábla és tartóállvány</t>
  </si>
  <si>
    <r>
      <t>Tárgyi eszközök beszerzésére</t>
    </r>
    <r>
      <rPr>
        <i/>
        <sz val="10"/>
        <rFont val="Palatino Linotype"/>
        <family val="1"/>
      </rPr>
      <t xml:space="preserve"> (ventilátorok, vasaló, napvitorlák, függönyök, udvari fapadok, hangszerkészlet, sőrpad garnítura, bluetooth hangszórók)</t>
    </r>
  </si>
  <si>
    <t>Öltözőszekrények</t>
  </si>
  <si>
    <t>Udvari fajátékok</t>
  </si>
  <si>
    <r>
      <t xml:space="preserve">Tárgyi eszközök beszerzése </t>
    </r>
    <r>
      <rPr>
        <i/>
        <sz val="10"/>
        <rFont val="Palatino Linotype"/>
        <family val="1"/>
      </rPr>
      <t>(telefonok)</t>
    </r>
  </si>
  <si>
    <r>
      <t xml:space="preserve">Informatikai eszközök beszerzése </t>
    </r>
    <r>
      <rPr>
        <i/>
        <sz val="10"/>
        <rFont val="Palatino Linotype"/>
        <family val="1"/>
      </rPr>
      <t>(laptopok szoftverrel, nyomtató, telefon)</t>
    </r>
  </si>
  <si>
    <r>
      <t xml:space="preserve">Gyűjteménygyarapítás </t>
    </r>
    <r>
      <rPr>
        <i/>
        <sz val="10"/>
        <rFont val="Palatino Linotype"/>
        <family val="1"/>
      </rPr>
      <t>(pályázasthoz kapcsolódó)</t>
    </r>
  </si>
  <si>
    <t>Könyvtári könyvek, egyéb doc. (CD, DVD stb.) jogszabályi előírás szerint</t>
  </si>
  <si>
    <r>
      <t xml:space="preserve">Informatikai eszközök beszerzése </t>
    </r>
    <r>
      <rPr>
        <i/>
        <sz val="10"/>
        <rFont val="Palatino Linotype"/>
        <family val="1"/>
      </rPr>
      <t>(számítogépek)</t>
    </r>
  </si>
  <si>
    <t>Dózsavárosi könyvtár székek beszerzés</t>
  </si>
  <si>
    <r>
      <t xml:space="preserve">Tárgyi eszközök beszerzésére </t>
    </r>
    <r>
      <rPr>
        <i/>
        <sz val="10"/>
        <rFont val="Palatino Linotype"/>
        <family val="1"/>
      </rPr>
      <t>(pályázatokhoz kapcsolódó)</t>
    </r>
  </si>
  <si>
    <t>Informatikai eszközök beszerzése</t>
  </si>
  <si>
    <t xml:space="preserve">Vírusirtó program </t>
  </si>
  <si>
    <t>Monari gyűjtemény nyilvántartó program bővítése</t>
  </si>
  <si>
    <t xml:space="preserve">Régészeti nyilvántartó program </t>
  </si>
  <si>
    <t>Beépített szekrények, polcok</t>
  </si>
  <si>
    <t>Nagyteljesítményű nyomtatók beszerzése</t>
  </si>
  <si>
    <t>Tűzjelző rendszer tervezése</t>
  </si>
  <si>
    <t>Bútorok beszerzése</t>
  </si>
  <si>
    <t>Koronavírus elleni védekezéshez kapcsolódó beszerzések</t>
  </si>
  <si>
    <t>Informatika</t>
  </si>
  <si>
    <t>2021. év utáni javaslat</t>
  </si>
  <si>
    <t>Teljesítés                      2019.          12.31.-ig*</t>
  </si>
  <si>
    <t>TOP-6.4.1-16-VP1-17-00001 Szabadságpuszta településrész és Felsőörs Község közötti kerékpárút beruházása</t>
  </si>
  <si>
    <t>TOP-6.3.4.1-16 Kerékpárút és kerékpárforgalmi létesítmények építése Veszprém-Gyulafirátót</t>
  </si>
  <si>
    <t>TOP-7.1.1-16-VP1-2020-00002 Kulturális negyed</t>
  </si>
  <si>
    <t>TOP-6.5.1-16-VP1-2017-00001 Veszprém városára vonatkozó Fenntartható Energia és Klíma Akcióterv (SECAP) elkészítése című projekt fenntartási jelentése</t>
  </si>
  <si>
    <t>Teljesítés                      2019.          12.31.-ig**</t>
  </si>
  <si>
    <t>Illegális hulladéklerakó felszámolása</t>
  </si>
  <si>
    <t>EMMI és Belügyminisztérium "Idősbarát Önkormányzati Díj"</t>
  </si>
  <si>
    <t>Nagyfelületű útfelújítás pályázat önerő</t>
  </si>
  <si>
    <t>Állatvédelmi Kompetencia Központ beruházás - törzstőke emelés</t>
  </si>
  <si>
    <t>Vár u. 10. volt piarista gimnázium</t>
  </si>
  <si>
    <t>Jókai utca 8.</t>
  </si>
  <si>
    <t>Acticity - Hóvirág u. 1.</t>
  </si>
  <si>
    <t>Vasútállomás és környezetének fejlesztése</t>
  </si>
  <si>
    <t>Európa Kulturális Fővárosa III. ütem</t>
  </si>
  <si>
    <t>Játszóeszközök felújítása</t>
  </si>
  <si>
    <t>III. ütem összesen</t>
  </si>
  <si>
    <t>Európa Kulturális Fővárosa IV. ütem</t>
  </si>
  <si>
    <t>Ingatlanvásárlás (volt bútorgyár) Veszprém belterület 4061 hrsz és 4038/1 hrsz ingatlanok</t>
  </si>
  <si>
    <t>Ingatalnvásárlás (SZMT) Veszprém, belterület 4073/3 hrsz és 4073/3/A ingatlanok</t>
  </si>
  <si>
    <t>IV. ütem összesen</t>
  </si>
  <si>
    <t>V. ütem összesen</t>
  </si>
  <si>
    <t>Európa Kulturális Főváros 2023 beruházások előkészítése (önerő)</t>
  </si>
  <si>
    <t>2020. évi tény</t>
  </si>
  <si>
    <t>2021.</t>
  </si>
  <si>
    <t>2022-től</t>
  </si>
  <si>
    <t>TOP-6.2.1-16-VP1-2020-00003 A Veszprémi Bölcsődei és Egészségügyi Alapellátási Integrált Intézmény Módszertani Bölcsődéje megújítása, illetve bölcsődei eszközbeszerzések</t>
  </si>
  <si>
    <t>2020-2021</t>
  </si>
  <si>
    <t>TOP-6.4.1-16-VP1-2019-00003 Kerékpárút és kerékpárforgalmi létesítmények építése Veszprém - Gyulafirátót szakaszon</t>
  </si>
  <si>
    <t>TOP-6.3.2-16-VP1-2020-00002 Kulturális negyed</t>
  </si>
  <si>
    <t>2021-2022</t>
  </si>
  <si>
    <t>2020-2022</t>
  </si>
  <si>
    <t>*** A projekt a támogatási szerződés szerint nettó módon finanszírozott.</t>
  </si>
  <si>
    <t>GINOP - 7.1.9-17-2018-00023 Veszprém kulturális turisztikai kínálatának fejlesztése***</t>
  </si>
  <si>
    <t>GFT beruházás: FI-2014-604
Veszprém 1. számú (Zrínyi utca) nyomásfokozó, Nemesvámosi nyomásfokozó: HARIBO termelési üzem fejlesztése III. ütemhez kapcsolódóan a nyomásfokozó kapacitásbővítése (1 db átemelő szivattyú)</t>
  </si>
  <si>
    <t>GFT beruházás: FI-2014-16
Veszprém ivóvíz-hálózat, Szabályozott fertőtlenítő rendszer fejlesztése</t>
  </si>
  <si>
    <t>GFT beruházás: FI-2014-1461
Veszprém Sédvölgyi vízbázis, Belső védőterület bővítés</t>
  </si>
  <si>
    <t>GFT beruházás: FI-2014-1291
Veszprém Szennyvíztisztító Telep, Rácsgépház: csigaszivattyúk elé kőfogó telepítése (1 db)</t>
  </si>
  <si>
    <t>1. számú Török Ignác utcai Idősek Otthona - lift építés</t>
  </si>
  <si>
    <t>Városgazdálkodás (hulladékgyűjtők, kutyaürülék gyűjtők, síkosságmentesítő ládák elhelyezése)</t>
  </si>
  <si>
    <t>Jégpálya bekötőút HM Verga Zrt területén</t>
  </si>
  <si>
    <t>Ingatlanrendezési ügyek (kisajátítások, más célú haszn.,humuszvédelmi terv, erdővédelmi járulék)</t>
  </si>
  <si>
    <t>Stadion dobópálya világítása, felújítás</t>
  </si>
  <si>
    <t>8-as főút felújításának terelőút építéséhez kapcsolódó ingatlanrendezés</t>
  </si>
  <si>
    <t>MLSZ ovifoci program önrész és területelőkészítés</t>
  </si>
  <si>
    <t>Kiskúti Csárda építéstörténeti dokumentációja</t>
  </si>
  <si>
    <t>Március 15. u. 4/B. orvosi rendelő - bejárat mellett nyitható ablak</t>
  </si>
  <si>
    <t>V-Busz Kft. (használt autóbusz vásárlás)</t>
  </si>
  <si>
    <t>Teljesítés                      2019.          12.31.-ig</t>
  </si>
  <si>
    <t>Jégcsarnok üzemidő- és szolgáltatás vásárlás</t>
  </si>
  <si>
    <t>Repülőtér üzemeltetése, szolgáltatás vásárlás</t>
  </si>
  <si>
    <t xml:space="preserve">          - Vészhelyzeti támogatás (krízis segély)</t>
  </si>
  <si>
    <t>Ebrendészeti feladatok</t>
  </si>
  <si>
    <t>Közterület Felügyelet</t>
  </si>
  <si>
    <t>TOP és MVP beruházásokhoz kapcsolódó energetikai tanusítvány</t>
  </si>
  <si>
    <t>UNESCO Zene városa</t>
  </si>
  <si>
    <t>Európa Ifjúsági Fővárosa 2024 pályázat benyújtása</t>
  </si>
  <si>
    <t>Európa Kulturális Fővárosa V. ütem</t>
  </si>
  <si>
    <t>Európa Kulturális Fővárosa VI. ütem</t>
  </si>
  <si>
    <t>VI. ütem összesen</t>
  </si>
  <si>
    <t>Ingatlanvásárlás (Ady Endre u. 5. volt szikvízparkoló) 4726/2 hrsz-ú ingatlan</t>
  </si>
  <si>
    <t>Ingatlanvásárlás (Cserhát ltp. 8.  volt húsáruház)23 hrsz-ú ingatlan</t>
  </si>
  <si>
    <t>Koronavírus védekezés költségeire és gazdasági hatásának enyhítésére</t>
  </si>
  <si>
    <t>Cipőmúzeum</t>
  </si>
  <si>
    <t>Polgármesteri Hivatal</t>
  </si>
  <si>
    <t>Integrált irányítási rendszer fenntartása (ISO, GDPR)</t>
  </si>
  <si>
    <t xml:space="preserve"> - Intézményi felmentési idő, jub.jut., végkielégítés és működési kiadások</t>
  </si>
  <si>
    <t xml:space="preserve">Európa Kulturális Fővárosa III. ütem </t>
  </si>
  <si>
    <t>Európa Kulturális Fővárosa I. ütem</t>
  </si>
  <si>
    <r>
      <rPr>
        <b/>
        <sz val="10"/>
        <rFont val="Palatino Linotype"/>
        <family val="1"/>
      </rPr>
      <t>EFOP-1.9.9-17-2017-00004</t>
    </r>
    <r>
      <rPr>
        <sz val="10"/>
        <rFont val="Palatino Linotype"/>
        <family val="1"/>
      </rPr>
      <t xml:space="preserve"> Még jobb kezekben - Veszprémben</t>
    </r>
  </si>
  <si>
    <r>
      <rPr>
        <b/>
        <sz val="10"/>
        <rFont val="Palatino Linotype"/>
        <family val="1"/>
      </rPr>
      <t>EFOP-4.1.9-16-2017-00014</t>
    </r>
    <r>
      <rPr>
        <sz val="10"/>
        <rFont val="Palatino Linotype"/>
        <family val="1"/>
      </rPr>
      <t xml:space="preserve"> A múzeumi és levéltári intézményrendszer tanulás segítő infrastrukturális fejlesztései -Laczkó Dezső Múzeumban oktatótermek és kiszolgáló helyiségek kialakítása</t>
    </r>
  </si>
  <si>
    <r>
      <rPr>
        <b/>
        <sz val="10"/>
        <rFont val="Palatino Linotype"/>
        <family val="1"/>
      </rPr>
      <t>EFOP-3.3.2-16-2016-00107</t>
    </r>
    <r>
      <rPr>
        <sz val="10"/>
        <rFont val="Palatino Linotype"/>
        <family val="1"/>
      </rPr>
      <t xml:space="preserve"> Kulturális intézmények a köznevelés eredményességéért</t>
    </r>
  </si>
  <si>
    <t>Alkohol Drogrsegély Ambulancia</t>
  </si>
  <si>
    <t>alapítványoknak, egyesületeknek, civil szervezeteknek, társadalmi szervezeteknek nyújtott támogatásokról 2021. évben</t>
  </si>
  <si>
    <t>Víziközmű szolgáltatónál, Bakonykarszt Zrt. - tőketartalékba helyezés</t>
  </si>
  <si>
    <t>Víziközmű szolgáltatónál, Bakonykarszt Zrt. - törzstőke emelés</t>
  </si>
  <si>
    <t xml:space="preserve">         - Veszprém várostörténeti kiadványok előkészítése</t>
  </si>
  <si>
    <t xml:space="preserve">          - Ex Symposion Alapítvány</t>
  </si>
  <si>
    <t>Volt Büfé helyett tárgyaló kialakítás, adálymentes vizesblokk megvalósítása, nyílászáró csere</t>
  </si>
  <si>
    <t>Haszkovó lakótelep újjáélesztése</t>
  </si>
  <si>
    <t>Állatvédelmi Kompetencia Központ beruházás - tőketartalékba helyezés</t>
  </si>
  <si>
    <t>2021. évi eredeti előirányzat</t>
  </si>
  <si>
    <t>Szünetmentes áramforrás I.ütem</t>
  </si>
  <si>
    <t>Udvati játékok (egyensúlyozó gerenda, kézi malomkő)</t>
  </si>
  <si>
    <t>Önerő összesen</t>
  </si>
  <si>
    <t>VII. ütem összesen</t>
  </si>
  <si>
    <t>Európa Kulturális Fővárosa  VII. ütem</t>
  </si>
  <si>
    <t>öltözősátor</t>
  </si>
  <si>
    <t>40 db összecsukható szék</t>
  </si>
  <si>
    <t>6 db reflektor</t>
  </si>
  <si>
    <r>
      <t xml:space="preserve">Tárgyi eszközök beszerzése </t>
    </r>
    <r>
      <rPr>
        <b/>
        <sz val="10"/>
        <rFont val="Palatino Linotype"/>
        <family val="1"/>
      </rPr>
      <t xml:space="preserve">Mikszáth K.u.13. </t>
    </r>
    <r>
      <rPr>
        <i/>
        <sz val="10"/>
        <rFont val="Palatino Linotype"/>
        <family val="1"/>
      </rPr>
      <t>(digitális lázmérő, fertőtlenítő állomás, kártyaolvasó, bútor, szőnyeg, függöny, mobiltelefon, mikró, kávéfőző, vízmelegítő, tűzhely,ventilátor/hősugárzó, külső winchester, router, iratmegsemmisítő, porszívó,  játék/társasjáték, konyhai eszközök)</t>
    </r>
  </si>
  <si>
    <r>
      <t xml:space="preserve">Tárgyi eszközök beszerzése </t>
    </r>
    <r>
      <rPr>
        <b/>
        <sz val="10"/>
        <rFont val="Palatino Linotype"/>
        <family val="1"/>
      </rPr>
      <t>Pápai út 37. - CSÁO</t>
    </r>
    <r>
      <rPr>
        <sz val="10"/>
        <rFont val="Palatino Linotype"/>
        <family val="1"/>
      </rPr>
      <t xml:space="preserve"> </t>
    </r>
    <r>
      <rPr>
        <i/>
        <sz val="10"/>
        <rFont val="Palatino Linotype"/>
        <family val="1"/>
      </rPr>
      <t>(digitális lázmérő, légzésfigyelő, elektromos streizáló (cumisüveg), fertőtlenítő állomás, bébiőr,  hűtő/fagyasztó, boyler,  bútor, szőnyeg, függöny, mobiltelefon, mikró, kávéfőző, vízmelegítő, ventilátor/hősugárzó, külső winchester, router, iratmegsemmisítő, porszívó, mérleg,  szárítógép, konyhai eszközök)</t>
    </r>
  </si>
  <si>
    <r>
      <t xml:space="preserve">Tárgyi eszközök beszerzése </t>
    </r>
    <r>
      <rPr>
        <b/>
        <sz val="10"/>
        <rFont val="Palatino Linotype"/>
        <family val="1"/>
      </rPr>
      <t>Rózsa u. 48</t>
    </r>
    <r>
      <rPr>
        <sz val="10"/>
        <rFont val="Palatino Linotype"/>
        <family val="1"/>
      </rPr>
      <t xml:space="preserve">  </t>
    </r>
    <r>
      <rPr>
        <i/>
        <sz val="10"/>
        <rFont val="Palatino Linotype"/>
        <family val="1"/>
      </rPr>
      <t>(fertőtlenítő állomás, digitális lázmérő, bútor, szőnyeg, függöny, mobiltelefon, mikró, kávéfőző, vízmelegítő, ventilátor /hősugárzó, külső winchester, router, iratmegsemmisítő, porszívó, játék/társasjáték, konyhai eszközök)</t>
    </r>
  </si>
  <si>
    <r>
      <t xml:space="preserve">Tárgyi eszközök beszerzése </t>
    </r>
    <r>
      <rPr>
        <i/>
        <sz val="10"/>
        <rFont val="Palatino Linotype"/>
        <family val="1"/>
      </rPr>
      <t>(telefonok, konyhai eszközök, egyéb tönkrement kisértékű eszközök pótlása)</t>
    </r>
  </si>
  <si>
    <t>Számítógép</t>
  </si>
  <si>
    <r>
      <t xml:space="preserve">Informatikai eszközök beszerzése </t>
    </r>
    <r>
      <rPr>
        <i/>
        <sz val="10"/>
        <rFont val="Palatino Linotype"/>
        <family val="1"/>
      </rPr>
      <t>(laptop, asztali számítógép, monitor)</t>
    </r>
  </si>
  <si>
    <t>Honlapfejlesztés</t>
  </si>
  <si>
    <t>Pénztárgép</t>
  </si>
  <si>
    <t>Informatikai eszközök beszerzése (laptopok, asztali gépek, monitorok, nyomtatók)</t>
  </si>
  <si>
    <t>Műalkotások: kortárs gyűjtemény gyarapítása</t>
  </si>
  <si>
    <t>Hűtőszekrény (Bárczi Iskola)</t>
  </si>
  <si>
    <t>Autó nyári gumi garnitúra</t>
  </si>
  <si>
    <t>Informatikai eszközök (számítógépek, router, külső winchester, hangszórók számítógépekhez)</t>
  </si>
  <si>
    <r>
      <t xml:space="preserve">Tárgyi eszközök beszerzése </t>
    </r>
    <r>
      <rPr>
        <i/>
        <sz val="10"/>
        <rFont val="Palatino Linotype"/>
        <family val="1"/>
      </rPr>
      <t>(irodai székek, címkéző, porszívó, mobil telefonok)</t>
    </r>
  </si>
  <si>
    <t xml:space="preserve">Informatikia eszközök beszerzése: NOTEBOOK -operációs rendszerrrel </t>
  </si>
  <si>
    <t>Szárítógép</t>
  </si>
  <si>
    <r>
      <t>Tárgyi eszközök beszerzése</t>
    </r>
    <r>
      <rPr>
        <i/>
        <sz val="10"/>
        <rFont val="Palatino Linotype"/>
        <family val="1"/>
      </rPr>
      <t xml:space="preserve"> (hűtő, hűtőventillátorok, fűtőventillátorok, mobiltelefonok, vasalók, edényszárító állvány)</t>
    </r>
  </si>
  <si>
    <r>
      <t xml:space="preserve">Informatikai eszközök beszerzése: </t>
    </r>
    <r>
      <rPr>
        <i/>
        <sz val="10"/>
        <rFont val="Palatino Linotype"/>
        <family val="1"/>
      </rPr>
      <t>Multifunkciós nyomtató</t>
    </r>
  </si>
  <si>
    <t>Mosdókád textilrestaurátor műhelybe</t>
  </si>
  <si>
    <t>Terasz árnyékolás, kitekerhető roló</t>
  </si>
  <si>
    <t>Udvari játék és játéktároló láda</t>
  </si>
  <si>
    <t>Hagyaték/szamizdat gyűjtemény vásárlása</t>
  </si>
  <si>
    <t>Képtároló rendszer beszerzése</t>
  </si>
  <si>
    <r>
      <t xml:space="preserve">Tárgyi eszközök beszerzése </t>
    </r>
    <r>
      <rPr>
        <i/>
        <sz val="10"/>
        <rFont val="Palatino Linotype"/>
        <family val="1"/>
      </rPr>
      <t>(hűtőszekrény, mosógép, konyhai és szakmai eszközök)</t>
    </r>
  </si>
  <si>
    <r>
      <t xml:space="preserve">Tárgyi eszközök beszerzése </t>
    </r>
    <r>
      <rPr>
        <i/>
        <sz val="10"/>
        <rFont val="Palatino Linotype"/>
        <family val="1"/>
      </rPr>
      <t>(mosógép, szárítógép, konyhai és szakmai eszközök)</t>
    </r>
  </si>
  <si>
    <r>
      <t xml:space="preserve">Tárgyi eszközök beszerzése </t>
    </r>
    <r>
      <rPr>
        <i/>
        <sz val="10"/>
        <rFont val="Palatino Linotype"/>
        <family val="1"/>
      </rPr>
      <t>(mosógép, hűtőszekrény, konyhai és szakmai eszközök)</t>
    </r>
  </si>
  <si>
    <r>
      <t>Tárgyi eszközök beszerzése (</t>
    </r>
    <r>
      <rPr>
        <i/>
        <sz val="10"/>
        <rFont val="Palatino Linotype"/>
        <family val="1"/>
      </rPr>
      <t>szakmai eszközök)</t>
    </r>
  </si>
  <si>
    <t>VEDAC</t>
  </si>
  <si>
    <t>Futsal Club</t>
  </si>
  <si>
    <t>Veszprém Fiatal Sportolóiért Alapítvány</t>
  </si>
  <si>
    <t>Ingatlanvásárlás (Málta, volt postaépület) 2551 hrsz-ú  ingatlan</t>
  </si>
  <si>
    <t>Kiskuti csárda 0270/1, 02720/2, 0270/3, 0274/3, 0270/7 hrsz-ú ingatlan</t>
  </si>
  <si>
    <t>Várkert, tűztorony</t>
  </si>
  <si>
    <t>Digitális Alagút</t>
  </si>
  <si>
    <t>Várbörtön</t>
  </si>
  <si>
    <t>Volt Bútorgyár</t>
  </si>
  <si>
    <t>Európa Kulturális Fővárosa VII. ütem</t>
  </si>
  <si>
    <t>Bakonykarszt - lakossági vízbekötés</t>
  </si>
  <si>
    <t>Környezet terhelés vizsgálat K-Ny-i főtengely I. ütem</t>
  </si>
  <si>
    <t>Modern Városok Program keretében megvalósuló veszprémi belterületi közúthálózat fejlesztése projekt során az építési engedélyhez nem kötött felújítások, rekonstrukciók előkészítéséhez kapcsolódó beruházás lebonyolítói tevékenység ellátása a lakóutak és fő közlekedési utak tekintetében</t>
  </si>
  <si>
    <t>3/A. melléklet a 2021. évi költségvetésről szóló 7/2021. (II. 25.) önkormányzati rendelet módosításáról szóló .../2021. (…….) önkormányzati rendelethez</t>
  </si>
  <si>
    <t>"3/A. melléklet a 7/2021. (II. 25.) önkormányzati rendelethez"</t>
  </si>
  <si>
    <t>TOP-6.2.1-16-VP1-2020-00003  A Veszprémi Bölcsődei és Egészségügyi Alapellátási Integrált Intézmény Módszertani Bölcsődéje megújítása, illetve bölcsődei eszközbeszerzések</t>
  </si>
  <si>
    <t>2020. évi              tény</t>
  </si>
  <si>
    <t>2020. évi              tény*</t>
  </si>
  <si>
    <t>800 méteres futókör építése a "Kolostorok és Kertek a veszprémi vár tövében" elnevezésű közpark területén</t>
  </si>
  <si>
    <t>Ördögárok u. 5. gyermekorvosi rendelő bútorzat cseréje</t>
  </si>
  <si>
    <t>Veszprémi Foci Centrum Utánpótlás Sportegyesület</t>
  </si>
  <si>
    <t>Veszprém Pannon SE női kézilabda</t>
  </si>
  <si>
    <t>Veszprémi Úszó Klub</t>
  </si>
  <si>
    <t>Veszprémi Torna Club</t>
  </si>
  <si>
    <t>Veszprémi Egyetemi Sport Club női röplabda</t>
  </si>
  <si>
    <t>Veszprémi Tae Kwon Do SE</t>
  </si>
  <si>
    <t>Ász Veszprémi Teniszezők Klubja</t>
  </si>
  <si>
    <t>Veszprémi Ejtőernyős Egyesület</t>
  </si>
  <si>
    <t>Bakony Kendo és Iaido Club Veszprém</t>
  </si>
  <si>
    <t>Carlson Gracie Bloodline Team SE</t>
  </si>
  <si>
    <t>Piros Életmód és SE</t>
  </si>
  <si>
    <t>Veszprémi Kempo SE</t>
  </si>
  <si>
    <t>Utánpótlás Kézilabdakapus Képző Sportegyesület</t>
  </si>
  <si>
    <t>Légtorna és Légtánc Egyesület</t>
  </si>
  <si>
    <t>Ezüst Huszár Sakkegyesület Veszprém</t>
  </si>
  <si>
    <t>Rendezvényi támogatás</t>
  </si>
  <si>
    <t>Utánpótlás Kézilabdakapus Képző SE</t>
  </si>
  <si>
    <t xml:space="preserve"> - Projekt kiadásokhoz kapcsolódó céltartalék</t>
  </si>
  <si>
    <t>MLSZ TAO pályaépítési program</t>
  </si>
  <si>
    <t>Napvitorlák</t>
  </si>
  <si>
    <r>
      <t>Tárgyi eszközök beszerzése</t>
    </r>
    <r>
      <rPr>
        <i/>
        <sz val="10"/>
        <rFont val="Palatino Linotype"/>
        <family val="1"/>
      </rPr>
      <t xml:space="preserve"> (konyhai és szakmai eszközök)</t>
    </r>
  </si>
  <si>
    <r>
      <t xml:space="preserve">Tárgyi eszközök beszerzése </t>
    </r>
    <r>
      <rPr>
        <i/>
        <sz val="10"/>
        <rFont val="Palatino Linotype"/>
        <family val="1"/>
      </rPr>
      <t>(kartotékszekrény, forgószékek, kerékpártároló, szakmai eszközök)</t>
    </r>
  </si>
  <si>
    <r>
      <t xml:space="preserve">Informatikai eszközök beszerzése </t>
    </r>
    <r>
      <rPr>
        <i/>
        <sz val="10"/>
        <rFont val="Palatino Linotype"/>
        <family val="1"/>
      </rPr>
      <t>(számítógépek, nyomtatók, mobil telefonok)</t>
    </r>
  </si>
  <si>
    <r>
      <t>VESZOL - Veszprém, Pápai u. 37. sz. munkásszálló működetési feladatai -</t>
    </r>
    <r>
      <rPr>
        <i/>
        <sz val="11"/>
        <rFont val="Palatino Linotype"/>
        <family val="1"/>
      </rPr>
      <t xml:space="preserve"> tönkrement bútorok, eszközök pótlása, ózongenerátor, egyéb kis értékű tárgyi eszközök beszerzése</t>
    </r>
  </si>
  <si>
    <t>Önkormányzati érdekeket érintő településrendezési eszközök módosítása</t>
  </si>
  <si>
    <t xml:space="preserve">Gyulafirátót Posta u. 15. sz.alatti hivatali épületben új gázkazán beépítése, gáz, fűtési rendszer tervezése, szivattyú beépítés, füstgáz elvezetés </t>
  </si>
  <si>
    <t>Okos tv hordozható szekrénnyel</t>
  </si>
  <si>
    <r>
      <t xml:space="preserve">Tárgyi eszközök beszerzése </t>
    </r>
    <r>
      <rPr>
        <i/>
        <sz val="10"/>
        <rFont val="Palatino Linotype"/>
        <family val="1"/>
      </rPr>
      <t>(porszívók, reluxák, vasalók, mikrók,  iratmegsemmisítő, papírvágó, hűtőventillátorok, fűtőventillátorok, asztali telefonok, mobiltelefonok)</t>
    </r>
  </si>
  <si>
    <r>
      <t xml:space="preserve">Tárgyi eszközök beszerzése </t>
    </r>
    <r>
      <rPr>
        <i/>
        <sz val="10"/>
        <rFont val="Palatino Linotype"/>
        <family val="1"/>
      </rPr>
      <t>(gyerekfektetők, gyerekasztalok, gyerekszékek, függönyök, szőnyegek, porszívók, vasalók, egyéb bútorzat, tartós szakmai eszköz és játék, zárható irattároló szekrény, irodai szék)</t>
    </r>
  </si>
  <si>
    <t>2021. évi módosított előirányzat 2.</t>
  </si>
  <si>
    <t>módosított előirányzat 2.</t>
  </si>
  <si>
    <t>1/A. melléklet a 7/2021. (II.25.) önkormányzati rendelethez</t>
  </si>
  <si>
    <t xml:space="preserve">A települési önkormányzatok általános működésének, ágazati feladatainak </t>
  </si>
  <si>
    <t>és egyéb kiegészítő támogatásainak alakulása 2020. és 2021. évben</t>
  </si>
  <si>
    <t>2020. év</t>
  </si>
  <si>
    <t>2021. év</t>
  </si>
  <si>
    <t>Változás %-a</t>
  </si>
  <si>
    <t>2021/2020.</t>
  </si>
  <si>
    <t>1. A települési önkormányzatok működésének általános támogatása</t>
  </si>
  <si>
    <t>Önkormányzati hivatalok működésének támogatása</t>
  </si>
  <si>
    <t>Település üzemeltetés - zöldterület-gazdálkodás támogatása</t>
  </si>
  <si>
    <t>Település üzemeltetés - közvilágítás támogatása</t>
  </si>
  <si>
    <t>Település üzemeltetés - köztemető támogatása</t>
  </si>
  <si>
    <t>Település üzemeltetés - közutak támogatása</t>
  </si>
  <si>
    <t>Egyéb önkormányzati feladatok támogatása</t>
  </si>
  <si>
    <t>Lakott külterülettel kapcsolatos feladatok támogatása</t>
  </si>
  <si>
    <t>2. A települési önkormányzatok egyes köznevelési feladatainak támogatása</t>
  </si>
  <si>
    <t>Óvodaműködtetési támogatás</t>
  </si>
  <si>
    <t>Az óvodában foglalkoztatott pedagógusok átlagbéralapú támogatása</t>
  </si>
  <si>
    <t>Kiegészítő támogatás a pedagógusok és a pedagógus szakképzettséggel rendelkező segítők minősítéséből adódó többletkiadásokhoz</t>
  </si>
  <si>
    <t>Nemzetiségi pótlék</t>
  </si>
  <si>
    <t>Az óvodában foglalkozatott pedagógusok nevelőmunkáját közvetlenül segítők átlagbér-alapú támogatása</t>
  </si>
  <si>
    <t>3. A települési önkormányzatok egyes szociális és gyermekjóléti  feladatainak támogatása</t>
  </si>
  <si>
    <t xml:space="preserve">Család- és gyermekjóléti szolgálat </t>
  </si>
  <si>
    <t>Család- és gyermekjóléti központ</t>
  </si>
  <si>
    <t>Szociális étkeztetés</t>
  </si>
  <si>
    <t>Házi segítségnyújtás</t>
  </si>
  <si>
    <t>Időskorúak nappali intézményi ellátása</t>
  </si>
  <si>
    <t>Fogyatékos személyek nappali intézményi ellátása</t>
  </si>
  <si>
    <t>Demens személyek nappali intézményi ellátása</t>
  </si>
  <si>
    <t>Óvodai és iskolaiszociális segítő tevékenység támogatása</t>
  </si>
  <si>
    <t>Bölcsőde, mini bölcsőde támogatása (kedvezményes étk. támog. nélkül)</t>
  </si>
  <si>
    <t>Családok átmeneti otthonában biztosított ellátásának támogatása</t>
  </si>
  <si>
    <t>Idősek átmeneti és tartós szociális szakosított ellátásának támogatása</t>
  </si>
  <si>
    <t>4. A települési önkormányzatok gyermekétkeztetési feladatainak támogatása</t>
  </si>
  <si>
    <t>Intézményi gyermekétkeztetés támogatása</t>
  </si>
  <si>
    <t>Rászoruló gyermekek intézményen kívüli szünidei étkeztetése</t>
  </si>
  <si>
    <t>5. A települési önkormányzatok kulturális feladatainak támogatása</t>
  </si>
  <si>
    <t>Megyei hatáskörű városi múzeumok  feladatainak támogatása</t>
  </si>
  <si>
    <t>Megyei könyvtárak feladatainak támogatása</t>
  </si>
  <si>
    <t>Megyeszékhely megyei jogú városok közművelődési támogatása</t>
  </si>
  <si>
    <t>Megyei könyvtár kistelepülési könyvtári célú kiegészítő támogatása</t>
  </si>
  <si>
    <t>Zenekarok támogatása</t>
  </si>
  <si>
    <t>2021. év összesen</t>
  </si>
  <si>
    <t>1/A. melléklet a 2021. évi költségvetésről szóló 7/2021. (II. 25.) önkormányzati rendelet módosításáról szóló .../2021. (…….) önkormányzati rendelethez</t>
  </si>
  <si>
    <r>
      <t xml:space="preserve">Informatikai eszközök beszerzése </t>
    </r>
    <r>
      <rPr>
        <i/>
        <sz val="10"/>
        <rFont val="Palatino Linotype"/>
        <family val="1"/>
      </rPr>
      <t>(laptopok, monitor, külső merevlemez)</t>
    </r>
  </si>
  <si>
    <r>
      <t xml:space="preserve">Tárgyi eszközök beszerzése </t>
    </r>
    <r>
      <rPr>
        <i/>
        <sz val="10"/>
        <rFont val="Palatino Linotype"/>
        <family val="1"/>
      </rPr>
      <t>(irodai szék, szőnyeg, párakapu, hangszerkészlet, minikonyha tűzhely</t>
    </r>
    <r>
      <rPr>
        <sz val="10"/>
        <rFont val="Palatino Linotype"/>
        <family val="1"/>
      </rPr>
      <t>)</t>
    </r>
  </si>
  <si>
    <r>
      <t xml:space="preserve">Tárgyi eszközök beszerzése </t>
    </r>
    <r>
      <rPr>
        <i/>
        <sz val="10"/>
        <rFont val="Palatino Linotype"/>
        <family val="1"/>
      </rPr>
      <t>(öltözőszekrények, párakapu, mosogató és szárító állvány, minikonyha tűzhely, mikrohullámú sütő, RM polcok tálalókonyhába)</t>
    </r>
  </si>
  <si>
    <r>
      <t xml:space="preserve">Informatikai eszközök beszerzése </t>
    </r>
    <r>
      <rPr>
        <i/>
        <sz val="10"/>
        <rFont val="Palatino Linotype"/>
        <family val="1"/>
      </rPr>
      <t>(laptop, nyomtató)</t>
    </r>
  </si>
  <si>
    <t>Gőztisztító</t>
  </si>
  <si>
    <t>Tárgyi eszközök beszerzése (kávéfőző, kompresszor, létra)</t>
  </si>
  <si>
    <r>
      <t>Informatikai eszközök beszerzése</t>
    </r>
    <r>
      <rPr>
        <i/>
        <sz val="10"/>
        <rFont val="Palatino Linotype"/>
        <family val="1"/>
      </rPr>
      <t xml:space="preserve"> (mobiltelefonok)</t>
    </r>
  </si>
  <si>
    <r>
      <t xml:space="preserve">Informatikai eszközök beszerzése </t>
    </r>
    <r>
      <rPr>
        <i/>
        <sz val="10"/>
        <rFont val="Palatino Linotype"/>
        <family val="1"/>
      </rPr>
      <t>(laptop, asztali számítógép, nyomtató, mobiltelefonok, pentdrivok)</t>
    </r>
  </si>
  <si>
    <t>Mosogatógép</t>
  </si>
  <si>
    <r>
      <t>TOP – 7.1.1-16-H-ESZA-2019-01192</t>
    </r>
    <r>
      <rPr>
        <sz val="10"/>
        <rFont val="Palatino Linotype"/>
        <family val="1"/>
      </rPr>
      <t xml:space="preserve"> A családra, mint a társadalom alapegységére építő komplex programok</t>
    </r>
  </si>
  <si>
    <r>
      <t xml:space="preserve">Tárgyi eszközök beszerzése </t>
    </r>
    <r>
      <rPr>
        <i/>
        <sz val="10"/>
        <rFont val="Palatino Linotype"/>
        <family val="1"/>
      </rPr>
      <t>(mosógép, szekrények, asztalok, székek, nyyomtató, iratmegsemmisítő, konyhai és szakmai eszközök)</t>
    </r>
  </si>
  <si>
    <t>Laptop</t>
  </si>
  <si>
    <t>NKA pályázat Gerhes Gábor műtárgyvásárlás</t>
  </si>
  <si>
    <r>
      <t xml:space="preserve">Informatikai eszközök beszerzése </t>
    </r>
    <r>
      <rPr>
        <i/>
        <sz val="10"/>
        <rFont val="Palatino Linotype"/>
        <family val="1"/>
      </rPr>
      <t>(számítogépek, szoftver, laptop, Win-office, nyomtatók, telefon)</t>
    </r>
  </si>
  <si>
    <r>
      <t xml:space="preserve">Tárgyi eszközök beszerzése </t>
    </r>
    <r>
      <rPr>
        <i/>
        <sz val="10"/>
        <rFont val="Palatino Linotype"/>
        <family val="1"/>
      </rPr>
      <t>(gyerekfektetők, gyerekasztalok, gyerekszékek, függönyök, szőnyegek, porszívók, vasalók, egyéb bútorzat, redőny, roló, szúnyogháló, konyhai kisgépek, saválló asztal, karnis, irodai szék, magasnyomású mosó, ágyazószekrény, tárgyalószék, tartós szakmai eszköz és játék, zárható irattároló szekrény, áruszállító kiskocsi, lombfújó, salgópolc)</t>
    </r>
  </si>
  <si>
    <t>Tárgyi eszközök beszerzése (Amerikai Kuckó: monitor, egér, SSD kártya, Iphone állvány, külső merevlemez, forgószék, informatikai beszerzés)</t>
  </si>
  <si>
    <t>Könyvtári érdekeltségnövelő támogatásból informatikai eszközbeszerzés</t>
  </si>
  <si>
    <t>Projektor Cholnoky kiállításhoz (EKF2023)</t>
  </si>
  <si>
    <t>Digitális rajztábla és tartozékai (EKF2023)</t>
  </si>
  <si>
    <t>Nyilvános WC beléptető rendszer</t>
  </si>
  <si>
    <t>Tűztorony biztonságos megközelítése</t>
  </si>
  <si>
    <t>Kültéri előadásokhoz eszközbeszerzés</t>
  </si>
  <si>
    <t>Szakmai eszközfejlesztés</t>
  </si>
  <si>
    <t>Színpadfedés</t>
  </si>
  <si>
    <t>Gépjármű beszerzés</t>
  </si>
  <si>
    <t>Fesztiválhoz eszköz beszerzések</t>
  </si>
  <si>
    <t>Mobilszínpad</t>
  </si>
  <si>
    <t>Sátrak</t>
  </si>
  <si>
    <t>Kordonoszlopok</t>
  </si>
  <si>
    <t>4 db laptop, 4 db számítógép</t>
  </si>
  <si>
    <t>Irodabútorok</t>
  </si>
  <si>
    <t>Irodatechnikai eszközök</t>
  </si>
  <si>
    <r>
      <t xml:space="preserve">TOP – 7.1.1-16-H-ESZA-2019-01202 "Élmény, közösség, tudás" családi programok az Agórával </t>
    </r>
    <r>
      <rPr>
        <i/>
        <sz val="10"/>
        <rFont val="Palatino Linotype"/>
        <family val="1"/>
      </rPr>
      <t>(konyhai eszközök)</t>
    </r>
  </si>
  <si>
    <r>
      <t>Színpadtechnikai eszközök</t>
    </r>
    <r>
      <rPr>
        <i/>
        <sz val="10"/>
        <rFont val="Palatino Linotype"/>
        <family val="1"/>
      </rPr>
      <t xml:space="preserve"> (reflektorok, mikrofonok, kábelcsatorna)</t>
    </r>
  </si>
  <si>
    <t>TOP – 7.1.1-16-H-ESZA-2019-01202 "Élmény, közösség, tudás" családi programok az Agórával</t>
  </si>
  <si>
    <t>Közművelődési szolgáltatás</t>
  </si>
  <si>
    <t>Programiroda - városi nagyrendezvények</t>
  </si>
  <si>
    <t>ebből: - Városi Gyereknap</t>
  </si>
  <si>
    <t xml:space="preserve"> - Nemzeti ünnep - Augusztus 20.</t>
  </si>
  <si>
    <t xml:space="preserve"> - Szent Mihály napi búcsú</t>
  </si>
  <si>
    <t xml:space="preserve"> - Nemzeti ünnep - Október 23.</t>
  </si>
  <si>
    <r>
      <t xml:space="preserve">Tárgyi eszközök beszerzése </t>
    </r>
    <r>
      <rPr>
        <i/>
        <sz val="10"/>
        <rFont val="Palatino Linotype"/>
        <family val="1"/>
      </rPr>
      <t>(erősítő, kártyaolvasó és bluetoth hangszóró, előadások hanganyagainak digitalizáláshoz szükséges külső merevlemez)</t>
    </r>
  </si>
  <si>
    <t>Gyulafirátót, Kádárta útfelújítások lebonyolítói tevékenysége</t>
  </si>
  <si>
    <t>Könyvtári polcrendszer</t>
  </si>
  <si>
    <t>2 db. Használtautó</t>
  </si>
  <si>
    <t>2020. évi várható</t>
  </si>
  <si>
    <t>Önkormányzati felújítási kiadások</t>
  </si>
  <si>
    <t>Védett sírok felújítása az Alsóvárosi temetőben</t>
  </si>
  <si>
    <t>Szociális bérlakás felújítások (vasútállomás rehabilitáció érdekében)</t>
  </si>
  <si>
    <t>Városi közbiztonsági keret</t>
  </si>
  <si>
    <t>Gyulafirátóti Polgárőr Egyesület</t>
  </si>
  <si>
    <t>Magyar Máltai Szeretetszolgálat Egyesület</t>
  </si>
  <si>
    <t>Igazgatás</t>
  </si>
  <si>
    <t>Közterület-felügyeleti feladat ellátásához, testkamerák beszerzése</t>
  </si>
  <si>
    <t xml:space="preserve">Európai Fenntartható Városfejlesztési Hálózat "Global Goals for Cities" Urbact III. </t>
  </si>
  <si>
    <t>* Az Európai Fenntartható Városfejlesztési Hálózat "Global Goals for Cities" Urbact III.  projekt €-ban van meghatározva, az átszámítás 360.18 Ft/EUR-val történt.</t>
  </si>
  <si>
    <t>Európa Kulturális Fővárosa VIII. ütem</t>
  </si>
  <si>
    <t>Kádár utcai parkoló építése</t>
  </si>
  <si>
    <t>Európa Kulturális Fővárosa  VIII. ütem</t>
  </si>
  <si>
    <t>Hősök kapuja kiállítási tér kiegészítő fejlesztése/vízszigetlési munkája</t>
  </si>
  <si>
    <t>Laczkó Dezső Múzeum korszerűsítése, akadálymentesítése</t>
  </si>
  <si>
    <t>VIII. ütem összesen</t>
  </si>
  <si>
    <t>Volánbusz Zrt. szolgáltató részére elővárosi és regionális járatokon történő helyi személyszállítási közszolgáltatási feladatok ellátásához hozzájárulás</t>
  </si>
  <si>
    <t>Regőczi István Alapítvány - Covid-árvák megsegítésének támogatása</t>
  </si>
  <si>
    <t>ebből: Koronavírus elleni védekezés adomány</t>
  </si>
  <si>
    <t>MKOSZ Szabadtéri Pályák Kihelyezési Programja - 2 db sérült kosárlabda palánk cseréje, szerelése (H.Botev Ált. Isk.)</t>
  </si>
  <si>
    <t>Veszprém Fiatal Sportolóiért Alapítvány - beruházási célú támogatás</t>
  </si>
  <si>
    <t>Kisértékű tárgyi eszközök beszerzése (polcrendszer, virágtartó láda, gázkazán füstgáz elvezetésének átalakítása, létra, olajradiátor, vasaló, vezeték nélküli mikrofon, diktafon)</t>
  </si>
  <si>
    <t xml:space="preserve">Veszprém, belterület 2205 hrsz-ú ingatlan megvásárlása </t>
  </si>
  <si>
    <t>Településképi Arculati Kézikönyv és Településképi rendelet módosítása</t>
  </si>
  <si>
    <t>Thököly utcai támfal egy szakaszára vonatkozó szakértői vélemény</t>
  </si>
  <si>
    <t>Állatkerti bekötőút  engedélyezési szintű tervdokumentáció</t>
  </si>
  <si>
    <t>Kádártai orvosi rendelő gázkazán cseréje</t>
  </si>
  <si>
    <t>Játszóterek és labdapályák felújítása</t>
  </si>
  <si>
    <t>Módszertani Bölcsőde - gázkazánok cseréje</t>
  </si>
  <si>
    <t>Csillagvár-Waldorf Tagóvoda</t>
  </si>
  <si>
    <t>Szennyvízelvezetés rekonstrukciója</t>
  </si>
  <si>
    <t>Veszprémi Csillag Úti Körzeti Óvoda</t>
  </si>
  <si>
    <t>Ételszállító lift teljeskörű felújítása</t>
  </si>
  <si>
    <t>Tűzjelző rendszer felújítása</t>
  </si>
  <si>
    <t>VKTT Egyesített Szociális Intézménye</t>
  </si>
  <si>
    <t>Török Ignác u. 10. Idősek Otthona - kazán javítás</t>
  </si>
  <si>
    <t>Esővíz lefolyók kialakítása</t>
  </si>
  <si>
    <t>Járdaépítések</t>
  </si>
  <si>
    <t>Napvitorlák homokozók fölé</t>
  </si>
  <si>
    <t>Veszprém 2184/4 helyrajzi számú - természetben a Veszprém, Tüzér utca és Házgyári út találkozásánál lévő - körforgalom ingatlanrész tulajdonjogának kisajátítást helyettesítő adásvétel jogcímén történő megszerzése</t>
  </si>
  <si>
    <t>2021. évi módosított előirányzat 3.</t>
  </si>
  <si>
    <t>módosítás -</t>
  </si>
  <si>
    <t>2021. évi költségvetési bevételeinek I. féléves teljesítése</t>
  </si>
  <si>
    <t>Teljesítés</t>
  </si>
  <si>
    <t xml:space="preserve">teljesítés </t>
  </si>
  <si>
    <t>teljesítés</t>
  </si>
  <si>
    <t>2021. évi költségvetési kiadásainak I. féléves teljesítése</t>
  </si>
  <si>
    <t>2021. évi költségvetési kiadásainek I. féléves teljesítése</t>
  </si>
  <si>
    <t>teljesítés átcsoportosítás</t>
  </si>
  <si>
    <t>teljesítés költségvetési maradvány</t>
  </si>
  <si>
    <t>2021. évi felújítási kiadások előirányzatainak I. féléves teljesítése</t>
  </si>
  <si>
    <t>2021. évi beruházási és egyéb felhalmozási célú kiadások előirányzatainak I. féléves teljesítése</t>
  </si>
  <si>
    <t>Európai Uniós forrásból finanszírozott támogatással megvalósuló programok, projektek 2021. évi költségvetési kiadásainak I. féléves teljesítée</t>
  </si>
  <si>
    <t>Modern Városok Program és más hazai finanszírozásból megvalósuló feladatok 2021. évi költségvetési kiadásainak I. féléves teljesítése</t>
  </si>
  <si>
    <t>Európa Kulturális Főváros 2021. évi költségvetési kiadásainak I. féléves teljesítése</t>
  </si>
  <si>
    <t>Polgármesteri hivatal közhatalmi bevételek</t>
  </si>
  <si>
    <t>Mendelssohn Kamarazenekar - Auer Lipót Nemzetközi Hegedűfesztivál</t>
  </si>
  <si>
    <t>Európa Kulturális Fővárosa támogatásból támogatott szervezetek</t>
  </si>
  <si>
    <t>Dowland Alapítvány</t>
  </si>
  <si>
    <t>Gárdonyi Zoltán Zenekarért Alapítvány</t>
  </si>
  <si>
    <t>Veszprémi Szemle Várostörténeti Közhasznú Alapítvány</t>
  </si>
  <si>
    <t>Komitatus Társadalomkutató Egyesület</t>
  </si>
  <si>
    <t>Veszprémi Táncegyüttesért Alapítvány</t>
  </si>
  <si>
    <t>EX Symposion Alapítány</t>
  </si>
  <si>
    <t>Mendelssohn Kamarazenekar Egyesület</t>
  </si>
  <si>
    <t>Szabad- Sajtó Kulturális és Ifjúsági Köz. Egyesület</t>
  </si>
  <si>
    <t>Veszprém Város Vegyeskara</t>
  </si>
  <si>
    <t>2021. I. félévi EU támogatás teljesítés</t>
  </si>
  <si>
    <t>2021. 1. félévi kiadások teljesítése</t>
  </si>
  <si>
    <t>U</t>
  </si>
  <si>
    <t>V</t>
  </si>
  <si>
    <t>Z</t>
  </si>
  <si>
    <t>W</t>
  </si>
  <si>
    <t>13. melléklet</t>
  </si>
  <si>
    <t>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</si>
  <si>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</si>
  <si>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</si>
  <si>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</si>
  <si>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időpontja</t>
  </si>
  <si>
    <t>Hitelkeret</t>
  </si>
  <si>
    <t>Hitelállomány 2020.12.31</t>
  </si>
  <si>
    <t>Hitelfelvétel 2021.I. félév</t>
  </si>
  <si>
    <t>Tőketörlesztés 2021. I. félév</t>
  </si>
  <si>
    <t>Hitelállomány  2021.06.30</t>
  </si>
  <si>
    <t>Hitelfelvétel 2021. II. félév</t>
  </si>
  <si>
    <t>Tőketörlesztés 2021. II. félév</t>
  </si>
  <si>
    <t>Hitelállomány  2021.12.31</t>
  </si>
  <si>
    <t>Rövid lejáratú hitel (1500M Ft)</t>
  </si>
  <si>
    <t>OTP Bank</t>
  </si>
  <si>
    <t xml:space="preserve"> 2021.06.01</t>
  </si>
  <si>
    <t>Beruházási hitel - SMO 2011.</t>
  </si>
  <si>
    <t>UniCredit Bank</t>
  </si>
  <si>
    <t>Beruházási hitel - MFB 2013.</t>
  </si>
  <si>
    <t>Takarékbank</t>
  </si>
  <si>
    <t>Beruházási hitel  - MFB 2014</t>
  </si>
  <si>
    <t>Beruházási hitel - Célhitel 2014</t>
  </si>
  <si>
    <t>Felhalmozási hitel - Célhitel 2017</t>
  </si>
  <si>
    <t>7.</t>
  </si>
  <si>
    <t>Felhalmozási hitel - Célhitel 2019</t>
  </si>
  <si>
    <t>8.</t>
  </si>
  <si>
    <t>Felhalmozási célhitel 2021</t>
  </si>
  <si>
    <t>Bank</t>
  </si>
  <si>
    <t>2031.</t>
  </si>
  <si>
    <t>I.</t>
  </si>
  <si>
    <t>Pénzintézetekkel szemben fenálló kötelezettségek összesen</t>
  </si>
  <si>
    <t>1. melléklet</t>
  </si>
  <si>
    <t>2. melléklet</t>
  </si>
  <si>
    <t>3. melléklet</t>
  </si>
  <si>
    <t>4. melléklet</t>
  </si>
  <si>
    <t xml:space="preserve">5. melléklet </t>
  </si>
  <si>
    <t xml:space="preserve">6. melléklet </t>
  </si>
  <si>
    <t>6/A. melléklet</t>
  </si>
  <si>
    <t>7. melléklet</t>
  </si>
  <si>
    <t xml:space="preserve">8. melléklet </t>
  </si>
  <si>
    <t>9. melléklet</t>
  </si>
  <si>
    <t xml:space="preserve">10. melléklet </t>
  </si>
  <si>
    <t xml:space="preserve">11. melléklet </t>
  </si>
  <si>
    <t xml:space="preserve">12. melléklet </t>
  </si>
  <si>
    <t xml:space="preserve">14. melléklet </t>
  </si>
  <si>
    <t>2021. évi felhalmozási költségvetési kiadások előirányzatainak I. féléves teljesítése</t>
  </si>
  <si>
    <t>Önkormányzati feladatok és egyéb kötelezettségek 2021. évi működési költségvetési kiadásainak I. féléves teljesítése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</si>
</sst>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99">
    <font>
      <sz val="10"/>
      <name val="Arial CE"/>
      <family val="0"/>
    </font>
    <font>
      <sz val="11"/>
      <color indexed="8"/>
      <name val="Calibri"/>
      <family val="2"/>
    </font>
    <font>
      <sz val="11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8"/>
      <name val="Arial CE"/>
      <family val="0"/>
    </font>
    <font>
      <sz val="12"/>
      <name val="Times New Roman"/>
      <family val="1"/>
    </font>
    <font>
      <sz val="8"/>
      <name val="Palatino Linotype"/>
      <family val="1"/>
    </font>
    <font>
      <sz val="10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b/>
      <sz val="10"/>
      <name val="Palatino Linotype"/>
      <family val="1"/>
    </font>
    <font>
      <sz val="9"/>
      <name val="Arial CE"/>
      <family val="0"/>
    </font>
    <font>
      <i/>
      <u val="single"/>
      <sz val="10"/>
      <name val="Palatino Linotype"/>
      <family val="1"/>
    </font>
    <font>
      <b/>
      <i/>
      <sz val="10"/>
      <name val="Palatino Linotype"/>
      <family val="1"/>
    </font>
    <font>
      <b/>
      <i/>
      <sz val="11"/>
      <name val="Palatino Linotype"/>
      <family val="1"/>
    </font>
    <font>
      <sz val="7"/>
      <name val="Palatino Linotype"/>
      <family val="1"/>
    </font>
    <font>
      <b/>
      <sz val="8"/>
      <name val="Palatino Linotyp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b/>
      <u val="single"/>
      <sz val="10"/>
      <name val="Palatino Linotype"/>
      <family val="1"/>
    </font>
    <font>
      <b/>
      <u val="single"/>
      <sz val="11"/>
      <name val="Palatino Linotype"/>
      <family val="1"/>
    </font>
    <font>
      <u val="single"/>
      <sz val="11"/>
      <name val="Palatino Linotype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Palatino Linotype"/>
      <family val="1"/>
    </font>
    <font>
      <u val="single"/>
      <sz val="10"/>
      <name val="Palatino Linotype"/>
      <family val="1"/>
    </font>
    <font>
      <sz val="11"/>
      <color indexed="10"/>
      <name val="Palatino Linotype"/>
      <family val="1"/>
    </font>
    <font>
      <b/>
      <sz val="10"/>
      <color indexed="16"/>
      <name val="Palatino Linotype"/>
      <family val="1"/>
    </font>
    <font>
      <b/>
      <i/>
      <sz val="10"/>
      <color indexed="16"/>
      <name val="Palatino Linotype"/>
      <family val="1"/>
    </font>
    <font>
      <b/>
      <sz val="10"/>
      <color indexed="16"/>
      <name val="Arial CE"/>
      <family val="0"/>
    </font>
    <font>
      <b/>
      <i/>
      <sz val="10"/>
      <color indexed="16"/>
      <name val="Arial CE"/>
      <family val="0"/>
    </font>
    <font>
      <b/>
      <sz val="11"/>
      <color indexed="16"/>
      <name val="Palatino Linotype"/>
      <family val="1"/>
    </font>
    <font>
      <sz val="11"/>
      <color indexed="16"/>
      <name val="Palatino Linotype"/>
      <family val="1"/>
    </font>
    <font>
      <b/>
      <i/>
      <sz val="11"/>
      <color indexed="16"/>
      <name val="Palatino Linotype"/>
      <family val="1"/>
    </font>
    <font>
      <b/>
      <sz val="9"/>
      <color indexed="16"/>
      <name val="Palatino Linotype"/>
      <family val="1"/>
    </font>
    <font>
      <sz val="10"/>
      <color indexed="16"/>
      <name val="Palatino Linotype"/>
      <family val="1"/>
    </font>
    <font>
      <i/>
      <sz val="10"/>
      <color indexed="16"/>
      <name val="Palatino Linotype"/>
      <family val="1"/>
    </font>
    <font>
      <i/>
      <u val="single"/>
      <sz val="11"/>
      <name val="Palatino Linotype"/>
      <family val="1"/>
    </font>
    <font>
      <b/>
      <i/>
      <u val="single"/>
      <sz val="11"/>
      <name val="Palatino Linotype"/>
      <family val="1"/>
    </font>
    <font>
      <b/>
      <sz val="10.5"/>
      <name val="Palatino Linotype"/>
      <family val="1"/>
    </font>
    <font>
      <sz val="10.5"/>
      <name val="Palatino Linotype"/>
      <family val="1"/>
    </font>
    <font>
      <i/>
      <sz val="10"/>
      <color indexed="10"/>
      <name val="Palatino Linotype"/>
      <family val="1"/>
    </font>
    <font>
      <sz val="10"/>
      <color indexed="10"/>
      <name val="Palatino Linotype"/>
      <family val="1"/>
    </font>
    <font>
      <b/>
      <sz val="11"/>
      <color indexed="10"/>
      <name val="Palatino Linotype"/>
      <family val="1"/>
    </font>
    <font>
      <sz val="10"/>
      <name val="Times New Roman"/>
      <family val="1"/>
    </font>
    <font>
      <b/>
      <sz val="10"/>
      <color indexed="10"/>
      <name val="Palatino Linotyp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Palatino Linotype"/>
      <family val="1"/>
    </font>
    <font>
      <b/>
      <sz val="10"/>
      <color theme="5" tint="-0.4999699890613556"/>
      <name val="Palatino Linotype"/>
      <family val="1"/>
    </font>
    <font>
      <b/>
      <i/>
      <sz val="10"/>
      <color theme="5" tint="-0.4999699890613556"/>
      <name val="Palatino Linotype"/>
      <family val="1"/>
    </font>
    <font>
      <b/>
      <sz val="10"/>
      <color theme="5" tint="-0.4999699890613556"/>
      <name val="Arial CE"/>
      <family val="0"/>
    </font>
    <font>
      <b/>
      <i/>
      <sz val="10"/>
      <color theme="5" tint="-0.4999699890613556"/>
      <name val="Arial CE"/>
      <family val="0"/>
    </font>
    <font>
      <b/>
      <sz val="11"/>
      <color theme="5" tint="-0.4999699890613556"/>
      <name val="Palatino Linotype"/>
      <family val="1"/>
    </font>
    <font>
      <sz val="11"/>
      <color theme="5" tint="-0.4999699890613556"/>
      <name val="Palatino Linotype"/>
      <family val="1"/>
    </font>
    <font>
      <b/>
      <i/>
      <sz val="11"/>
      <color theme="5" tint="-0.4999699890613556"/>
      <name val="Palatino Linotype"/>
      <family val="1"/>
    </font>
    <font>
      <b/>
      <sz val="9"/>
      <color theme="5" tint="-0.4999699890613556"/>
      <name val="Palatino Linotype"/>
      <family val="1"/>
    </font>
    <font>
      <sz val="10"/>
      <color theme="5" tint="-0.4999699890613556"/>
      <name val="Palatino Linotype"/>
      <family val="1"/>
    </font>
    <font>
      <i/>
      <sz val="10"/>
      <color theme="5" tint="-0.4999699890613556"/>
      <name val="Palatino Linotype"/>
      <family val="1"/>
    </font>
    <font>
      <sz val="10"/>
      <color rgb="FFFF0000"/>
      <name val="Palatino Linotype"/>
      <family val="1"/>
    </font>
    <font>
      <i/>
      <sz val="10"/>
      <color rgb="FFFF0000"/>
      <name val="Palatino Linotype"/>
      <family val="1"/>
    </font>
    <font>
      <b/>
      <sz val="11"/>
      <color rgb="FFFF0000"/>
      <name val="Palatino Linotype"/>
      <family val="1"/>
    </font>
    <font>
      <b/>
      <sz val="10"/>
      <color rgb="FFFF0000"/>
      <name val="Palatino Linotype"/>
      <family val="1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/>
      <right/>
      <top style="thin"/>
      <bottom style="double"/>
    </border>
    <border>
      <left/>
      <right/>
      <top style="double"/>
      <bottom style="medium"/>
    </border>
    <border>
      <left/>
      <right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hair"/>
      <bottom style="hair"/>
    </border>
    <border>
      <left style="thin"/>
      <right style="thin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medium"/>
      <top style="double"/>
      <bottom style="medium"/>
    </border>
    <border>
      <left style="double"/>
      <right style="hair"/>
      <top style="hair"/>
      <bottom style="hair"/>
    </border>
    <border>
      <left style="double"/>
      <right style="hair"/>
      <top style="medium"/>
      <bottom style="hair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 style="double"/>
      <top style="medium"/>
      <bottom style="medium"/>
    </border>
    <border>
      <left style="hair"/>
      <right style="hair"/>
      <top style="medium"/>
      <bottom style="medium"/>
    </border>
    <border>
      <left style="double"/>
      <right style="hair"/>
      <top/>
      <bottom style="hair"/>
    </border>
    <border>
      <left style="medium"/>
      <right style="hair"/>
      <top style="hair"/>
      <bottom/>
    </border>
    <border>
      <left style="hair"/>
      <right/>
      <top style="medium"/>
      <bottom style="hair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double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medium"/>
      <right/>
      <top/>
      <bottom style="thin"/>
    </border>
    <border>
      <left style="double"/>
      <right/>
      <top/>
      <bottom style="thin"/>
    </border>
    <border>
      <left style="medium"/>
      <right/>
      <top/>
      <bottom style="medium"/>
    </border>
    <border>
      <left style="double"/>
      <right/>
      <top/>
      <bottom style="medium"/>
    </border>
    <border>
      <left style="thin"/>
      <right/>
      <top style="thin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 style="double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hair"/>
      <top/>
      <bottom style="hair"/>
    </border>
    <border>
      <left/>
      <right style="double"/>
      <top style="thin"/>
      <bottom style="thin"/>
    </border>
    <border>
      <left style="double"/>
      <right style="hair"/>
      <top style="double"/>
      <bottom style="hair"/>
    </border>
    <border>
      <left style="medium"/>
      <right/>
      <top style="hair"/>
      <bottom style="hair"/>
    </border>
    <border>
      <left style="double"/>
      <right style="double"/>
      <top/>
      <bottom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hair"/>
      <top style="medium"/>
      <bottom style="hair"/>
    </border>
    <border>
      <left style="hair"/>
      <right style="hair"/>
      <top/>
      <bottom style="medium"/>
    </border>
    <border>
      <left style="medium"/>
      <right/>
      <top/>
      <bottom style="hair"/>
    </border>
    <border>
      <left style="hair"/>
      <right/>
      <top style="medium"/>
      <bottom style="double"/>
    </border>
    <border>
      <left style="hair"/>
      <right style="hair"/>
      <top/>
      <bottom/>
    </border>
    <border>
      <left style="hair"/>
      <right style="hair"/>
      <top style="double"/>
      <bottom style="medium"/>
    </border>
    <border>
      <left style="hair"/>
      <right style="medium"/>
      <top style="double"/>
      <bottom style="hair"/>
    </border>
    <border>
      <left style="hair"/>
      <right/>
      <top style="double"/>
      <bottom style="hair"/>
    </border>
    <border>
      <left/>
      <right style="hair"/>
      <top style="double"/>
      <bottom style="hair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medium"/>
      <bottom/>
    </border>
    <border>
      <left/>
      <right/>
      <top style="hair"/>
      <bottom style="hair"/>
    </border>
    <border>
      <left style="hair"/>
      <right style="hair"/>
      <top style="medium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 style="double"/>
    </border>
    <border>
      <left style="hair"/>
      <right/>
      <top style="hair"/>
      <bottom/>
    </border>
    <border>
      <left/>
      <right style="hair"/>
      <top style="medium"/>
      <bottom style="medium"/>
    </border>
    <border>
      <left style="hair"/>
      <right/>
      <top/>
      <bottom style="medium"/>
    </border>
    <border>
      <left style="double"/>
      <right style="hair"/>
      <top style="hair"/>
      <bottom/>
    </border>
    <border>
      <left style="hair"/>
      <right style="double"/>
      <top style="double"/>
      <bottom style="hair"/>
    </border>
    <border>
      <left style="hair"/>
      <right/>
      <top style="double"/>
      <bottom style="medium"/>
    </border>
    <border>
      <left style="hair"/>
      <right/>
      <top style="medium"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 style="hair"/>
      <right style="double"/>
      <top/>
      <bottom style="hair"/>
    </border>
    <border>
      <left style="double"/>
      <right style="medium"/>
      <top style="hair"/>
      <bottom/>
    </border>
    <border>
      <left style="hair"/>
      <right style="double"/>
      <top style="hair"/>
      <bottom/>
    </border>
    <border>
      <left/>
      <right style="medium"/>
      <top/>
      <bottom/>
    </border>
    <border>
      <left style="double"/>
      <right style="double"/>
      <top style="medium"/>
      <bottom/>
    </border>
    <border>
      <left/>
      <right style="hair"/>
      <top/>
      <bottom/>
    </border>
    <border>
      <left style="double"/>
      <right style="hair"/>
      <top style="medium"/>
      <bottom/>
    </border>
    <border>
      <left style="double"/>
      <right style="hair"/>
      <top/>
      <bottom/>
    </border>
    <border>
      <left style="double"/>
      <right style="hair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double"/>
      <right style="hair"/>
      <top style="hair"/>
      <bottom style="medium"/>
    </border>
    <border>
      <left style="medium"/>
      <right/>
      <top style="hair"/>
      <bottom/>
    </border>
    <border>
      <left style="double"/>
      <right style="double"/>
      <top style="hair"/>
      <bottom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 style="double"/>
      <right/>
      <top style="medium"/>
      <bottom style="medium"/>
    </border>
    <border>
      <left style="double"/>
      <right/>
      <top style="double"/>
      <bottom style="medium"/>
    </border>
    <border>
      <left style="double"/>
      <right/>
      <top style="thin"/>
      <bottom style="medium"/>
    </border>
    <border>
      <left style="double"/>
      <right style="hair"/>
      <top style="double"/>
      <bottom style="medium"/>
    </border>
    <border>
      <left style="medium"/>
      <right style="hair"/>
      <top style="double"/>
      <bottom/>
    </border>
    <border>
      <left style="hair"/>
      <right style="hair"/>
      <top style="double"/>
      <bottom/>
    </border>
    <border>
      <left style="double"/>
      <right style="hair"/>
      <top style="double"/>
      <bottom/>
    </border>
    <border>
      <left/>
      <right style="hair"/>
      <top style="double"/>
      <bottom/>
    </border>
    <border>
      <left/>
      <right style="medium"/>
      <top style="double"/>
      <bottom/>
    </border>
    <border>
      <left style="double"/>
      <right/>
      <top style="hair"/>
      <bottom style="hair"/>
    </border>
    <border>
      <left style="double"/>
      <right style="medium"/>
      <top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double"/>
      <right/>
      <top style="hair"/>
      <bottom style="medium"/>
    </border>
    <border>
      <left/>
      <right style="double"/>
      <top style="hair"/>
      <bottom/>
    </border>
    <border>
      <left/>
      <right style="double"/>
      <top/>
      <bottom/>
    </border>
    <border>
      <left/>
      <right style="medium"/>
      <top style="hair"/>
      <bottom style="medium"/>
    </border>
    <border>
      <left style="double"/>
      <right style="medium"/>
      <top style="double"/>
      <bottom/>
    </border>
    <border>
      <left style="double"/>
      <right style="hair"/>
      <top style="hair"/>
      <bottom style="double"/>
    </border>
    <border>
      <left/>
      <right style="hair"/>
      <top style="hair"/>
      <bottom style="double"/>
    </border>
    <border>
      <left style="double"/>
      <right style="medium"/>
      <top style="hair"/>
      <bottom style="double"/>
    </border>
    <border>
      <left/>
      <right style="medium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 style="double"/>
      <bottom/>
    </border>
    <border>
      <left style="double"/>
      <right style="medium"/>
      <top style="double"/>
      <bottom style="hair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medium"/>
    </border>
    <border>
      <left style="thin"/>
      <right/>
      <top style="double"/>
      <bottom style="double"/>
    </border>
    <border>
      <left style="thin"/>
      <right style="double"/>
      <top/>
      <bottom/>
    </border>
    <border>
      <left style="thin"/>
      <right/>
      <top/>
      <bottom style="double"/>
    </border>
    <border>
      <left style="hair"/>
      <right/>
      <top/>
      <bottom/>
    </border>
    <border>
      <left/>
      <right style="double"/>
      <top style="hair"/>
      <bottom style="hair"/>
    </border>
    <border>
      <left style="hair"/>
      <right/>
      <top style="hair"/>
      <bottom style="double"/>
    </border>
    <border>
      <left style="hair"/>
      <right/>
      <top style="double"/>
      <bottom/>
    </border>
    <border>
      <left style="hair"/>
      <right style="double"/>
      <top/>
      <bottom/>
    </border>
    <border>
      <left/>
      <right/>
      <top style="hair"/>
      <bottom style="double"/>
    </border>
    <border>
      <left/>
      <right/>
      <top style="medium"/>
      <bottom style="hair"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double"/>
      <right style="hair"/>
      <top/>
      <bottom style="medium"/>
    </border>
    <border>
      <left style="hair"/>
      <right/>
      <top style="hair"/>
      <bottom style="medium"/>
    </border>
    <border>
      <left/>
      <right style="medium"/>
      <top style="medium"/>
      <bottom style="hair"/>
    </border>
    <border>
      <left style="hair"/>
      <right style="medium"/>
      <top style="hair"/>
      <bottom style="double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double"/>
      <top style="hair"/>
      <bottom style="medium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hair"/>
      <right/>
      <top style="medium"/>
      <bottom/>
    </border>
    <border>
      <left style="thin"/>
      <right style="double"/>
      <top style="hair"/>
      <bottom style="hair"/>
    </border>
    <border>
      <left style="thin"/>
      <right style="double"/>
      <top/>
      <bottom style="hair"/>
    </border>
    <border>
      <left style="thin"/>
      <right style="double"/>
      <top style="hair"/>
      <bottom/>
    </border>
    <border>
      <left style="thin"/>
      <right style="medium"/>
      <top style="hair"/>
      <bottom style="hair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hair"/>
      <bottom style="double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hair"/>
      <right style="double"/>
      <top style="hair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medium"/>
    </border>
    <border>
      <left/>
      <right style="medium"/>
      <top style="thin"/>
      <bottom style="medium"/>
    </border>
    <border>
      <left style="thin"/>
      <right style="double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hair"/>
    </border>
    <border>
      <left/>
      <right/>
      <top style="double"/>
      <bottom style="hair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hair"/>
      <top style="double"/>
      <bottom style="medium"/>
    </border>
    <border>
      <left style="hair"/>
      <right/>
      <top/>
      <bottom style="double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 style="medium"/>
      <bottom/>
    </border>
    <border>
      <left style="double"/>
      <right/>
      <top style="medium"/>
      <bottom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medium"/>
    </border>
    <border>
      <left/>
      <right style="double"/>
      <top style="double"/>
      <bottom/>
    </border>
    <border>
      <left/>
      <right style="double"/>
      <top style="double"/>
      <bottom style="hair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uble"/>
    </border>
    <border>
      <left style="hair"/>
      <right style="medium"/>
      <top style="medium"/>
      <bottom/>
    </border>
    <border>
      <left style="hair"/>
      <right style="medium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medium"/>
    </border>
    <border>
      <left/>
      <right style="double"/>
      <top style="medium"/>
      <bottom/>
    </border>
    <border>
      <left/>
      <right style="double"/>
      <top style="medium"/>
      <bottom style="hair"/>
    </border>
    <border>
      <left/>
      <right style="double"/>
      <top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double"/>
    </border>
    <border>
      <left/>
      <right style="hair"/>
      <top style="medium"/>
      <bottom style="double"/>
    </border>
    <border>
      <left/>
      <right style="hair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8" borderId="7" applyNumberFormat="0" applyFont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67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" fillId="0" borderId="0" xfId="117" applyNumberFormat="1" applyFont="1" applyFill="1" applyAlignment="1">
      <alignment horizontal="center"/>
      <protection/>
    </xf>
    <xf numFmtId="3" fontId="2" fillId="0" borderId="0" xfId="117" applyNumberFormat="1" applyFont="1" applyFill="1">
      <alignment/>
      <protection/>
    </xf>
    <xf numFmtId="3" fontId="4" fillId="0" borderId="0" xfId="117" applyNumberFormat="1" applyFont="1" applyFill="1">
      <alignment/>
      <protection/>
    </xf>
    <xf numFmtId="3" fontId="2" fillId="0" borderId="0" xfId="117" applyNumberFormat="1" applyFont="1" applyFill="1" applyAlignment="1">
      <alignment vertical="center"/>
      <protection/>
    </xf>
    <xf numFmtId="3" fontId="2" fillId="0" borderId="0" xfId="117" applyNumberFormat="1" applyFont="1" applyFill="1" applyAlignment="1">
      <alignment horizontal="center" vertical="top"/>
      <protection/>
    </xf>
    <xf numFmtId="3" fontId="2" fillId="0" borderId="0" xfId="117" applyNumberFormat="1" applyFont="1" applyFill="1" applyAlignment="1">
      <alignment horizontal="center" vertical="center"/>
      <protection/>
    </xf>
    <xf numFmtId="3" fontId="5" fillId="0" borderId="0" xfId="117" applyNumberFormat="1" applyFont="1" applyFill="1" applyAlignment="1">
      <alignment horizontal="center" vertical="center"/>
      <protection/>
    </xf>
    <xf numFmtId="3" fontId="4" fillId="0" borderId="0" xfId="0" applyNumberFormat="1" applyFont="1" applyFill="1" applyBorder="1" applyAlignment="1">
      <alignment/>
    </xf>
    <xf numFmtId="3" fontId="2" fillId="0" borderId="0" xfId="117" applyNumberFormat="1" applyFont="1" applyFill="1" applyBorder="1" applyAlignment="1">
      <alignment vertical="top" wrapText="1"/>
      <protection/>
    </xf>
    <xf numFmtId="3" fontId="2" fillId="0" borderId="0" xfId="117" applyNumberFormat="1" applyFont="1" applyFill="1" applyBorder="1" applyAlignment="1">
      <alignment horizontal="center"/>
      <protection/>
    </xf>
    <xf numFmtId="3" fontId="4" fillId="0" borderId="0" xfId="117" applyNumberFormat="1" applyFont="1" applyFill="1" applyBorder="1">
      <alignment/>
      <protection/>
    </xf>
    <xf numFmtId="3" fontId="4" fillId="0" borderId="0" xfId="117" applyNumberFormat="1" applyFont="1" applyFill="1" applyBorder="1" applyAlignment="1">
      <alignment vertical="top" wrapText="1"/>
      <protection/>
    </xf>
    <xf numFmtId="3" fontId="4" fillId="0" borderId="0" xfId="117" applyNumberFormat="1" applyFont="1" applyFill="1" applyBorder="1" applyAlignment="1">
      <alignment horizontal="center"/>
      <protection/>
    </xf>
    <xf numFmtId="3" fontId="2" fillId="0" borderId="0" xfId="117" applyNumberFormat="1" applyFont="1" applyFill="1" applyAlignment="1">
      <alignment vertical="top" wrapText="1"/>
      <protection/>
    </xf>
    <xf numFmtId="3" fontId="2" fillId="0" borderId="0" xfId="117" applyNumberFormat="1" applyFont="1" applyFill="1" applyBorder="1" applyAlignment="1">
      <alignment horizontal="center" vertical="top" wrapText="1"/>
      <protection/>
    </xf>
    <xf numFmtId="3" fontId="4" fillId="0" borderId="0" xfId="117" applyNumberFormat="1" applyFont="1" applyFill="1" applyAlignment="1">
      <alignment vertical="top" wrapText="1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top"/>
    </xf>
    <xf numFmtId="3" fontId="10" fillId="0" borderId="11" xfId="116" applyNumberFormat="1" applyFont="1" applyFill="1" applyBorder="1" applyAlignment="1">
      <alignment horizontal="center" vertical="center" wrapText="1"/>
      <protection/>
    </xf>
    <xf numFmtId="3" fontId="4" fillId="0" borderId="0" xfId="116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116" applyNumberFormat="1" applyFont="1" applyFill="1">
      <alignment/>
      <protection/>
    </xf>
    <xf numFmtId="3" fontId="2" fillId="0" borderId="0" xfId="116" applyNumberFormat="1" applyFont="1" applyFill="1" applyAlignment="1">
      <alignment horizontal="right"/>
      <protection/>
    </xf>
    <xf numFmtId="3" fontId="2" fillId="0" borderId="0" xfId="116" applyNumberFormat="1" applyFont="1" applyFill="1" applyAlignment="1">
      <alignment/>
      <protection/>
    </xf>
    <xf numFmtId="3" fontId="2" fillId="0" borderId="0" xfId="116" applyNumberFormat="1" applyFont="1" applyFill="1" applyAlignment="1">
      <alignment vertical="center"/>
      <protection/>
    </xf>
    <xf numFmtId="3" fontId="2" fillId="0" borderId="0" xfId="116" applyNumberFormat="1" applyFont="1" applyFill="1" applyAlignment="1">
      <alignment horizontal="center" vertical="center"/>
      <protection/>
    </xf>
    <xf numFmtId="3" fontId="4" fillId="0" borderId="14" xfId="116" applyNumberFormat="1" applyFont="1" applyFill="1" applyBorder="1" applyAlignment="1">
      <alignment horizontal="center"/>
      <protection/>
    </xf>
    <xf numFmtId="3" fontId="2" fillId="0" borderId="14" xfId="116" applyNumberFormat="1" applyFont="1" applyFill="1" applyBorder="1" applyAlignment="1">
      <alignment horizontal="center"/>
      <protection/>
    </xf>
    <xf numFmtId="3" fontId="4" fillId="0" borderId="14" xfId="116" applyNumberFormat="1" applyFont="1" applyFill="1" applyBorder="1" applyAlignment="1">
      <alignment wrapText="1"/>
      <protection/>
    </xf>
    <xf numFmtId="3" fontId="4" fillId="0" borderId="14" xfId="116" applyNumberFormat="1" applyFont="1" applyFill="1" applyBorder="1">
      <alignment/>
      <protection/>
    </xf>
    <xf numFmtId="3" fontId="4" fillId="0" borderId="0" xfId="116" applyNumberFormat="1" applyFont="1" applyFill="1">
      <alignment/>
      <protection/>
    </xf>
    <xf numFmtId="49" fontId="2" fillId="0" borderId="10" xfId="116" applyNumberFormat="1" applyFont="1" applyFill="1" applyBorder="1" applyAlignment="1">
      <alignment horizontal="center"/>
      <protection/>
    </xf>
    <xf numFmtId="3" fontId="2" fillId="0" borderId="0" xfId="116" applyNumberFormat="1" applyFont="1" applyFill="1" applyBorder="1" applyAlignment="1">
      <alignment horizontal="center"/>
      <protection/>
    </xf>
    <xf numFmtId="3" fontId="2" fillId="0" borderId="0" xfId="116" applyNumberFormat="1" applyFont="1" applyFill="1" applyBorder="1">
      <alignment/>
      <protection/>
    </xf>
    <xf numFmtId="3" fontId="2" fillId="0" borderId="0" xfId="116" applyNumberFormat="1" applyFont="1" applyFill="1" applyBorder="1" applyAlignment="1">
      <alignment horizontal="left" indent="2"/>
      <protection/>
    </xf>
    <xf numFmtId="3" fontId="4" fillId="0" borderId="12" xfId="116" applyNumberFormat="1" applyFont="1" applyFill="1" applyBorder="1" applyAlignment="1">
      <alignment horizontal="center"/>
      <protection/>
    </xf>
    <xf numFmtId="3" fontId="2" fillId="0" borderId="12" xfId="116" applyNumberFormat="1" applyFont="1" applyFill="1" applyBorder="1" applyAlignment="1">
      <alignment horizontal="center"/>
      <protection/>
    </xf>
    <xf numFmtId="3" fontId="4" fillId="0" borderId="12" xfId="116" applyNumberFormat="1" applyFont="1" applyFill="1" applyBorder="1">
      <alignment/>
      <protection/>
    </xf>
    <xf numFmtId="3" fontId="4" fillId="0" borderId="0" xfId="116" applyNumberFormat="1" applyFont="1" applyFill="1" applyBorder="1" applyAlignment="1">
      <alignment horizontal="center"/>
      <protection/>
    </xf>
    <xf numFmtId="3" fontId="4" fillId="0" borderId="0" xfId="116" applyNumberFormat="1" applyFont="1" applyFill="1" applyBorder="1">
      <alignment/>
      <protection/>
    </xf>
    <xf numFmtId="3" fontId="5" fillId="0" borderId="0" xfId="116" applyNumberFormat="1" applyFont="1" applyFill="1" applyBorder="1" applyAlignment="1">
      <alignment horizontal="center"/>
      <protection/>
    </xf>
    <xf numFmtId="3" fontId="5" fillId="0" borderId="0" xfId="116" applyNumberFormat="1" applyFont="1" applyFill="1" applyBorder="1" applyAlignment="1">
      <alignment horizontal="left" indent="2"/>
      <protection/>
    </xf>
    <xf numFmtId="3" fontId="5" fillId="0" borderId="0" xfId="116" applyNumberFormat="1" applyFont="1" applyFill="1" applyBorder="1">
      <alignment/>
      <protection/>
    </xf>
    <xf numFmtId="3" fontId="5" fillId="0" borderId="0" xfId="116" applyNumberFormat="1" applyFont="1" applyFill="1">
      <alignment/>
      <protection/>
    </xf>
    <xf numFmtId="3" fontId="2" fillId="0" borderId="0" xfId="116" applyNumberFormat="1" applyFont="1" applyFill="1" applyBorder="1" applyAlignment="1">
      <alignment horizontal="left" indent="3"/>
      <protection/>
    </xf>
    <xf numFmtId="3" fontId="4" fillId="0" borderId="0" xfId="116" applyNumberFormat="1" applyFont="1" applyFill="1" applyBorder="1" applyAlignment="1">
      <alignment horizontal="center" vertical="center"/>
      <protection/>
    </xf>
    <xf numFmtId="3" fontId="4" fillId="0" borderId="0" xfId="116" applyNumberFormat="1" applyFont="1" applyFill="1" applyBorder="1" applyAlignment="1">
      <alignment vertical="center"/>
      <protection/>
    </xf>
    <xf numFmtId="3" fontId="2" fillId="0" borderId="0" xfId="116" applyNumberFormat="1" applyFont="1" applyFill="1" applyBorder="1" applyAlignment="1">
      <alignment horizontal="left"/>
      <protection/>
    </xf>
    <xf numFmtId="49" fontId="2" fillId="0" borderId="10" xfId="116" applyNumberFormat="1" applyFont="1" applyFill="1" applyBorder="1" applyAlignment="1">
      <alignment horizontal="center" vertical="top"/>
      <protection/>
    </xf>
    <xf numFmtId="3" fontId="2" fillId="0" borderId="0" xfId="116" applyNumberFormat="1" applyFont="1" applyFill="1" applyBorder="1" applyAlignment="1">
      <alignment horizontal="center" vertical="top"/>
      <protection/>
    </xf>
    <xf numFmtId="3" fontId="2" fillId="0" borderId="0" xfId="116" applyNumberFormat="1" applyFont="1" applyFill="1" applyBorder="1" applyAlignment="1">
      <alignment vertical="top"/>
      <protection/>
    </xf>
    <xf numFmtId="3" fontId="2" fillId="0" borderId="0" xfId="116" applyNumberFormat="1" applyFont="1" applyFill="1" applyAlignment="1">
      <alignment vertical="top"/>
      <protection/>
    </xf>
    <xf numFmtId="49" fontId="2" fillId="0" borderId="15" xfId="116" applyNumberFormat="1" applyFont="1" applyFill="1" applyBorder="1" applyAlignment="1">
      <alignment horizontal="center" vertical="center"/>
      <protection/>
    </xf>
    <xf numFmtId="3" fontId="4" fillId="0" borderId="16" xfId="116" applyNumberFormat="1" applyFont="1" applyFill="1" applyBorder="1" applyAlignment="1">
      <alignment horizontal="center" vertical="center"/>
      <protection/>
    </xf>
    <xf numFmtId="3" fontId="2" fillId="0" borderId="16" xfId="116" applyNumberFormat="1" applyFont="1" applyFill="1" applyBorder="1" applyAlignment="1">
      <alignment horizontal="center" vertical="center"/>
      <protection/>
    </xf>
    <xf numFmtId="3" fontId="4" fillId="0" borderId="16" xfId="116" applyNumberFormat="1" applyFont="1" applyFill="1" applyBorder="1" applyAlignment="1">
      <alignment vertical="center"/>
      <protection/>
    </xf>
    <xf numFmtId="3" fontId="2" fillId="0" borderId="0" xfId="116" applyNumberFormat="1" applyFont="1" applyFill="1" applyBorder="1" applyAlignment="1">
      <alignment/>
      <protection/>
    </xf>
    <xf numFmtId="3" fontId="2" fillId="0" borderId="0" xfId="116" applyNumberFormat="1" applyFont="1" applyFill="1" applyBorder="1" applyAlignment="1">
      <alignment horizontal="left" indent="1"/>
      <protection/>
    </xf>
    <xf numFmtId="3" fontId="2" fillId="0" borderId="0" xfId="116" applyNumberFormat="1" applyFont="1" applyFill="1" applyBorder="1" applyAlignment="1">
      <alignment horizontal="left" vertical="top" indent="1"/>
      <protection/>
    </xf>
    <xf numFmtId="49" fontId="2" fillId="0" borderId="0" xfId="116" applyNumberFormat="1" applyFont="1" applyFill="1" applyBorder="1" applyAlignment="1">
      <alignment horizontal="center"/>
      <protection/>
    </xf>
    <xf numFmtId="49" fontId="2" fillId="0" borderId="0" xfId="116" applyNumberFormat="1" applyFont="1" applyFill="1" applyAlignment="1">
      <alignment horizontal="center"/>
      <protection/>
    </xf>
    <xf numFmtId="3" fontId="4" fillId="0" borderId="0" xfId="116" applyNumberFormat="1" applyFont="1" applyFill="1" applyAlignment="1">
      <alignment horizontal="center"/>
      <protection/>
    </xf>
    <xf numFmtId="3" fontId="2" fillId="0" borderId="0" xfId="116" applyNumberFormat="1" applyFont="1" applyFill="1" applyAlignment="1">
      <alignment horizontal="center"/>
      <protection/>
    </xf>
    <xf numFmtId="3" fontId="4" fillId="0" borderId="0" xfId="117" applyNumberFormat="1" applyFont="1" applyFill="1" applyAlignment="1">
      <alignment horizontal="center"/>
      <protection/>
    </xf>
    <xf numFmtId="3" fontId="10" fillId="0" borderId="0" xfId="0" applyNumberFormat="1" applyFont="1" applyFill="1" applyBorder="1" applyAlignment="1">
      <alignment horizontal="right"/>
    </xf>
    <xf numFmtId="3" fontId="6" fillId="0" borderId="0" xfId="117" applyNumberFormat="1" applyFont="1" applyFill="1" applyAlignment="1">
      <alignment horizontal="center" vertical="center"/>
      <protection/>
    </xf>
    <xf numFmtId="3" fontId="10" fillId="0" borderId="17" xfId="0" applyNumberFormat="1" applyFont="1" applyFill="1" applyBorder="1" applyAlignment="1">
      <alignment horizontal="center" wrapText="1"/>
    </xf>
    <xf numFmtId="3" fontId="10" fillId="0" borderId="18" xfId="0" applyNumberFormat="1" applyFont="1" applyFill="1" applyBorder="1" applyAlignment="1">
      <alignment horizontal="center" wrapText="1"/>
    </xf>
    <xf numFmtId="3" fontId="10" fillId="0" borderId="19" xfId="0" applyNumberFormat="1" applyFont="1" applyFill="1" applyBorder="1" applyAlignment="1">
      <alignment horizontal="center" wrapText="1"/>
    </xf>
    <xf numFmtId="3" fontId="10" fillId="0" borderId="20" xfId="0" applyNumberFormat="1" applyFont="1" applyFill="1" applyBorder="1" applyAlignment="1">
      <alignment horizontal="center" wrapText="1"/>
    </xf>
    <xf numFmtId="3" fontId="10" fillId="0" borderId="2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3" fontId="10" fillId="0" borderId="2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/>
    </xf>
    <xf numFmtId="3" fontId="17" fillId="0" borderId="0" xfId="117" applyNumberFormat="1" applyFont="1" applyFill="1" applyAlignment="1">
      <alignment horizontal="center" vertical="center"/>
      <protection/>
    </xf>
    <xf numFmtId="3" fontId="12" fillId="0" borderId="2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0" borderId="19" xfId="117" applyNumberFormat="1" applyFont="1" applyFill="1" applyBorder="1" applyAlignment="1">
      <alignment horizontal="center"/>
      <protection/>
    </xf>
    <xf numFmtId="3" fontId="10" fillId="0" borderId="20" xfId="117" applyNumberFormat="1" applyFont="1" applyFill="1" applyBorder="1" applyAlignment="1">
      <alignment horizontal="center"/>
      <protection/>
    </xf>
    <xf numFmtId="3" fontId="10" fillId="0" borderId="20" xfId="117" applyNumberFormat="1" applyFont="1" applyFill="1" applyBorder="1" applyAlignment="1">
      <alignment wrapText="1"/>
      <protection/>
    </xf>
    <xf numFmtId="3" fontId="10" fillId="0" borderId="20" xfId="117" applyNumberFormat="1" applyFont="1" applyFill="1" applyBorder="1" applyAlignment="1">
      <alignment horizontal="right"/>
      <protection/>
    </xf>
    <xf numFmtId="3" fontId="10" fillId="0" borderId="22" xfId="117" applyNumberFormat="1" applyFont="1" applyFill="1" applyBorder="1" applyAlignment="1">
      <alignment horizontal="right"/>
      <protection/>
    </xf>
    <xf numFmtId="3" fontId="10" fillId="0" borderId="19" xfId="117" applyNumberFormat="1" applyFont="1" applyFill="1" applyBorder="1" applyAlignment="1">
      <alignment horizontal="center" vertical="center"/>
      <protection/>
    </xf>
    <xf numFmtId="3" fontId="10" fillId="0" borderId="20" xfId="117" applyNumberFormat="1" applyFont="1" applyFill="1" applyBorder="1" applyAlignment="1">
      <alignment horizontal="center" vertical="center"/>
      <protection/>
    </xf>
    <xf numFmtId="3" fontId="10" fillId="0" borderId="23" xfId="117" applyNumberFormat="1" applyFont="1" applyFill="1" applyBorder="1" applyAlignment="1">
      <alignment wrapText="1"/>
      <protection/>
    </xf>
    <xf numFmtId="3" fontId="12" fillId="0" borderId="23" xfId="117" applyNumberFormat="1" applyFont="1" applyFill="1" applyBorder="1" applyAlignment="1">
      <alignment horizontal="right"/>
      <protection/>
    </xf>
    <xf numFmtId="3" fontId="12" fillId="0" borderId="24" xfId="117" applyNumberFormat="1" applyFont="1" applyFill="1" applyBorder="1" applyAlignment="1">
      <alignment horizontal="right"/>
      <protection/>
    </xf>
    <xf numFmtId="3" fontId="12" fillId="0" borderId="19" xfId="117" applyNumberFormat="1" applyFont="1" applyFill="1" applyBorder="1" applyAlignment="1">
      <alignment horizontal="center" vertical="center"/>
      <protection/>
    </xf>
    <xf numFmtId="3" fontId="12" fillId="0" borderId="20" xfId="117" applyNumberFormat="1" applyFont="1" applyFill="1" applyBorder="1" applyAlignment="1">
      <alignment horizontal="right"/>
      <protection/>
    </xf>
    <xf numFmtId="3" fontId="12" fillId="0" borderId="22" xfId="117" applyNumberFormat="1" applyFont="1" applyFill="1" applyBorder="1" applyAlignment="1">
      <alignment horizontal="right"/>
      <protection/>
    </xf>
    <xf numFmtId="3" fontId="12" fillId="0" borderId="20" xfId="117" applyNumberFormat="1" applyFont="1" applyFill="1" applyBorder="1" applyAlignment="1">
      <alignment vertical="center" wrapText="1"/>
      <protection/>
    </xf>
    <xf numFmtId="3" fontId="10" fillId="0" borderId="20" xfId="117" applyNumberFormat="1" applyFont="1" applyFill="1" applyBorder="1" applyAlignment="1">
      <alignment/>
      <protection/>
    </xf>
    <xf numFmtId="3" fontId="10" fillId="0" borderId="22" xfId="117" applyNumberFormat="1" applyFont="1" applyFill="1" applyBorder="1" applyAlignment="1">
      <alignment/>
      <protection/>
    </xf>
    <xf numFmtId="3" fontId="10" fillId="0" borderId="19" xfId="117" applyNumberFormat="1" applyFont="1" applyFill="1" applyBorder="1" applyAlignment="1">
      <alignment horizontal="center" vertical="top"/>
      <protection/>
    </xf>
    <xf numFmtId="49" fontId="12" fillId="0" borderId="20" xfId="117" applyNumberFormat="1" applyFont="1" applyFill="1" applyBorder="1" applyAlignment="1">
      <alignment horizontal="left" vertical="center" wrapText="1" indent="4"/>
      <protection/>
    </xf>
    <xf numFmtId="3" fontId="10" fillId="0" borderId="25" xfId="117" applyNumberFormat="1" applyFont="1" applyFill="1" applyBorder="1" applyAlignment="1">
      <alignment horizontal="center" vertical="center"/>
      <protection/>
    </xf>
    <xf numFmtId="3" fontId="16" fillId="0" borderId="25" xfId="117" applyNumberFormat="1" applyFont="1" applyFill="1" applyBorder="1" applyAlignment="1">
      <alignment horizontal="center"/>
      <protection/>
    </xf>
    <xf numFmtId="3" fontId="17" fillId="0" borderId="0" xfId="117" applyNumberFormat="1" applyFont="1" applyFill="1" applyAlignment="1">
      <alignment horizontal="center"/>
      <protection/>
    </xf>
    <xf numFmtId="3" fontId="12" fillId="0" borderId="20" xfId="117" applyNumberFormat="1" applyFont="1" applyFill="1" applyBorder="1" applyAlignment="1">
      <alignment horizontal="left" wrapText="1" indent="2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10" fillId="0" borderId="25" xfId="117" applyNumberFormat="1" applyFont="1" applyFill="1" applyBorder="1" applyAlignment="1">
      <alignment horizontal="center"/>
      <protection/>
    </xf>
    <xf numFmtId="3" fontId="2" fillId="0" borderId="19" xfId="117" applyNumberFormat="1" applyFont="1" applyFill="1" applyBorder="1" applyAlignment="1">
      <alignment vertical="center" wrapText="1"/>
      <protection/>
    </xf>
    <xf numFmtId="3" fontId="2" fillId="0" borderId="21" xfId="0" applyNumberFormat="1" applyFont="1" applyFill="1" applyBorder="1" applyAlignment="1">
      <alignment horizontal="right" vertical="center" wrapText="1"/>
    </xf>
    <xf numFmtId="3" fontId="4" fillId="0" borderId="26" xfId="117" applyNumberFormat="1" applyFont="1" applyFill="1" applyBorder="1" applyAlignment="1">
      <alignment horizontal="center" vertical="center" wrapText="1"/>
      <protection/>
    </xf>
    <xf numFmtId="3" fontId="4" fillId="0" borderId="27" xfId="117" applyNumberFormat="1" applyFont="1" applyFill="1" applyBorder="1" applyAlignment="1">
      <alignment vertical="center"/>
      <protection/>
    </xf>
    <xf numFmtId="3" fontId="10" fillId="0" borderId="23" xfId="0" applyNumberFormat="1" applyFont="1" applyFill="1" applyBorder="1" applyAlignment="1">
      <alignment horizontal="right" wrapText="1"/>
    </xf>
    <xf numFmtId="3" fontId="10" fillId="0" borderId="23" xfId="117" applyNumberFormat="1" applyFont="1" applyFill="1" applyBorder="1" applyAlignment="1">
      <alignment horizontal="right"/>
      <protection/>
    </xf>
    <xf numFmtId="3" fontId="10" fillId="0" borderId="24" xfId="117" applyNumberFormat="1" applyFont="1" applyFill="1" applyBorder="1" applyAlignment="1">
      <alignment horizontal="right"/>
      <protection/>
    </xf>
    <xf numFmtId="0" fontId="9" fillId="0" borderId="0" xfId="117" applyNumberFormat="1" applyFont="1" applyFill="1" applyBorder="1" applyAlignment="1">
      <alignment horizontal="center" vertical="center"/>
      <protection/>
    </xf>
    <xf numFmtId="0" fontId="19" fillId="0" borderId="0" xfId="117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top"/>
    </xf>
    <xf numFmtId="3" fontId="10" fillId="0" borderId="28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4" fillId="0" borderId="14" xfId="116" applyNumberFormat="1" applyFont="1" applyFill="1" applyBorder="1" applyAlignment="1">
      <alignment horizontal="left" textRotation="90" wrapText="1"/>
      <protection/>
    </xf>
    <xf numFmtId="3" fontId="2" fillId="0" borderId="14" xfId="116" applyNumberFormat="1" applyFont="1" applyFill="1" applyBorder="1" applyAlignment="1">
      <alignment horizontal="center" wrapText="1"/>
      <protection/>
    </xf>
    <xf numFmtId="3" fontId="4" fillId="0" borderId="14" xfId="116" applyNumberFormat="1" applyFont="1" applyFill="1" applyBorder="1" applyAlignment="1">
      <alignment horizontal="left" wrapText="1"/>
      <protection/>
    </xf>
    <xf numFmtId="3" fontId="4" fillId="0" borderId="0" xfId="116" applyNumberFormat="1" applyFont="1" applyFill="1" applyBorder="1" applyAlignment="1">
      <alignment horizontal="left"/>
      <protection/>
    </xf>
    <xf numFmtId="3" fontId="4" fillId="0" borderId="0" xfId="116" applyNumberFormat="1" applyFont="1" applyFill="1" applyAlignment="1">
      <alignment horizontal="left"/>
      <protection/>
    </xf>
    <xf numFmtId="3" fontId="4" fillId="0" borderId="0" xfId="116" applyNumberFormat="1" applyFont="1" applyFill="1" applyBorder="1" applyAlignment="1">
      <alignment horizontal="left" wrapText="1"/>
      <protection/>
    </xf>
    <xf numFmtId="3" fontId="2" fillId="0" borderId="0" xfId="116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wrapText="1"/>
    </xf>
    <xf numFmtId="3" fontId="4" fillId="0" borderId="13" xfId="116" applyNumberFormat="1" applyFont="1" applyFill="1" applyBorder="1" applyAlignment="1">
      <alignment horizontal="left" textRotation="90" wrapText="1"/>
      <protection/>
    </xf>
    <xf numFmtId="3" fontId="2" fillId="0" borderId="13" xfId="116" applyNumberFormat="1" applyFont="1" applyFill="1" applyBorder="1" applyAlignment="1">
      <alignment horizontal="center" wrapText="1"/>
      <protection/>
    </xf>
    <xf numFmtId="3" fontId="4" fillId="0" borderId="13" xfId="116" applyNumberFormat="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4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top"/>
    </xf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3" fontId="2" fillId="0" borderId="0" xfId="117" applyNumberFormat="1" applyFont="1" applyFill="1" applyBorder="1" applyAlignment="1">
      <alignment vertical="center" wrapText="1"/>
      <protection/>
    </xf>
    <xf numFmtId="3" fontId="2" fillId="0" borderId="0" xfId="120" applyNumberFormat="1" applyFont="1">
      <alignment/>
      <protection/>
    </xf>
    <xf numFmtId="3" fontId="2" fillId="0" borderId="0" xfId="120" applyNumberFormat="1" applyFont="1" applyAlignment="1">
      <alignment horizontal="center"/>
      <protection/>
    </xf>
    <xf numFmtId="14" fontId="2" fillId="0" borderId="0" xfId="120" applyNumberFormat="1" applyFont="1" applyAlignment="1">
      <alignment horizontal="center"/>
      <protection/>
    </xf>
    <xf numFmtId="3" fontId="2" fillId="0" borderId="0" xfId="120" applyNumberFormat="1" applyFont="1" applyAlignment="1">
      <alignment horizontal="center" vertical="center" wrapText="1"/>
      <protection/>
    </xf>
    <xf numFmtId="3" fontId="4" fillId="0" borderId="32" xfId="120" applyNumberFormat="1" applyFont="1" applyBorder="1" applyAlignment="1">
      <alignment horizontal="right" vertical="center"/>
      <protection/>
    </xf>
    <xf numFmtId="3" fontId="2" fillId="0" borderId="33" xfId="120" applyNumberFormat="1" applyFont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34" xfId="116" applyNumberFormat="1" applyFont="1" applyFill="1" applyBorder="1" applyAlignment="1">
      <alignment horizontal="center" vertical="center" wrapText="1"/>
      <protection/>
    </xf>
    <xf numFmtId="3" fontId="2" fillId="0" borderId="0" xfId="116" applyNumberFormat="1" applyFont="1" applyFill="1" applyBorder="1" applyAlignment="1">
      <alignment horizontal="center" vertical="top" wrapText="1"/>
      <protection/>
    </xf>
    <xf numFmtId="3" fontId="10" fillId="0" borderId="35" xfId="0" applyNumberFormat="1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top"/>
    </xf>
    <xf numFmtId="3" fontId="10" fillId="0" borderId="20" xfId="0" applyNumberFormat="1" applyFont="1" applyFill="1" applyBorder="1" applyAlignment="1">
      <alignment horizontal="center" vertical="top"/>
    </xf>
    <xf numFmtId="3" fontId="10" fillId="0" borderId="20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top"/>
    </xf>
    <xf numFmtId="3" fontId="12" fillId="0" borderId="20" xfId="0" applyNumberFormat="1" applyFont="1" applyFill="1" applyBorder="1" applyAlignment="1">
      <alignment vertical="top"/>
    </xf>
    <xf numFmtId="3" fontId="13" fillId="0" borderId="21" xfId="0" applyNumberFormat="1" applyFont="1" applyFill="1" applyBorder="1" applyAlignment="1">
      <alignment vertical="top"/>
    </xf>
    <xf numFmtId="0" fontId="0" fillId="0" borderId="2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3" fontId="10" fillId="0" borderId="25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3" fillId="0" borderId="21" xfId="0" applyNumberFormat="1" applyFont="1" applyFill="1" applyBorder="1" applyAlignment="1">
      <alignment/>
    </xf>
    <xf numFmtId="3" fontId="10" fillId="0" borderId="20" xfId="125" applyNumberFormat="1" applyFont="1" applyFill="1" applyBorder="1" applyAlignment="1">
      <alignment wrapText="1"/>
      <protection/>
    </xf>
    <xf numFmtId="3" fontId="16" fillId="0" borderId="0" xfId="0" applyNumberFormat="1" applyFont="1" applyFill="1" applyAlignment="1">
      <alignment vertical="center"/>
    </xf>
    <xf numFmtId="3" fontId="13" fillId="0" borderId="37" xfId="0" applyNumberFormat="1" applyFont="1" applyFill="1" applyBorder="1" applyAlignment="1">
      <alignment/>
    </xf>
    <xf numFmtId="0" fontId="20" fillId="0" borderId="21" xfId="0" applyFont="1" applyFill="1" applyBorder="1" applyAlignment="1">
      <alignment/>
    </xf>
    <xf numFmtId="3" fontId="10" fillId="0" borderId="28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3" fillId="0" borderId="28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horizontal="center" vertical="top"/>
    </xf>
    <xf numFmtId="3" fontId="13" fillId="0" borderId="42" xfId="0" applyNumberFormat="1" applyFont="1" applyFill="1" applyBorder="1" applyAlignment="1">
      <alignment vertical="center"/>
    </xf>
    <xf numFmtId="3" fontId="13" fillId="0" borderId="20" xfId="125" applyNumberFormat="1" applyFont="1" applyFill="1" applyBorder="1" applyAlignment="1">
      <alignment/>
      <protection/>
    </xf>
    <xf numFmtId="3" fontId="10" fillId="0" borderId="20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 vertical="top"/>
    </xf>
    <xf numFmtId="3" fontId="10" fillId="0" borderId="21" xfId="0" applyNumberFormat="1" applyFont="1" applyFill="1" applyBorder="1" applyAlignment="1">
      <alignment horizontal="right" vertical="top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3" fontId="12" fillId="0" borderId="21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top"/>
    </xf>
    <xf numFmtId="3" fontId="16" fillId="0" borderId="43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 horizontal="right"/>
    </xf>
    <xf numFmtId="3" fontId="13" fillId="0" borderId="37" xfId="0" applyNumberFormat="1" applyFont="1" applyFill="1" applyBorder="1" applyAlignment="1">
      <alignment horizontal="right"/>
    </xf>
    <xf numFmtId="3" fontId="13" fillId="0" borderId="20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36" xfId="0" applyNumberFormat="1" applyFont="1" applyFill="1" applyBorder="1" applyAlignment="1">
      <alignment horizontal="right" vertical="center"/>
    </xf>
    <xf numFmtId="3" fontId="13" fillId="0" borderId="37" xfId="0" applyNumberFormat="1" applyFont="1" applyFill="1" applyBorder="1" applyAlignment="1">
      <alignment horizontal="right" vertical="center"/>
    </xf>
    <xf numFmtId="3" fontId="13" fillId="0" borderId="44" xfId="0" applyNumberFormat="1" applyFont="1" applyFill="1" applyBorder="1" applyAlignment="1">
      <alignment horizontal="right"/>
    </xf>
    <xf numFmtId="3" fontId="13" fillId="0" borderId="43" xfId="0" applyNumberFormat="1" applyFont="1" applyFill="1" applyBorder="1" applyAlignment="1">
      <alignment horizontal="right" vertical="center"/>
    </xf>
    <xf numFmtId="3" fontId="13" fillId="0" borderId="44" xfId="0" applyNumberFormat="1" applyFont="1" applyFill="1" applyBorder="1" applyAlignment="1">
      <alignment horizontal="right" vertical="center"/>
    </xf>
    <xf numFmtId="3" fontId="16" fillId="0" borderId="43" xfId="0" applyNumberFormat="1" applyFont="1" applyFill="1" applyBorder="1" applyAlignment="1">
      <alignment horizontal="right" vertical="center"/>
    </xf>
    <xf numFmtId="0" fontId="2" fillId="0" borderId="45" xfId="120" applyNumberFormat="1" applyFont="1" applyBorder="1" applyAlignment="1">
      <alignment horizontal="center" vertical="center" wrapText="1"/>
      <protection/>
    </xf>
    <xf numFmtId="3" fontId="2" fillId="0" borderId="46" xfId="120" applyNumberFormat="1" applyFont="1" applyBorder="1" applyAlignment="1">
      <alignment horizontal="center" vertical="center" wrapText="1"/>
      <protection/>
    </xf>
    <xf numFmtId="3" fontId="2" fillId="0" borderId="45" xfId="120" applyNumberFormat="1" applyFont="1" applyBorder="1" applyAlignment="1">
      <alignment horizontal="center" vertical="center" wrapText="1"/>
      <protection/>
    </xf>
    <xf numFmtId="3" fontId="10" fillId="0" borderId="0" xfId="117" applyNumberFormat="1" applyFont="1" applyFill="1">
      <alignment/>
      <protection/>
    </xf>
    <xf numFmtId="3" fontId="23" fillId="0" borderId="20" xfId="117" applyNumberFormat="1" applyFont="1" applyFill="1" applyBorder="1" applyAlignment="1">
      <alignment wrapText="1"/>
      <protection/>
    </xf>
    <xf numFmtId="3" fontId="2" fillId="0" borderId="0" xfId="117" applyNumberFormat="1" applyFont="1" applyFill="1" applyBorder="1">
      <alignment/>
      <protection/>
    </xf>
    <xf numFmtId="3" fontId="2" fillId="0" borderId="47" xfId="116" applyNumberFormat="1" applyFont="1" applyFill="1" applyBorder="1" applyAlignment="1">
      <alignment horizontal="center" textRotation="90" wrapText="1"/>
      <protection/>
    </xf>
    <xf numFmtId="3" fontId="2" fillId="0" borderId="10" xfId="116" applyNumberFormat="1" applyFont="1" applyFill="1" applyBorder="1" applyAlignment="1">
      <alignment horizont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3" fontId="2" fillId="0" borderId="48" xfId="116" applyNumberFormat="1" applyFont="1" applyFill="1" applyBorder="1" applyAlignment="1">
      <alignment horizontal="center" textRotation="90" wrapText="1"/>
      <protection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9" fontId="2" fillId="0" borderId="47" xfId="116" applyNumberFormat="1" applyFont="1" applyFill="1" applyBorder="1" applyAlignment="1">
      <alignment horizontal="center"/>
      <protection/>
    </xf>
    <xf numFmtId="49" fontId="2" fillId="0" borderId="48" xfId="116" applyNumberFormat="1" applyFont="1" applyFill="1" applyBorder="1" applyAlignment="1">
      <alignment horizontal="center"/>
      <protection/>
    </xf>
    <xf numFmtId="49" fontId="5" fillId="0" borderId="10" xfId="116" applyNumberFormat="1" applyFont="1" applyFill="1" applyBorder="1" applyAlignment="1">
      <alignment horizontal="center"/>
      <protection/>
    </xf>
    <xf numFmtId="49" fontId="2" fillId="0" borderId="10" xfId="116" applyNumberFormat="1" applyFont="1" applyFill="1" applyBorder="1" applyAlignment="1">
      <alignment horizontal="center" vertical="center"/>
      <protection/>
    </xf>
    <xf numFmtId="3" fontId="10" fillId="0" borderId="34" xfId="116" applyNumberFormat="1" applyFont="1" applyFill="1" applyBorder="1" applyAlignment="1">
      <alignment horizontal="center" vertical="center" wrapText="1"/>
      <protection/>
    </xf>
    <xf numFmtId="3" fontId="2" fillId="0" borderId="52" xfId="116" applyNumberFormat="1" applyFont="1" applyFill="1" applyBorder="1" applyAlignment="1">
      <alignment horizontal="center" vertical="center" textRotation="90" wrapText="1"/>
      <protection/>
    </xf>
    <xf numFmtId="3" fontId="2" fillId="0" borderId="34" xfId="116" applyNumberFormat="1" applyFont="1" applyFill="1" applyBorder="1" applyAlignment="1">
      <alignment horizontal="center" vertical="center" textRotation="90" wrapText="1"/>
      <protection/>
    </xf>
    <xf numFmtId="3" fontId="4" fillId="0" borderId="34" xfId="116" applyNumberFormat="1" applyFont="1" applyFill="1" applyBorder="1" applyAlignment="1">
      <alignment horizontal="center" vertical="center" wrapText="1"/>
      <protection/>
    </xf>
    <xf numFmtId="3" fontId="2" fillId="0" borderId="53" xfId="116" applyNumberFormat="1" applyFont="1" applyFill="1" applyBorder="1" applyAlignment="1">
      <alignment horizontal="center" vertical="center" wrapText="1"/>
      <protection/>
    </xf>
    <xf numFmtId="3" fontId="4" fillId="0" borderId="14" xfId="116" applyNumberFormat="1" applyFont="1" applyFill="1" applyBorder="1" applyAlignment="1">
      <alignment horizontal="right" wrapText="1"/>
      <protection/>
    </xf>
    <xf numFmtId="3" fontId="4" fillId="0" borderId="13" xfId="0" applyNumberFormat="1" applyFont="1" applyFill="1" applyBorder="1" applyAlignment="1">
      <alignment/>
    </xf>
    <xf numFmtId="3" fontId="4" fillId="0" borderId="13" xfId="116" applyNumberFormat="1" applyFont="1" applyFill="1" applyBorder="1" applyAlignment="1">
      <alignment horizontal="right" wrapText="1"/>
      <protection/>
    </xf>
    <xf numFmtId="3" fontId="4" fillId="0" borderId="2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5" fillId="0" borderId="0" xfId="116" applyNumberFormat="1" applyFont="1" applyFill="1" applyBorder="1" applyAlignment="1">
      <alignment horizontal="right"/>
      <protection/>
    </xf>
    <xf numFmtId="3" fontId="2" fillId="0" borderId="54" xfId="116" applyNumberFormat="1" applyFont="1" applyFill="1" applyBorder="1" applyAlignment="1">
      <alignment horizontal="center"/>
      <protection/>
    </xf>
    <xf numFmtId="49" fontId="2" fillId="0" borderId="52" xfId="116" applyNumberFormat="1" applyFont="1" applyFill="1" applyBorder="1" applyAlignment="1">
      <alignment horizontal="center" vertical="center" textRotation="90"/>
      <protection/>
    </xf>
    <xf numFmtId="3" fontId="2" fillId="0" borderId="34" xfId="116" applyNumberFormat="1" applyFont="1" applyFill="1" applyBorder="1" applyAlignment="1">
      <alignment horizontal="center" vertical="center" textRotation="90"/>
      <protection/>
    </xf>
    <xf numFmtId="3" fontId="4" fillId="0" borderId="34" xfId="116" applyNumberFormat="1" applyFont="1" applyFill="1" applyBorder="1" applyAlignment="1">
      <alignment horizontal="center" vertical="center"/>
      <protection/>
    </xf>
    <xf numFmtId="3" fontId="2" fillId="0" borderId="55" xfId="116" applyNumberFormat="1" applyFont="1" applyFill="1" applyBorder="1" applyAlignment="1">
      <alignment horizontal="center" vertical="center" wrapText="1"/>
      <protection/>
    </xf>
    <xf numFmtId="0" fontId="2" fillId="0" borderId="0" xfId="127" applyFont="1" applyFill="1" applyBorder="1">
      <alignment/>
      <protection/>
    </xf>
    <xf numFmtId="0" fontId="2" fillId="0" borderId="0" xfId="127" applyFont="1" applyFill="1" applyBorder="1" applyAlignment="1">
      <alignment/>
      <protection/>
    </xf>
    <xf numFmtId="0" fontId="2" fillId="0" borderId="20" xfId="127" applyFont="1" applyFill="1" applyBorder="1" applyAlignment="1">
      <alignment horizontal="center" vertical="top"/>
      <protection/>
    </xf>
    <xf numFmtId="0" fontId="2" fillId="0" borderId="20" xfId="119" applyFont="1" applyFill="1" applyBorder="1" applyAlignment="1">
      <alignment wrapText="1"/>
      <protection/>
    </xf>
    <xf numFmtId="0" fontId="2" fillId="0" borderId="20" xfId="119" applyFont="1" applyFill="1" applyBorder="1" applyAlignment="1">
      <alignment vertical="top" wrapText="1"/>
      <protection/>
    </xf>
    <xf numFmtId="0" fontId="2" fillId="0" borderId="0" xfId="127" applyFont="1" applyFill="1" applyBorder="1" applyAlignment="1">
      <alignment vertical="center"/>
      <protection/>
    </xf>
    <xf numFmtId="3" fontId="2" fillId="0" borderId="23" xfId="119" applyNumberFormat="1" applyFont="1" applyFill="1" applyBorder="1" applyAlignment="1">
      <alignment horizontal="right"/>
      <protection/>
    </xf>
    <xf numFmtId="3" fontId="2" fillId="0" borderId="24" xfId="127" applyNumberFormat="1" applyFont="1" applyFill="1" applyBorder="1" applyAlignment="1">
      <alignment horizontal="right"/>
      <protection/>
    </xf>
    <xf numFmtId="3" fontId="2" fillId="0" borderId="23" xfId="127" applyNumberFormat="1" applyFont="1" applyFill="1" applyBorder="1" applyAlignment="1">
      <alignment horizontal="right"/>
      <protection/>
    </xf>
    <xf numFmtId="0" fontId="2" fillId="0" borderId="0" xfId="127" applyFont="1" applyFill="1" applyBorder="1" applyAlignment="1">
      <alignment horizontal="left"/>
      <protection/>
    </xf>
    <xf numFmtId="3" fontId="2" fillId="0" borderId="20" xfId="127" applyNumberFormat="1" applyFont="1" applyFill="1" applyBorder="1" applyAlignment="1">
      <alignment horizontal="right"/>
      <protection/>
    </xf>
    <xf numFmtId="3" fontId="2" fillId="0" borderId="22" xfId="127" applyNumberFormat="1" applyFont="1" applyFill="1" applyBorder="1" applyAlignment="1">
      <alignment horizontal="right"/>
      <protection/>
    </xf>
    <xf numFmtId="3" fontId="2" fillId="0" borderId="0" xfId="128" applyNumberFormat="1" applyFont="1" applyFill="1" applyBorder="1" applyAlignment="1">
      <alignment horizontal="right"/>
      <protection/>
    </xf>
    <xf numFmtId="3" fontId="2" fillId="0" borderId="0" xfId="128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right"/>
    </xf>
    <xf numFmtId="3" fontId="13" fillId="0" borderId="56" xfId="0" applyNumberFormat="1" applyFont="1" applyFill="1" applyBorder="1" applyAlignment="1">
      <alignment vertical="center"/>
    </xf>
    <xf numFmtId="3" fontId="16" fillId="0" borderId="56" xfId="0" applyNumberFormat="1" applyFont="1" applyFill="1" applyBorder="1" applyAlignment="1">
      <alignment vertical="center"/>
    </xf>
    <xf numFmtId="3" fontId="16" fillId="0" borderId="57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3" fontId="12" fillId="0" borderId="20" xfId="117" applyNumberFormat="1" applyFont="1" applyFill="1" applyBorder="1" applyAlignment="1">
      <alignment wrapText="1"/>
      <protection/>
    </xf>
    <xf numFmtId="3" fontId="12" fillId="0" borderId="20" xfId="117" applyNumberFormat="1" applyFont="1" applyFill="1" applyBorder="1" applyAlignment="1">
      <alignment horizontal="left" wrapText="1"/>
      <protection/>
    </xf>
    <xf numFmtId="3" fontId="12" fillId="0" borderId="20" xfId="117" applyNumberFormat="1" applyFont="1" applyFill="1" applyBorder="1" applyAlignment="1">
      <alignment horizontal="left" wrapText="1" indent="3"/>
      <protection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10" fillId="0" borderId="20" xfId="125" applyNumberFormat="1" applyFont="1" applyFill="1" applyBorder="1" applyAlignment="1">
      <alignment horizontal="center"/>
      <protection/>
    </xf>
    <xf numFmtId="3" fontId="10" fillId="0" borderId="23" xfId="125" applyNumberFormat="1" applyFont="1" applyFill="1" applyBorder="1" applyAlignment="1">
      <alignment horizontal="center"/>
      <protection/>
    </xf>
    <xf numFmtId="3" fontId="10" fillId="0" borderId="24" xfId="0" applyNumberFormat="1" applyFont="1" applyFill="1" applyBorder="1" applyAlignment="1">
      <alignment/>
    </xf>
    <xf numFmtId="3" fontId="10" fillId="0" borderId="20" xfId="125" applyNumberFormat="1" applyFont="1" applyFill="1" applyBorder="1" applyAlignment="1">
      <alignment horizontal="center" vertical="top" wrapText="1"/>
      <protection/>
    </xf>
    <xf numFmtId="3" fontId="10" fillId="0" borderId="22" xfId="0" applyNumberFormat="1" applyFont="1" applyFill="1" applyBorder="1" applyAlignment="1">
      <alignment vertical="top"/>
    </xf>
    <xf numFmtId="3" fontId="13" fillId="0" borderId="36" xfId="125" applyNumberFormat="1" applyFont="1" applyFill="1" applyBorder="1" applyAlignment="1">
      <alignment horizontal="center"/>
      <protection/>
    </xf>
    <xf numFmtId="3" fontId="13" fillId="0" borderId="36" xfId="0" applyNumberFormat="1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3" fillId="0" borderId="36" xfId="0" applyNumberFormat="1" applyFont="1" applyFill="1" applyBorder="1" applyAlignment="1">
      <alignment horizontal="center" vertical="center"/>
    </xf>
    <xf numFmtId="3" fontId="13" fillId="0" borderId="59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0" fontId="2" fillId="0" borderId="20" xfId="127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center"/>
    </xf>
    <xf numFmtId="3" fontId="4" fillId="0" borderId="61" xfId="0" applyNumberFormat="1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2" fillId="0" borderId="63" xfId="0" applyNumberFormat="1" applyFont="1" applyFill="1" applyBorder="1" applyAlignment="1">
      <alignment/>
    </xf>
    <xf numFmtId="0" fontId="2" fillId="0" borderId="64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64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/>
    </xf>
    <xf numFmtId="0" fontId="4" fillId="0" borderId="6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63" xfId="0" applyNumberFormat="1" applyFont="1" applyFill="1" applyBorder="1" applyAlignment="1">
      <alignment horizontal="right"/>
    </xf>
    <xf numFmtId="1" fontId="2" fillId="0" borderId="64" xfId="0" applyNumberFormat="1" applyFont="1" applyFill="1" applyBorder="1" applyAlignment="1">
      <alignment horizontal="center"/>
    </xf>
    <xf numFmtId="3" fontId="2" fillId="0" borderId="68" xfId="0" applyNumberFormat="1" applyFont="1" applyFill="1" applyBorder="1" applyAlignment="1">
      <alignment horizontal="right"/>
    </xf>
    <xf numFmtId="0" fontId="4" fillId="0" borderId="49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3" fontId="4" fillId="0" borderId="69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1" xfId="0" applyFont="1" applyFill="1" applyBorder="1" applyAlignment="1">
      <alignment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left" vertical="center"/>
    </xf>
    <xf numFmtId="3" fontId="4" fillId="0" borderId="6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indent="2"/>
    </xf>
    <xf numFmtId="0" fontId="4" fillId="0" borderId="7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3" fontId="4" fillId="0" borderId="7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/>
    </xf>
    <xf numFmtId="0" fontId="2" fillId="0" borderId="64" xfId="0" applyFont="1" applyFill="1" applyBorder="1" applyAlignment="1">
      <alignment horizontal="right"/>
    </xf>
    <xf numFmtId="0" fontId="2" fillId="0" borderId="79" xfId="0" applyFont="1" applyFill="1" applyBorder="1" applyAlignment="1">
      <alignment horizontal="right"/>
    </xf>
    <xf numFmtId="0" fontId="2" fillId="0" borderId="54" xfId="0" applyFont="1" applyFill="1" applyBorder="1" applyAlignment="1">
      <alignment/>
    </xf>
    <xf numFmtId="0" fontId="2" fillId="0" borderId="80" xfId="0" applyFont="1" applyFill="1" applyBorder="1" applyAlignment="1">
      <alignment horizontal="right"/>
    </xf>
    <xf numFmtId="3" fontId="4" fillId="0" borderId="63" xfId="0" applyNumberFormat="1" applyFont="1" applyFill="1" applyBorder="1" applyAlignment="1">
      <alignment horizontal="right"/>
    </xf>
    <xf numFmtId="3" fontId="4" fillId="0" borderId="81" xfId="0" applyNumberFormat="1" applyFont="1" applyFill="1" applyBorder="1" applyAlignment="1">
      <alignment horizontal="right" vertical="center"/>
    </xf>
    <xf numFmtId="3" fontId="2" fillId="0" borderId="63" xfId="0" applyNumberFormat="1" applyFont="1" applyFill="1" applyBorder="1" applyAlignment="1">
      <alignment horizontal="right" vertical="center"/>
    </xf>
    <xf numFmtId="3" fontId="2" fillId="0" borderId="81" xfId="0" applyNumberFormat="1" applyFont="1" applyFill="1" applyBorder="1" applyAlignment="1">
      <alignment horizontal="right" vertical="center"/>
    </xf>
    <xf numFmtId="3" fontId="4" fillId="0" borderId="82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164" fontId="2" fillId="0" borderId="63" xfId="136" applyNumberFormat="1" applyFont="1" applyFill="1" applyBorder="1" applyAlignment="1">
      <alignment horizontal="right"/>
    </xf>
    <xf numFmtId="164" fontId="2" fillId="0" borderId="84" xfId="136" applyNumberFormat="1" applyFont="1" applyFill="1" applyBorder="1" applyAlignment="1">
      <alignment horizontal="right"/>
    </xf>
    <xf numFmtId="3" fontId="4" fillId="0" borderId="85" xfId="0" applyNumberFormat="1" applyFont="1" applyFill="1" applyBorder="1" applyAlignment="1">
      <alignment horizontal="right" vertical="center"/>
    </xf>
    <xf numFmtId="3" fontId="2" fillId="0" borderId="68" xfId="0" applyNumberFormat="1" applyFont="1" applyFill="1" applyBorder="1" applyAlignment="1">
      <alignment horizontal="right" vertical="center"/>
    </xf>
    <xf numFmtId="3" fontId="2" fillId="0" borderId="70" xfId="0" applyNumberFormat="1" applyFont="1" applyFill="1" applyBorder="1" applyAlignment="1">
      <alignment horizontal="right" vertical="center"/>
    </xf>
    <xf numFmtId="164" fontId="2" fillId="0" borderId="68" xfId="136" applyNumberFormat="1" applyFont="1" applyFill="1" applyBorder="1" applyAlignment="1">
      <alignment horizontal="right"/>
    </xf>
    <xf numFmtId="164" fontId="2" fillId="0" borderId="86" xfId="136" applyNumberFormat="1" applyFont="1" applyFill="1" applyBorder="1" applyAlignment="1">
      <alignment horizontal="right"/>
    </xf>
    <xf numFmtId="3" fontId="10" fillId="0" borderId="87" xfId="0" applyNumberFormat="1" applyFont="1" applyFill="1" applyBorder="1" applyAlignment="1">
      <alignment horizontal="center"/>
    </xf>
    <xf numFmtId="3" fontId="10" fillId="0" borderId="87" xfId="0" applyNumberFormat="1" applyFont="1" applyFill="1" applyBorder="1" applyAlignment="1">
      <alignment horizontal="right"/>
    </xf>
    <xf numFmtId="3" fontId="13" fillId="0" borderId="87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vertical="center"/>
    </xf>
    <xf numFmtId="3" fontId="10" fillId="0" borderId="20" xfId="117" applyNumberFormat="1" applyFont="1" applyFill="1" applyBorder="1" applyAlignment="1">
      <alignment horizontal="center" vertical="top"/>
      <protection/>
    </xf>
    <xf numFmtId="3" fontId="13" fillId="0" borderId="88" xfId="117" applyNumberFormat="1" applyFont="1" applyFill="1" applyBorder="1" applyAlignment="1">
      <alignment horizontal="right"/>
      <protection/>
    </xf>
    <xf numFmtId="3" fontId="4" fillId="0" borderId="89" xfId="116" applyNumberFormat="1" applyFont="1" applyFill="1" applyBorder="1" applyAlignment="1">
      <alignment horizontal="right" wrapText="1"/>
      <protection/>
    </xf>
    <xf numFmtId="0" fontId="4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wrapText="1" indent="1"/>
    </xf>
    <xf numFmtId="3" fontId="4" fillId="0" borderId="0" xfId="117" applyNumberFormat="1" applyFont="1" applyFill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horizontal="center"/>
    </xf>
    <xf numFmtId="3" fontId="13" fillId="0" borderId="19" xfId="117" applyNumberFormat="1" applyFont="1" applyFill="1" applyBorder="1" applyAlignment="1">
      <alignment horizontal="center" vertical="center"/>
      <protection/>
    </xf>
    <xf numFmtId="3" fontId="13" fillId="0" borderId="23" xfId="117" applyNumberFormat="1" applyFont="1" applyFill="1" applyBorder="1" applyAlignment="1">
      <alignment wrapText="1"/>
      <protection/>
    </xf>
    <xf numFmtId="3" fontId="13" fillId="0" borderId="20" xfId="117" applyNumberFormat="1" applyFont="1" applyFill="1" applyBorder="1" applyAlignment="1">
      <alignment wrapText="1"/>
      <protection/>
    </xf>
    <xf numFmtId="3" fontId="13" fillId="0" borderId="19" xfId="117" applyNumberFormat="1" applyFont="1" applyFill="1" applyBorder="1" applyAlignment="1">
      <alignment horizontal="center"/>
      <protection/>
    </xf>
    <xf numFmtId="3" fontId="16" fillId="0" borderId="19" xfId="117" applyNumberFormat="1" applyFont="1" applyFill="1" applyBorder="1" applyAlignment="1">
      <alignment horizontal="center" vertical="center"/>
      <protection/>
    </xf>
    <xf numFmtId="3" fontId="13" fillId="0" borderId="20" xfId="117" applyNumberFormat="1" applyFont="1" applyFill="1" applyBorder="1" applyAlignment="1">
      <alignment shrinkToFit="1"/>
      <protection/>
    </xf>
    <xf numFmtId="3" fontId="13" fillId="0" borderId="20" xfId="117" applyNumberFormat="1" applyFont="1" applyFill="1" applyBorder="1" applyAlignment="1">
      <alignment horizontal="left" wrapText="1"/>
      <protection/>
    </xf>
    <xf numFmtId="1" fontId="18" fillId="0" borderId="0" xfId="117" applyNumberFormat="1" applyFont="1" applyFill="1" applyBorder="1" applyAlignment="1">
      <alignment horizontal="center" vertical="center"/>
      <protection/>
    </xf>
    <xf numFmtId="1" fontId="18" fillId="0" borderId="0" xfId="117" applyNumberFormat="1" applyFont="1" applyFill="1" applyBorder="1" applyAlignment="1">
      <alignment horizontal="left" vertical="center"/>
      <protection/>
    </xf>
    <xf numFmtId="3" fontId="10" fillId="0" borderId="43" xfId="117" applyNumberFormat="1" applyFont="1" applyFill="1" applyBorder="1" applyAlignment="1">
      <alignment horizontal="center"/>
      <protection/>
    </xf>
    <xf numFmtId="3" fontId="12" fillId="0" borderId="43" xfId="117" applyNumberFormat="1" applyFont="1" applyFill="1" applyBorder="1" applyAlignment="1">
      <alignment horizontal="center"/>
      <protection/>
    </xf>
    <xf numFmtId="3" fontId="10" fillId="0" borderId="57" xfId="117" applyNumberFormat="1" applyFont="1" applyFill="1" applyBorder="1" applyAlignment="1">
      <alignment horizontal="center"/>
      <protection/>
    </xf>
    <xf numFmtId="3" fontId="10" fillId="0" borderId="90" xfId="0" applyNumberFormat="1" applyFont="1" applyFill="1" applyBorder="1" applyAlignment="1">
      <alignment horizontal="center" wrapText="1"/>
    </xf>
    <xf numFmtId="3" fontId="10" fillId="0" borderId="43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10" fillId="0" borderId="20" xfId="125" applyNumberFormat="1" applyFont="1" applyFill="1" applyBorder="1" applyAlignment="1">
      <alignment horizontal="center" vertical="center" wrapText="1"/>
      <protection/>
    </xf>
    <xf numFmtId="3" fontId="12" fillId="0" borderId="0" xfId="117" applyNumberFormat="1" applyFont="1" applyFill="1" applyAlignment="1">
      <alignment horizontal="center" vertical="center"/>
      <protection/>
    </xf>
    <xf numFmtId="3" fontId="10" fillId="0" borderId="0" xfId="117" applyNumberFormat="1" applyFont="1" applyFill="1" applyAlignment="1">
      <alignment horizontal="center" vertical="center"/>
      <protection/>
    </xf>
    <xf numFmtId="0" fontId="2" fillId="0" borderId="19" xfId="127" applyFont="1" applyFill="1" applyBorder="1" applyAlignment="1">
      <alignment horizontal="center"/>
      <protection/>
    </xf>
    <xf numFmtId="3" fontId="12" fillId="0" borderId="25" xfId="117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vertical="top"/>
    </xf>
    <xf numFmtId="3" fontId="2" fillId="0" borderId="0" xfId="85" applyNumberFormat="1" applyFont="1" applyFill="1" applyBorder="1" applyAlignment="1">
      <alignment horizontal="center" vertical="center"/>
      <protection/>
    </xf>
    <xf numFmtId="3" fontId="2" fillId="0" borderId="0" xfId="85" applyNumberFormat="1" applyFont="1" applyFill="1" applyBorder="1" applyAlignment="1">
      <alignment horizontal="right"/>
      <protection/>
    </xf>
    <xf numFmtId="0" fontId="2" fillId="0" borderId="0" xfId="85" applyFont="1" applyFill="1" applyBorder="1">
      <alignment/>
      <protection/>
    </xf>
    <xf numFmtId="3" fontId="2" fillId="0" borderId="91" xfId="120" applyNumberFormat="1" applyFont="1" applyBorder="1" applyAlignment="1">
      <alignment horizontal="center" vertical="center" wrapText="1"/>
      <protection/>
    </xf>
    <xf numFmtId="3" fontId="2" fillId="0" borderId="92" xfId="120" applyNumberFormat="1" applyFont="1" applyBorder="1" applyAlignment="1">
      <alignment horizontal="right" vertical="center" wrapText="1"/>
      <protection/>
    </xf>
    <xf numFmtId="3" fontId="2" fillId="0" borderId="0" xfId="116" applyNumberFormat="1" applyFont="1" applyFill="1" applyBorder="1" applyAlignment="1">
      <alignment horizontal="left" wrapText="1" indent="3"/>
      <protection/>
    </xf>
    <xf numFmtId="3" fontId="2" fillId="0" borderId="0" xfId="116" applyNumberFormat="1" applyFont="1" applyFill="1" applyBorder="1" applyAlignment="1">
      <alignment vertical="center"/>
      <protection/>
    </xf>
    <xf numFmtId="3" fontId="13" fillId="0" borderId="0" xfId="0" applyNumberFormat="1" applyFont="1" applyFill="1" applyBorder="1" applyAlignment="1">
      <alignment horizontal="right"/>
    </xf>
    <xf numFmtId="3" fontId="12" fillId="0" borderId="25" xfId="117" applyNumberFormat="1" applyFont="1" applyFill="1" applyBorder="1" applyAlignment="1">
      <alignment horizontal="center"/>
      <protection/>
    </xf>
    <xf numFmtId="3" fontId="5" fillId="0" borderId="0" xfId="117" applyNumberFormat="1" applyFont="1" applyFill="1" applyAlignment="1">
      <alignment horizontal="center"/>
      <protection/>
    </xf>
    <xf numFmtId="0" fontId="6" fillId="0" borderId="0" xfId="117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3" fontId="10" fillId="0" borderId="93" xfId="125" applyNumberFormat="1" applyFont="1" applyFill="1" applyBorder="1" applyAlignment="1">
      <alignment/>
      <protection/>
    </xf>
    <xf numFmtId="3" fontId="13" fillId="0" borderId="93" xfId="125" applyNumberFormat="1" applyFont="1" applyFill="1" applyBorder="1" applyAlignment="1">
      <alignment/>
      <protection/>
    </xf>
    <xf numFmtId="3" fontId="13" fillId="0" borderId="88" xfId="125" applyNumberFormat="1" applyFont="1" applyFill="1" applyBorder="1" applyAlignment="1">
      <alignment/>
      <protection/>
    </xf>
    <xf numFmtId="3" fontId="13" fillId="0" borderId="94" xfId="125" applyNumberFormat="1" applyFont="1" applyFill="1" applyBorder="1" applyAlignment="1">
      <alignment horizontal="left"/>
      <protection/>
    </xf>
    <xf numFmtId="3" fontId="13" fillId="0" borderId="95" xfId="125" applyNumberFormat="1" applyFont="1" applyFill="1" applyBorder="1" applyAlignment="1">
      <alignment wrapText="1"/>
      <protection/>
    </xf>
    <xf numFmtId="3" fontId="10" fillId="0" borderId="91" xfId="0" applyNumberFormat="1" applyFont="1" applyFill="1" applyBorder="1" applyAlignment="1">
      <alignment horizontal="center" vertical="center"/>
    </xf>
    <xf numFmtId="3" fontId="16" fillId="0" borderId="91" xfId="0" applyNumberFormat="1" applyFont="1" applyFill="1" applyBorder="1" applyAlignment="1">
      <alignment horizontal="center" vertical="center"/>
    </xf>
    <xf numFmtId="3" fontId="10" fillId="0" borderId="91" xfId="0" applyNumberFormat="1" applyFont="1" applyFill="1" applyBorder="1" applyAlignment="1">
      <alignment horizontal="center" vertical="top"/>
    </xf>
    <xf numFmtId="3" fontId="10" fillId="0" borderId="96" xfId="0" applyNumberFormat="1" applyFont="1" applyFill="1" applyBorder="1" applyAlignment="1">
      <alignment horizontal="center" vertical="center"/>
    </xf>
    <xf numFmtId="3" fontId="10" fillId="0" borderId="97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98" xfId="0" applyNumberFormat="1" applyFont="1" applyFill="1" applyBorder="1" applyAlignment="1">
      <alignment vertical="center" wrapText="1"/>
    </xf>
    <xf numFmtId="3" fontId="10" fillId="0" borderId="95" xfId="0" applyNumberFormat="1" applyFont="1" applyFill="1" applyBorder="1" applyAlignment="1">
      <alignment horizontal="center"/>
    </xf>
    <xf numFmtId="3" fontId="10" fillId="0" borderId="93" xfId="0" applyNumberFormat="1" applyFont="1" applyFill="1" applyBorder="1" applyAlignment="1">
      <alignment horizontal="center"/>
    </xf>
    <xf numFmtId="3" fontId="10" fillId="0" borderId="93" xfId="0" applyNumberFormat="1" applyFont="1" applyFill="1" applyBorder="1" applyAlignment="1">
      <alignment horizontal="center" vertical="top"/>
    </xf>
    <xf numFmtId="3" fontId="10" fillId="0" borderId="88" xfId="0" applyNumberFormat="1" applyFont="1" applyFill="1" applyBorder="1" applyAlignment="1">
      <alignment horizontal="center"/>
    </xf>
    <xf numFmtId="3" fontId="13" fillId="0" borderId="57" xfId="0" applyNumberFormat="1" applyFont="1" applyFill="1" applyBorder="1" applyAlignment="1">
      <alignment/>
    </xf>
    <xf numFmtId="3" fontId="10" fillId="0" borderId="93" xfId="125" applyNumberFormat="1" applyFont="1" applyFill="1" applyBorder="1" applyAlignment="1">
      <alignment wrapText="1"/>
      <protection/>
    </xf>
    <xf numFmtId="3" fontId="10" fillId="0" borderId="22" xfId="125" applyNumberFormat="1" applyFont="1" applyFill="1" applyBorder="1" applyAlignment="1">
      <alignment/>
      <protection/>
    </xf>
    <xf numFmtId="3" fontId="10" fillId="0" borderId="20" xfId="125" applyNumberFormat="1" applyFont="1" applyFill="1" applyBorder="1" applyAlignment="1">
      <alignment vertical="top" wrapText="1"/>
      <protection/>
    </xf>
    <xf numFmtId="3" fontId="16" fillId="0" borderId="27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3" fontId="10" fillId="0" borderId="99" xfId="0" applyNumberFormat="1" applyFont="1" applyFill="1" applyBorder="1" applyAlignment="1">
      <alignment vertical="center"/>
    </xf>
    <xf numFmtId="3" fontId="13" fillId="0" borderId="100" xfId="0" applyNumberFormat="1" applyFont="1" applyFill="1" applyBorder="1" applyAlignment="1">
      <alignment vertical="center"/>
    </xf>
    <xf numFmtId="3" fontId="10" fillId="0" borderId="0" xfId="85" applyNumberFormat="1" applyFont="1" applyFill="1" applyBorder="1" applyAlignment="1">
      <alignment horizontal="center" vertical="center"/>
      <protection/>
    </xf>
    <xf numFmtId="3" fontId="10" fillId="0" borderId="0" xfId="85" applyNumberFormat="1" applyFont="1" applyFill="1" applyBorder="1" applyAlignment="1">
      <alignment horizontal="right"/>
      <protection/>
    </xf>
    <xf numFmtId="3" fontId="10" fillId="0" borderId="0" xfId="127" applyNumberFormat="1" applyFont="1" applyFill="1" applyBorder="1" applyAlignment="1">
      <alignment horizontal="right"/>
      <protection/>
    </xf>
    <xf numFmtId="0" fontId="10" fillId="0" borderId="0" xfId="127" applyFont="1" applyFill="1" applyBorder="1">
      <alignment/>
      <protection/>
    </xf>
    <xf numFmtId="0" fontId="10" fillId="0" borderId="0" xfId="127" applyFont="1" applyFill="1" applyBorder="1" applyAlignment="1">
      <alignment horizontal="center" vertical="center"/>
      <protection/>
    </xf>
    <xf numFmtId="0" fontId="10" fillId="0" borderId="0" xfId="127" applyFont="1" applyFill="1" applyBorder="1" applyAlignment="1">
      <alignment horizontal="center" vertical="top"/>
      <protection/>
    </xf>
    <xf numFmtId="0" fontId="10" fillId="0" borderId="0" xfId="127" applyFont="1" applyFill="1" applyBorder="1" applyAlignment="1">
      <alignment wrapText="1"/>
      <protection/>
    </xf>
    <xf numFmtId="3" fontId="10" fillId="0" borderId="0" xfId="127" applyNumberFormat="1" applyFont="1" applyFill="1" applyBorder="1" applyAlignment="1">
      <alignment horizontal="center" vertical="center" wrapText="1"/>
      <protection/>
    </xf>
    <xf numFmtId="3" fontId="12" fillId="0" borderId="0" xfId="127" applyNumberFormat="1" applyFont="1" applyFill="1" applyBorder="1" applyAlignment="1">
      <alignment horizontal="right"/>
      <protection/>
    </xf>
    <xf numFmtId="3" fontId="10" fillId="0" borderId="23" xfId="127" applyNumberFormat="1" applyFont="1" applyFill="1" applyBorder="1" applyAlignment="1">
      <alignment horizontal="right" vertical="center"/>
      <protection/>
    </xf>
    <xf numFmtId="3" fontId="10" fillId="0" borderId="0" xfId="85" applyNumberFormat="1" applyFont="1" applyFill="1" applyBorder="1" applyAlignment="1">
      <alignment horizontal="left" vertical="top"/>
      <protection/>
    </xf>
    <xf numFmtId="3" fontId="10" fillId="0" borderId="0" xfId="128" applyNumberFormat="1" applyFont="1" applyFill="1" applyBorder="1" applyAlignment="1">
      <alignment horizontal="right"/>
      <protection/>
    </xf>
    <xf numFmtId="3" fontId="10" fillId="0" borderId="0" xfId="128" applyNumberFormat="1" applyFont="1" applyFill="1" applyBorder="1" applyAlignment="1">
      <alignment horizontal="right" wrapText="1"/>
      <protection/>
    </xf>
    <xf numFmtId="3" fontId="10" fillId="0" borderId="0" xfId="127" applyNumberFormat="1" applyFont="1" applyFill="1" applyBorder="1" applyAlignment="1">
      <alignment horizontal="right" vertical="center"/>
      <protection/>
    </xf>
    <xf numFmtId="0" fontId="6" fillId="0" borderId="0" xfId="85" applyFont="1" applyFill="1" applyBorder="1" applyAlignment="1">
      <alignment horizontal="center" vertical="center"/>
      <protection/>
    </xf>
    <xf numFmtId="0" fontId="6" fillId="0" borderId="0" xfId="127" applyFont="1" applyFill="1" applyBorder="1" applyAlignment="1">
      <alignment horizontal="center" vertical="center"/>
      <protection/>
    </xf>
    <xf numFmtId="3" fontId="6" fillId="0" borderId="0" xfId="127" applyNumberFormat="1" applyFont="1" applyFill="1" applyBorder="1" applyAlignment="1">
      <alignment horizontal="center" vertical="center"/>
      <protection/>
    </xf>
    <xf numFmtId="0" fontId="10" fillId="0" borderId="0" xfId="127" applyFont="1" applyFill="1" applyBorder="1" applyAlignment="1">
      <alignment vertical="center"/>
      <protection/>
    </xf>
    <xf numFmtId="3" fontId="16" fillId="0" borderId="18" xfId="0" applyNumberFormat="1" applyFont="1" applyFill="1" applyBorder="1" applyAlignment="1">
      <alignment vertical="center"/>
    </xf>
    <xf numFmtId="3" fontId="16" fillId="0" borderId="101" xfId="0" applyNumberFormat="1" applyFont="1" applyFill="1" applyBorder="1" applyAlignment="1">
      <alignment vertical="center"/>
    </xf>
    <xf numFmtId="3" fontId="16" fillId="0" borderId="102" xfId="0" applyNumberFormat="1" applyFont="1" applyFill="1" applyBorder="1" applyAlignment="1">
      <alignment vertical="center"/>
    </xf>
    <xf numFmtId="3" fontId="16" fillId="0" borderId="90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right" vertical="center"/>
    </xf>
    <xf numFmtId="3" fontId="16" fillId="0" borderId="101" xfId="0" applyNumberFormat="1" applyFont="1" applyFill="1" applyBorder="1" applyAlignment="1">
      <alignment horizontal="right" vertical="center"/>
    </xf>
    <xf numFmtId="3" fontId="16" fillId="0" borderId="18" xfId="125" applyNumberFormat="1" applyFont="1" applyFill="1" applyBorder="1" applyAlignment="1">
      <alignment horizontal="center" vertical="center"/>
      <protection/>
    </xf>
    <xf numFmtId="3" fontId="16" fillId="0" borderId="103" xfId="0" applyNumberFormat="1" applyFont="1" applyFill="1" applyBorder="1" applyAlignment="1">
      <alignment horizontal="right" vertical="center"/>
    </xf>
    <xf numFmtId="3" fontId="10" fillId="0" borderId="23" xfId="119" applyNumberFormat="1" applyFont="1" applyFill="1" applyBorder="1" applyAlignment="1">
      <alignment horizontal="right" vertical="center"/>
      <protection/>
    </xf>
    <xf numFmtId="3" fontId="10" fillId="0" borderId="104" xfId="127" applyNumberFormat="1" applyFont="1" applyFill="1" applyBorder="1" applyAlignment="1">
      <alignment horizontal="right" vertical="center"/>
      <protection/>
    </xf>
    <xf numFmtId="0" fontId="10" fillId="0" borderId="19" xfId="127" applyFont="1" applyFill="1" applyBorder="1" applyAlignment="1">
      <alignment horizontal="center" vertical="center"/>
      <protection/>
    </xf>
    <xf numFmtId="0" fontId="10" fillId="0" borderId="20" xfId="127" applyFont="1" applyFill="1" applyBorder="1" applyAlignment="1">
      <alignment horizontal="center"/>
      <protection/>
    </xf>
    <xf numFmtId="3" fontId="10" fillId="0" borderId="20" xfId="127" applyNumberFormat="1" applyFont="1" applyFill="1" applyBorder="1" applyAlignment="1">
      <alignment horizontal="right" vertical="center"/>
      <protection/>
    </xf>
    <xf numFmtId="3" fontId="10" fillId="0" borderId="20" xfId="119" applyNumberFormat="1" applyFont="1" applyFill="1" applyBorder="1" applyAlignment="1">
      <alignment horizontal="right" vertical="center"/>
      <protection/>
    </xf>
    <xf numFmtId="3" fontId="10" fillId="0" borderId="105" xfId="127" applyNumberFormat="1" applyFont="1" applyFill="1" applyBorder="1" applyAlignment="1">
      <alignment horizontal="right" vertical="center"/>
      <protection/>
    </xf>
    <xf numFmtId="0" fontId="10" fillId="0" borderId="20" xfId="127" applyFont="1" applyFill="1" applyBorder="1" applyAlignment="1">
      <alignment horizontal="center" vertical="top"/>
      <protection/>
    </xf>
    <xf numFmtId="0" fontId="6" fillId="0" borderId="0" xfId="128" applyFont="1" applyFill="1" applyBorder="1" applyAlignment="1">
      <alignment horizontal="center" vertical="center" wrapText="1"/>
      <protection/>
    </xf>
    <xf numFmtId="3" fontId="6" fillId="0" borderId="0" xfId="128" applyNumberFormat="1" applyFont="1" applyFill="1" applyBorder="1" applyAlignment="1">
      <alignment horizontal="center" vertical="center"/>
      <protection/>
    </xf>
    <xf numFmtId="3" fontId="10" fillId="0" borderId="11" xfId="127" applyNumberFormat="1" applyFont="1" applyFill="1" applyBorder="1" applyAlignment="1">
      <alignment horizontal="center" vertical="center" wrapText="1"/>
      <protection/>
    </xf>
    <xf numFmtId="3" fontId="10" fillId="0" borderId="36" xfId="119" applyNumberFormat="1" applyFont="1" applyFill="1" applyBorder="1" applyAlignment="1">
      <alignment horizontal="right" vertical="center" wrapText="1"/>
      <protection/>
    </xf>
    <xf numFmtId="3" fontId="10" fillId="0" borderId="106" xfId="119" applyNumberFormat="1" applyFont="1" applyFill="1" applyBorder="1" applyAlignment="1">
      <alignment horizontal="right" vertical="center" wrapText="1"/>
      <protection/>
    </xf>
    <xf numFmtId="3" fontId="10" fillId="0" borderId="20" xfId="119" applyNumberFormat="1" applyFont="1" applyFill="1" applyBorder="1" applyAlignment="1">
      <alignment horizontal="right" vertical="center" wrapText="1"/>
      <protection/>
    </xf>
    <xf numFmtId="3" fontId="10" fillId="0" borderId="107" xfId="119" applyNumberFormat="1" applyFont="1" applyFill="1" applyBorder="1" applyAlignment="1">
      <alignment horizontal="right" vertical="center" wrapText="1"/>
      <protection/>
    </xf>
    <xf numFmtId="3" fontId="10" fillId="0" borderId="107" xfId="127" applyNumberFormat="1" applyFont="1" applyFill="1" applyBorder="1" applyAlignment="1">
      <alignment horizontal="right" vertical="center"/>
      <protection/>
    </xf>
    <xf numFmtId="0" fontId="10" fillId="0" borderId="0" xfId="127" applyFont="1" applyFill="1" applyBorder="1" applyAlignment="1">
      <alignment horizontal="center"/>
      <protection/>
    </xf>
    <xf numFmtId="3" fontId="2" fillId="0" borderId="0" xfId="85" applyNumberFormat="1" applyFont="1" applyFill="1" applyBorder="1" applyAlignment="1">
      <alignment horizontal="center"/>
      <protection/>
    </xf>
    <xf numFmtId="0" fontId="2" fillId="0" borderId="0" xfId="85" applyFont="1" applyFill="1" applyBorder="1" applyAlignment="1">
      <alignment/>
      <protection/>
    </xf>
    <xf numFmtId="3" fontId="2" fillId="0" borderId="0" xfId="127" applyNumberFormat="1" applyFont="1" applyFill="1" applyBorder="1" applyAlignment="1">
      <alignment horizontal="center" wrapText="1"/>
      <protection/>
    </xf>
    <xf numFmtId="3" fontId="2" fillId="0" borderId="11" xfId="127" applyNumberFormat="1" applyFont="1" applyFill="1" applyBorder="1" applyAlignment="1">
      <alignment horizontal="center" vertical="center" wrapText="1"/>
      <protection/>
    </xf>
    <xf numFmtId="3" fontId="2" fillId="0" borderId="79" xfId="127" applyNumberFormat="1" applyFont="1" applyFill="1" applyBorder="1" applyAlignment="1">
      <alignment horizontal="center" vertical="center" wrapText="1"/>
      <protection/>
    </xf>
    <xf numFmtId="0" fontId="4" fillId="0" borderId="25" xfId="127" applyFont="1" applyFill="1" applyBorder="1" applyAlignment="1">
      <alignment horizontal="center"/>
      <protection/>
    </xf>
    <xf numFmtId="3" fontId="4" fillId="0" borderId="108" xfId="119" applyNumberFormat="1" applyFont="1" applyFill="1" applyBorder="1" applyAlignment="1">
      <alignment horizontal="right" wrapText="1"/>
      <protection/>
    </xf>
    <xf numFmtId="0" fontId="4" fillId="0" borderId="0" xfId="127" applyFont="1" applyFill="1" applyBorder="1" applyAlignment="1">
      <alignment/>
      <protection/>
    </xf>
    <xf numFmtId="3" fontId="2" fillId="0" borderId="20" xfId="119" applyNumberFormat="1" applyFont="1" applyFill="1" applyBorder="1" applyAlignment="1">
      <alignment horizontal="right" wrapText="1"/>
      <protection/>
    </xf>
    <xf numFmtId="3" fontId="2" fillId="0" borderId="104" xfId="127" applyNumberFormat="1" applyFont="1" applyFill="1" applyBorder="1" applyAlignment="1">
      <alignment horizontal="right"/>
      <protection/>
    </xf>
    <xf numFmtId="0" fontId="2" fillId="0" borderId="20" xfId="119" applyFont="1" applyFill="1" applyBorder="1" applyAlignment="1">
      <alignment horizontal="left"/>
      <protection/>
    </xf>
    <xf numFmtId="3" fontId="2" fillId="0" borderId="20" xfId="119" applyNumberFormat="1" applyFont="1" applyFill="1" applyBorder="1" applyAlignment="1">
      <alignment horizontal="right"/>
      <protection/>
    </xf>
    <xf numFmtId="3" fontId="2" fillId="0" borderId="105" xfId="127" applyNumberFormat="1" applyFont="1" applyFill="1" applyBorder="1" applyAlignment="1">
      <alignment horizontal="right"/>
      <protection/>
    </xf>
    <xf numFmtId="3" fontId="2" fillId="0" borderId="0" xfId="85" applyNumberFormat="1" applyFont="1" applyFill="1" applyBorder="1" applyAlignment="1">
      <alignment horizontal="left"/>
      <protection/>
    </xf>
    <xf numFmtId="3" fontId="83" fillId="0" borderId="0" xfId="85" applyNumberFormat="1" applyFont="1" applyFill="1" applyBorder="1" applyAlignment="1">
      <alignment horizontal="left"/>
      <protection/>
    </xf>
    <xf numFmtId="0" fontId="4" fillId="0" borderId="19" xfId="127" applyFont="1" applyFill="1" applyBorder="1" applyAlignment="1">
      <alignment horizontal="center"/>
      <protection/>
    </xf>
    <xf numFmtId="3" fontId="4" fillId="0" borderId="107" xfId="119" applyNumberFormat="1" applyFont="1" applyFill="1" applyBorder="1" applyAlignment="1">
      <alignment horizontal="right" wrapText="1"/>
      <protection/>
    </xf>
    <xf numFmtId="0" fontId="24" fillId="0" borderId="23" xfId="127" applyFont="1" applyFill="1" applyBorder="1" applyAlignment="1">
      <alignment horizontal="left"/>
      <protection/>
    </xf>
    <xf numFmtId="0" fontId="2" fillId="0" borderId="20" xfId="119" applyFont="1" applyFill="1" applyBorder="1" applyAlignment="1">
      <alignment/>
      <protection/>
    </xf>
    <xf numFmtId="0" fontId="2" fillId="0" borderId="109" xfId="119" applyFont="1" applyFill="1" applyBorder="1" applyAlignment="1">
      <alignment/>
      <protection/>
    </xf>
    <xf numFmtId="3" fontId="4" fillId="0" borderId="107" xfId="127" applyNumberFormat="1" applyFont="1" applyFill="1" applyBorder="1" applyAlignment="1">
      <alignment horizontal="right"/>
      <protection/>
    </xf>
    <xf numFmtId="3" fontId="10" fillId="0" borderId="0" xfId="127" applyNumberFormat="1" applyFont="1" applyFill="1" applyBorder="1" applyAlignment="1">
      <alignment horizontal="center" vertical="center"/>
      <protection/>
    </xf>
    <xf numFmtId="3" fontId="4" fillId="0" borderId="0" xfId="127" applyNumberFormat="1" applyFont="1" applyFill="1" applyBorder="1" applyAlignment="1">
      <alignment horizontal="right"/>
      <protection/>
    </xf>
    <xf numFmtId="3" fontId="4" fillId="0" borderId="0" xfId="128" applyNumberFormat="1" applyFont="1" applyFill="1" applyBorder="1" applyAlignment="1">
      <alignment horizontal="right"/>
      <protection/>
    </xf>
    <xf numFmtId="3" fontId="2" fillId="0" borderId="110" xfId="119" applyNumberFormat="1" applyFont="1" applyFill="1" applyBorder="1" applyAlignment="1">
      <alignment horizontal="right" wrapText="1"/>
      <protection/>
    </xf>
    <xf numFmtId="3" fontId="2" fillId="0" borderId="109" xfId="120" applyNumberFormat="1" applyFont="1" applyFill="1" applyBorder="1" applyAlignment="1">
      <alignment horizontal="left"/>
      <protection/>
    </xf>
    <xf numFmtId="3" fontId="10" fillId="0" borderId="93" xfId="126" applyNumberFormat="1" applyFont="1" applyFill="1" applyBorder="1" applyAlignment="1">
      <alignment horizontal="left" vertical="center" wrapText="1"/>
      <protection/>
    </xf>
    <xf numFmtId="3" fontId="10" fillId="0" borderId="111" xfId="126" applyNumberFormat="1" applyFont="1" applyFill="1" applyBorder="1" applyAlignment="1">
      <alignment horizontal="left" vertical="center"/>
      <protection/>
    </xf>
    <xf numFmtId="3" fontId="10" fillId="0" borderId="93" xfId="126" applyNumberFormat="1" applyFont="1" applyFill="1" applyBorder="1" applyAlignment="1">
      <alignment horizontal="left" vertical="center"/>
      <protection/>
    </xf>
    <xf numFmtId="3" fontId="10" fillId="0" borderId="88" xfId="126" applyNumberFormat="1" applyFont="1" applyFill="1" applyBorder="1" applyAlignment="1">
      <alignment horizontal="left" vertical="center" wrapText="1"/>
      <protection/>
    </xf>
    <xf numFmtId="3" fontId="2" fillId="0" borderId="0" xfId="116" applyNumberFormat="1" applyFont="1" applyFill="1" applyBorder="1" applyAlignment="1">
      <alignment wrapText="1"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54" xfId="0" applyFont="1" applyFill="1" applyBorder="1" applyAlignment="1">
      <alignment horizontal="center"/>
    </xf>
    <xf numFmtId="3" fontId="6" fillId="0" borderId="5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13" fillId="0" borderId="18" xfId="0" applyNumberFormat="1" applyFont="1" applyFill="1" applyBorder="1" applyAlignment="1">
      <alignment vertical="center"/>
    </xf>
    <xf numFmtId="3" fontId="13" fillId="0" borderId="101" xfId="0" applyNumberFormat="1" applyFont="1" applyFill="1" applyBorder="1" applyAlignment="1">
      <alignment vertical="center"/>
    </xf>
    <xf numFmtId="3" fontId="84" fillId="0" borderId="19" xfId="0" applyNumberFormat="1" applyFont="1" applyFill="1" applyBorder="1" applyAlignment="1">
      <alignment horizontal="center" vertical="center"/>
    </xf>
    <xf numFmtId="3" fontId="84" fillId="0" borderId="20" xfId="0" applyNumberFormat="1" applyFont="1" applyFill="1" applyBorder="1" applyAlignment="1">
      <alignment horizontal="center"/>
    </xf>
    <xf numFmtId="3" fontId="84" fillId="0" borderId="109" xfId="0" applyNumberFormat="1" applyFont="1" applyFill="1" applyBorder="1" applyAlignment="1">
      <alignment horizontal="center"/>
    </xf>
    <xf numFmtId="3" fontId="84" fillId="0" borderId="93" xfId="125" applyNumberFormat="1" applyFont="1" applyFill="1" applyBorder="1" applyAlignment="1">
      <alignment/>
      <protection/>
    </xf>
    <xf numFmtId="3" fontId="84" fillId="0" borderId="20" xfId="0" applyNumberFormat="1" applyFont="1" applyFill="1" applyBorder="1" applyAlignment="1">
      <alignment/>
    </xf>
    <xf numFmtId="3" fontId="85" fillId="0" borderId="20" xfId="0" applyNumberFormat="1" applyFont="1" applyFill="1" applyBorder="1" applyAlignment="1">
      <alignment/>
    </xf>
    <xf numFmtId="3" fontId="84" fillId="0" borderId="21" xfId="0" applyNumberFormat="1" applyFont="1" applyFill="1" applyBorder="1" applyAlignment="1">
      <alignment/>
    </xf>
    <xf numFmtId="3" fontId="84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/>
    </xf>
    <xf numFmtId="3" fontId="84" fillId="0" borderId="0" xfId="0" applyNumberFormat="1" applyFont="1" applyFill="1" applyAlignment="1">
      <alignment vertical="top"/>
    </xf>
    <xf numFmtId="3" fontId="84" fillId="0" borderId="0" xfId="0" applyNumberFormat="1" applyFont="1" applyFill="1" applyAlignment="1">
      <alignment/>
    </xf>
    <xf numFmtId="3" fontId="85" fillId="0" borderId="0" xfId="0" applyNumberFormat="1" applyFont="1" applyFill="1" applyAlignment="1">
      <alignment vertical="top"/>
    </xf>
    <xf numFmtId="3" fontId="84" fillId="0" borderId="19" xfId="0" applyNumberFormat="1" applyFont="1" applyFill="1" applyBorder="1" applyAlignment="1">
      <alignment horizontal="center" vertical="top"/>
    </xf>
    <xf numFmtId="3" fontId="84" fillId="0" borderId="38" xfId="0" applyNumberFormat="1" applyFont="1" applyFill="1" applyBorder="1" applyAlignment="1">
      <alignment horizontal="center"/>
    </xf>
    <xf numFmtId="3" fontId="84" fillId="0" borderId="112" xfId="0" applyNumberFormat="1" applyFont="1" applyFill="1" applyBorder="1" applyAlignment="1">
      <alignment horizontal="center"/>
    </xf>
    <xf numFmtId="3" fontId="84" fillId="0" borderId="38" xfId="0" applyNumberFormat="1" applyFont="1" applyFill="1" applyBorder="1" applyAlignment="1">
      <alignment vertical="top"/>
    </xf>
    <xf numFmtId="3" fontId="85" fillId="0" borderId="38" xfId="0" applyNumberFormat="1" applyFont="1" applyFill="1" applyBorder="1" applyAlignment="1">
      <alignment vertical="top"/>
    </xf>
    <xf numFmtId="3" fontId="84" fillId="0" borderId="39" xfId="0" applyNumberFormat="1" applyFont="1" applyFill="1" applyBorder="1" applyAlignment="1">
      <alignment vertical="top"/>
    </xf>
    <xf numFmtId="3" fontId="84" fillId="0" borderId="113" xfId="0" applyNumberFormat="1" applyFont="1" applyFill="1" applyBorder="1" applyAlignment="1">
      <alignment horizontal="center"/>
    </xf>
    <xf numFmtId="3" fontId="84" fillId="0" borderId="21" xfId="0" applyNumberFormat="1" applyFont="1" applyFill="1" applyBorder="1" applyAlignment="1">
      <alignment vertical="center"/>
    </xf>
    <xf numFmtId="3" fontId="84" fillId="0" borderId="21" xfId="0" applyNumberFormat="1" applyFont="1" applyFill="1" applyBorder="1" applyAlignment="1">
      <alignment vertical="top"/>
    </xf>
    <xf numFmtId="3" fontId="84" fillId="0" borderId="39" xfId="0" applyNumberFormat="1" applyFont="1" applyFill="1" applyBorder="1" applyAlignment="1">
      <alignment vertical="center"/>
    </xf>
    <xf numFmtId="3" fontId="84" fillId="0" borderId="20" xfId="0" applyNumberFormat="1" applyFont="1" applyFill="1" applyBorder="1" applyAlignment="1">
      <alignment vertical="center"/>
    </xf>
    <xf numFmtId="3" fontId="85" fillId="0" borderId="20" xfId="0" applyNumberFormat="1" applyFont="1" applyFill="1" applyBorder="1" applyAlignment="1">
      <alignment vertical="center"/>
    </xf>
    <xf numFmtId="3" fontId="84" fillId="0" borderId="20" xfId="0" applyNumberFormat="1" applyFont="1" applyFill="1" applyBorder="1" applyAlignment="1">
      <alignment vertical="top"/>
    </xf>
    <xf numFmtId="3" fontId="85" fillId="0" borderId="20" xfId="0" applyNumberFormat="1" applyFont="1" applyFill="1" applyBorder="1" applyAlignment="1">
      <alignment vertical="top"/>
    </xf>
    <xf numFmtId="3" fontId="85" fillId="0" borderId="0" xfId="0" applyNumberFormat="1" applyFont="1" applyFill="1" applyAlignment="1">
      <alignment vertical="center"/>
    </xf>
    <xf numFmtId="0" fontId="87" fillId="0" borderId="0" xfId="0" applyFont="1" applyFill="1" applyAlignment="1">
      <alignment/>
    </xf>
    <xf numFmtId="3" fontId="84" fillId="0" borderId="38" xfId="0" applyNumberFormat="1" applyFont="1" applyFill="1" applyBorder="1" applyAlignment="1">
      <alignment vertical="center"/>
    </xf>
    <xf numFmtId="3" fontId="85" fillId="0" borderId="38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3" fontId="12" fillId="0" borderId="36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6" fillId="0" borderId="36" xfId="0" applyNumberFormat="1" applyFont="1" applyFill="1" applyBorder="1" applyAlignment="1">
      <alignment vertical="center"/>
    </xf>
    <xf numFmtId="3" fontId="84" fillId="0" borderId="58" xfId="0" applyNumberFormat="1" applyFont="1" applyFill="1" applyBorder="1" applyAlignment="1">
      <alignment horizontal="center" vertical="center"/>
    </xf>
    <xf numFmtId="3" fontId="84" fillId="0" borderId="38" xfId="125" applyNumberFormat="1" applyFont="1" applyFill="1" applyBorder="1" applyAlignment="1">
      <alignment/>
      <protection/>
    </xf>
    <xf numFmtId="3" fontId="84" fillId="0" borderId="38" xfId="125" applyNumberFormat="1" applyFont="1" applyFill="1" applyBorder="1" applyAlignment="1">
      <alignment horizontal="left"/>
      <protection/>
    </xf>
    <xf numFmtId="3" fontId="10" fillId="0" borderId="22" xfId="126" applyNumberFormat="1" applyFont="1" applyFill="1" applyBorder="1" applyAlignment="1">
      <alignment vertical="center" wrapText="1"/>
      <protection/>
    </xf>
    <xf numFmtId="3" fontId="10" fillId="0" borderId="114" xfId="126" applyNumberFormat="1" applyFont="1" applyFill="1" applyBorder="1" applyAlignment="1">
      <alignment vertical="center" wrapText="1"/>
      <protection/>
    </xf>
    <xf numFmtId="3" fontId="10" fillId="0" borderId="24" xfId="126" applyNumberFormat="1" applyFont="1" applyFill="1" applyBorder="1" applyAlignment="1">
      <alignment vertical="center" wrapText="1"/>
      <protection/>
    </xf>
    <xf numFmtId="3" fontId="16" fillId="0" borderId="115" xfId="0" applyNumberFormat="1" applyFont="1" applyFill="1" applyBorder="1" applyAlignment="1">
      <alignment horizontal="left" vertical="center"/>
    </xf>
    <xf numFmtId="3" fontId="10" fillId="0" borderId="116" xfId="126" applyNumberFormat="1" applyFont="1" applyFill="1" applyBorder="1" applyAlignment="1">
      <alignment vertical="center"/>
      <protection/>
    </xf>
    <xf numFmtId="3" fontId="84" fillId="0" borderId="93" xfId="0" applyNumberFormat="1" applyFont="1" applyFill="1" applyBorder="1" applyAlignment="1">
      <alignment horizontal="center" vertical="center"/>
    </xf>
    <xf numFmtId="3" fontId="84" fillId="0" borderId="20" xfId="125" applyNumberFormat="1" applyFont="1" applyFill="1" applyBorder="1" applyAlignment="1">
      <alignment/>
      <protection/>
    </xf>
    <xf numFmtId="3" fontId="84" fillId="0" borderId="22" xfId="0" applyNumberFormat="1" applyFont="1" applyFill="1" applyBorder="1" applyAlignment="1">
      <alignment vertical="center"/>
    </xf>
    <xf numFmtId="3" fontId="84" fillId="0" borderId="43" xfId="0" applyNumberFormat="1" applyFont="1" applyFill="1" applyBorder="1" applyAlignment="1">
      <alignment/>
    </xf>
    <xf numFmtId="3" fontId="84" fillId="0" borderId="20" xfId="0" applyNumberFormat="1" applyFont="1" applyFill="1" applyBorder="1" applyAlignment="1">
      <alignment horizontal="right"/>
    </xf>
    <xf numFmtId="3" fontId="84" fillId="0" borderId="21" xfId="0" applyNumberFormat="1" applyFont="1" applyFill="1" applyBorder="1" applyAlignment="1">
      <alignment horizontal="right"/>
    </xf>
    <xf numFmtId="3" fontId="84" fillId="0" borderId="0" xfId="0" applyNumberFormat="1" applyFont="1" applyFill="1" applyBorder="1" applyAlignment="1">
      <alignment horizontal="right" vertical="center"/>
    </xf>
    <xf numFmtId="3" fontId="84" fillId="0" borderId="0" xfId="0" applyNumberFormat="1" applyFont="1" applyFill="1" applyBorder="1" applyAlignment="1">
      <alignment vertical="center"/>
    </xf>
    <xf numFmtId="3" fontId="84" fillId="0" borderId="0" xfId="0" applyNumberFormat="1" applyFont="1" applyFill="1" applyBorder="1" applyAlignment="1">
      <alignment horizontal="right"/>
    </xf>
    <xf numFmtId="3" fontId="84" fillId="0" borderId="0" xfId="0" applyNumberFormat="1" applyFont="1" applyFill="1" applyBorder="1" applyAlignment="1">
      <alignment/>
    </xf>
    <xf numFmtId="3" fontId="84" fillId="0" borderId="111" xfId="0" applyNumberFormat="1" applyFont="1" applyFill="1" applyBorder="1" applyAlignment="1">
      <alignment horizontal="center" vertical="center"/>
    </xf>
    <xf numFmtId="3" fontId="84" fillId="0" borderId="114" xfId="0" applyNumberFormat="1" applyFont="1" applyFill="1" applyBorder="1" applyAlignment="1">
      <alignment vertical="center"/>
    </xf>
    <xf numFmtId="3" fontId="84" fillId="0" borderId="117" xfId="0" applyNumberFormat="1" applyFont="1" applyFill="1" applyBorder="1" applyAlignment="1">
      <alignment/>
    </xf>
    <xf numFmtId="3" fontId="84" fillId="0" borderId="38" xfId="0" applyNumberFormat="1" applyFont="1" applyFill="1" applyBorder="1" applyAlignment="1">
      <alignment horizontal="right"/>
    </xf>
    <xf numFmtId="3" fontId="84" fillId="0" borderId="39" xfId="0" applyNumberFormat="1" applyFont="1" applyFill="1" applyBorder="1" applyAlignment="1">
      <alignment horizontal="right"/>
    </xf>
    <xf numFmtId="3" fontId="84" fillId="0" borderId="0" xfId="0" applyNumberFormat="1" applyFont="1" applyFill="1" applyAlignment="1">
      <alignment horizontal="right"/>
    </xf>
    <xf numFmtId="3" fontId="85" fillId="0" borderId="0" xfId="0" applyNumberFormat="1" applyFont="1" applyFill="1" applyBorder="1" applyAlignment="1">
      <alignment horizontal="right" vertical="center"/>
    </xf>
    <xf numFmtId="3" fontId="85" fillId="0" borderId="0" xfId="0" applyNumberFormat="1" applyFont="1" applyFill="1" applyBorder="1" applyAlignment="1">
      <alignment vertical="center"/>
    </xf>
    <xf numFmtId="3" fontId="16" fillId="0" borderId="118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3" fontId="13" fillId="0" borderId="18" xfId="125" applyNumberFormat="1" applyFont="1" applyFill="1" applyBorder="1" applyAlignment="1">
      <alignment horizontal="center" vertical="center"/>
      <protection/>
    </xf>
    <xf numFmtId="3" fontId="10" fillId="0" borderId="36" xfId="125" applyNumberFormat="1" applyFont="1" applyFill="1" applyBorder="1" applyAlignment="1">
      <alignment horizontal="center" vertical="center"/>
      <protection/>
    </xf>
    <xf numFmtId="3" fontId="16" fillId="0" borderId="44" xfId="0" applyNumberFormat="1" applyFont="1" applyFill="1" applyBorder="1" applyAlignment="1">
      <alignment vertical="center"/>
    </xf>
    <xf numFmtId="3" fontId="16" fillId="0" borderId="37" xfId="0" applyNumberFormat="1" applyFont="1" applyFill="1" applyBorder="1" applyAlignment="1">
      <alignment vertical="center"/>
    </xf>
    <xf numFmtId="3" fontId="84" fillId="0" borderId="20" xfId="0" applyNumberFormat="1" applyFont="1" applyFill="1" applyBorder="1" applyAlignment="1">
      <alignment horizontal="right" vertical="center"/>
    </xf>
    <xf numFmtId="3" fontId="84" fillId="0" borderId="21" xfId="0" applyNumberFormat="1" applyFont="1" applyFill="1" applyBorder="1" applyAlignment="1">
      <alignment horizontal="right" vertical="center"/>
    </xf>
    <xf numFmtId="3" fontId="84" fillId="0" borderId="0" xfId="0" applyNumberFormat="1" applyFont="1" applyFill="1" applyAlignment="1">
      <alignment horizontal="right" vertical="center"/>
    </xf>
    <xf numFmtId="3" fontId="85" fillId="0" borderId="19" xfId="0" applyNumberFormat="1" applyFont="1" applyFill="1" applyBorder="1" applyAlignment="1">
      <alignment horizontal="left" vertical="center" wrapText="1"/>
    </xf>
    <xf numFmtId="3" fontId="85" fillId="0" borderId="93" xfId="0" applyNumberFormat="1" applyFont="1" applyFill="1" applyBorder="1" applyAlignment="1">
      <alignment horizontal="left" vertical="center" wrapText="1"/>
    </xf>
    <xf numFmtId="3" fontId="85" fillId="0" borderId="20" xfId="0" applyNumberFormat="1" applyFont="1" applyFill="1" applyBorder="1" applyAlignment="1">
      <alignment horizontal="left" vertical="center" wrapText="1"/>
    </xf>
    <xf numFmtId="3" fontId="85" fillId="0" borderId="20" xfId="0" applyNumberFormat="1" applyFont="1" applyFill="1" applyBorder="1" applyAlignment="1">
      <alignment horizontal="right" vertical="center"/>
    </xf>
    <xf numFmtId="3" fontId="85" fillId="0" borderId="22" xfId="0" applyNumberFormat="1" applyFont="1" applyFill="1" applyBorder="1" applyAlignment="1">
      <alignment horizontal="right" vertical="center"/>
    </xf>
    <xf numFmtId="3" fontId="84" fillId="0" borderId="43" xfId="0" applyNumberFormat="1" applyFont="1" applyFill="1" applyBorder="1" applyAlignment="1">
      <alignment horizontal="right" vertical="center"/>
    </xf>
    <xf numFmtId="3" fontId="8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10" fillId="0" borderId="87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87" xfId="0" applyNumberFormat="1" applyFont="1" applyFill="1" applyBorder="1" applyAlignment="1">
      <alignment/>
    </xf>
    <xf numFmtId="3" fontId="85" fillId="0" borderId="107" xfId="0" applyNumberFormat="1" applyFont="1" applyFill="1" applyBorder="1" applyAlignment="1">
      <alignment horizontal="right" vertical="center"/>
    </xf>
    <xf numFmtId="3" fontId="6" fillId="0" borderId="0" xfId="116" applyNumberFormat="1" applyFont="1" applyFill="1" applyAlignment="1">
      <alignment horizontal="center" vertical="center"/>
      <protection/>
    </xf>
    <xf numFmtId="3" fontId="6" fillId="0" borderId="0" xfId="116" applyNumberFormat="1" applyFont="1" applyFill="1" applyAlignment="1">
      <alignment horizontal="center"/>
      <protection/>
    </xf>
    <xf numFmtId="3" fontId="11" fillId="0" borderId="0" xfId="116" applyNumberFormat="1" applyFont="1" applyFill="1" applyAlignment="1">
      <alignment horizontal="center" vertical="center"/>
      <protection/>
    </xf>
    <xf numFmtId="3" fontId="6" fillId="0" borderId="0" xfId="116" applyNumberFormat="1" applyFont="1" applyFill="1" applyAlignment="1">
      <alignment horizontal="center" vertical="top"/>
      <protection/>
    </xf>
    <xf numFmtId="3" fontId="10" fillId="0" borderId="0" xfId="117" applyNumberFormat="1" applyFont="1" applyFill="1" applyAlignment="1">
      <alignment horizontal="right"/>
      <protection/>
    </xf>
    <xf numFmtId="3" fontId="2" fillId="0" borderId="0" xfId="127" applyNumberFormat="1" applyFont="1" applyFill="1" applyBorder="1" applyAlignment="1">
      <alignment horizontal="right"/>
      <protection/>
    </xf>
    <xf numFmtId="0" fontId="2" fillId="0" borderId="0" xfId="127" applyFont="1" applyFill="1" applyBorder="1" applyAlignment="1">
      <alignment horizontal="center"/>
      <protection/>
    </xf>
    <xf numFmtId="3" fontId="2" fillId="0" borderId="0" xfId="127" applyNumberFormat="1" applyFont="1" applyFill="1" applyBorder="1" applyAlignment="1" applyProtection="1">
      <alignment horizontal="right"/>
      <protection locked="0"/>
    </xf>
    <xf numFmtId="0" fontId="2" fillId="0" borderId="0" xfId="127" applyFont="1" applyFill="1" applyBorder="1" applyProtection="1">
      <alignment/>
      <protection locked="0"/>
    </xf>
    <xf numFmtId="0" fontId="2" fillId="0" borderId="0" xfId="127" applyFont="1" applyFill="1" applyBorder="1" applyAlignment="1" applyProtection="1">
      <alignment horizontal="center" vertical="center"/>
      <protection locked="0"/>
    </xf>
    <xf numFmtId="0" fontId="10" fillId="0" borderId="0" xfId="127" applyFont="1" applyFill="1" applyBorder="1" applyAlignment="1" applyProtection="1">
      <alignment horizontal="center" vertical="center"/>
      <protection locked="0"/>
    </xf>
    <xf numFmtId="0" fontId="10" fillId="0" borderId="0" xfId="127" applyFont="1" applyFill="1" applyBorder="1" applyAlignment="1" applyProtection="1">
      <alignment horizontal="center" vertical="top"/>
      <protection locked="0"/>
    </xf>
    <xf numFmtId="0" fontId="10" fillId="0" borderId="0" xfId="127" applyFont="1" applyFill="1" applyBorder="1" applyAlignment="1" applyProtection="1">
      <alignment wrapText="1"/>
      <protection locked="0"/>
    </xf>
    <xf numFmtId="3" fontId="10" fillId="0" borderId="0" xfId="127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127" applyNumberFormat="1" applyFont="1" applyFill="1" applyBorder="1" applyAlignment="1" applyProtection="1">
      <alignment horizontal="right"/>
      <protection locked="0"/>
    </xf>
    <xf numFmtId="3" fontId="12" fillId="0" borderId="0" xfId="127" applyNumberFormat="1" applyFont="1" applyFill="1" applyBorder="1" applyAlignment="1" applyProtection="1">
      <alignment horizontal="right"/>
      <protection locked="0"/>
    </xf>
    <xf numFmtId="0" fontId="10" fillId="0" borderId="0" xfId="127" applyFont="1" applyFill="1" applyBorder="1" applyProtection="1">
      <alignment/>
      <protection locked="0"/>
    </xf>
    <xf numFmtId="0" fontId="6" fillId="0" borderId="0" xfId="127" applyFont="1" applyFill="1" applyBorder="1" applyAlignment="1" applyProtection="1">
      <alignment horizontal="center"/>
      <protection locked="0"/>
    </xf>
    <xf numFmtId="0" fontId="6" fillId="0" borderId="0" xfId="128" applyFont="1" applyFill="1" applyBorder="1" applyAlignment="1" applyProtection="1">
      <alignment horizontal="center" wrapText="1"/>
      <protection locked="0"/>
    </xf>
    <xf numFmtId="3" fontId="6" fillId="0" borderId="0" xfId="128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127" applyFont="1" applyFill="1" applyBorder="1" applyAlignment="1" applyProtection="1">
      <alignment horizontal="center" vertical="center"/>
      <protection locked="0"/>
    </xf>
    <xf numFmtId="0" fontId="13" fillId="0" borderId="0" xfId="127" applyFont="1" applyFill="1" applyBorder="1" applyAlignment="1" applyProtection="1">
      <alignment horizontal="left" vertical="center"/>
      <protection locked="0"/>
    </xf>
    <xf numFmtId="3" fontId="10" fillId="0" borderId="0" xfId="128" applyNumberFormat="1" applyFont="1" applyFill="1" applyBorder="1" applyAlignment="1" applyProtection="1">
      <alignment horizontal="right"/>
      <protection locked="0"/>
    </xf>
    <xf numFmtId="3" fontId="10" fillId="0" borderId="0" xfId="127" applyNumberFormat="1" applyFont="1" applyFill="1" applyBorder="1" applyAlignment="1" applyProtection="1">
      <alignment horizontal="right" vertical="center"/>
      <protection locked="0"/>
    </xf>
    <xf numFmtId="3" fontId="10" fillId="0" borderId="23" xfId="117" applyNumberFormat="1" applyFont="1" applyFill="1" applyBorder="1" applyAlignment="1">
      <alignment horizontal="center"/>
      <protection/>
    </xf>
    <xf numFmtId="3" fontId="10" fillId="0" borderId="86" xfId="0" applyNumberFormat="1" applyFont="1" applyFill="1" applyBorder="1" applyAlignment="1">
      <alignment horizontal="center" vertical="center" wrapText="1"/>
    </xf>
    <xf numFmtId="1" fontId="10" fillId="0" borderId="0" xfId="117" applyNumberFormat="1" applyFont="1" applyFill="1" applyBorder="1" applyAlignment="1">
      <alignment horizontal="center" vertical="center"/>
      <protection/>
    </xf>
    <xf numFmtId="1" fontId="2" fillId="0" borderId="0" xfId="117" applyNumberFormat="1" applyFont="1" applyFill="1" applyBorder="1" applyAlignment="1">
      <alignment horizontal="center" vertical="center"/>
      <protection/>
    </xf>
    <xf numFmtId="3" fontId="2" fillId="0" borderId="0" xfId="117" applyNumberFormat="1" applyFont="1" applyFill="1" applyAlignment="1">
      <alignment horizontal="right"/>
      <protection/>
    </xf>
    <xf numFmtId="3" fontId="10" fillId="0" borderId="0" xfId="117" applyNumberFormat="1" applyFont="1" applyFill="1" applyAlignment="1">
      <alignment horizontal="center"/>
      <protection/>
    </xf>
    <xf numFmtId="3" fontId="10" fillId="0" borderId="0" xfId="117" applyNumberFormat="1" applyFont="1" applyFill="1" applyAlignment="1">
      <alignment horizontal="center" vertical="top"/>
      <protection/>
    </xf>
    <xf numFmtId="0" fontId="13" fillId="0" borderId="0" xfId="117" applyFont="1" applyFill="1" applyBorder="1" applyAlignment="1">
      <alignment vertical="top" wrapText="1"/>
      <protection/>
    </xf>
    <xf numFmtId="3" fontId="10" fillId="0" borderId="0" xfId="117" applyNumberFormat="1" applyFont="1" applyFill="1" applyAlignment="1">
      <alignment/>
      <protection/>
    </xf>
    <xf numFmtId="0" fontId="10" fillId="0" borderId="0" xfId="117" applyFont="1" applyFill="1" applyBorder="1" applyAlignment="1">
      <alignment horizontal="center"/>
      <protection/>
    </xf>
    <xf numFmtId="3" fontId="13" fillId="0" borderId="0" xfId="117" applyNumberFormat="1" applyFont="1" applyFill="1" applyAlignment="1">
      <alignment/>
      <protection/>
    </xf>
    <xf numFmtId="1" fontId="6" fillId="0" borderId="0" xfId="117" applyNumberFormat="1" applyFont="1" applyFill="1" applyBorder="1" applyAlignment="1">
      <alignment horizontal="center" vertical="center"/>
      <protection/>
    </xf>
    <xf numFmtId="3" fontId="6" fillId="0" borderId="0" xfId="117" applyNumberFormat="1" applyFont="1" applyFill="1" applyBorder="1" applyAlignment="1">
      <alignment horizontal="center" vertical="center"/>
      <protection/>
    </xf>
    <xf numFmtId="3" fontId="6" fillId="0" borderId="0" xfId="117" applyNumberFormat="1" applyFont="1" applyFill="1" applyBorder="1" applyAlignment="1">
      <alignment horizontal="center" vertical="center" wrapText="1"/>
      <protection/>
    </xf>
    <xf numFmtId="3" fontId="6" fillId="0" borderId="0" xfId="117" applyNumberFormat="1" applyFont="1" applyFill="1" applyBorder="1" applyAlignment="1">
      <alignment horizontal="center"/>
      <protection/>
    </xf>
    <xf numFmtId="3" fontId="10" fillId="0" borderId="35" xfId="117" applyNumberFormat="1" applyFont="1" applyFill="1" applyBorder="1" applyAlignment="1">
      <alignment horizontal="center"/>
      <protection/>
    </xf>
    <xf numFmtId="3" fontId="23" fillId="0" borderId="36" xfId="117" applyNumberFormat="1" applyFont="1" applyFill="1" applyBorder="1" applyAlignment="1">
      <alignment horizontal="left"/>
      <protection/>
    </xf>
    <xf numFmtId="0" fontId="13" fillId="0" borderId="36" xfId="117" applyFont="1" applyFill="1" applyBorder="1" applyAlignment="1">
      <alignment horizontal="center" vertical="center" wrapText="1"/>
      <protection/>
    </xf>
    <xf numFmtId="3" fontId="10" fillId="0" borderId="36" xfId="117" applyNumberFormat="1" applyFont="1" applyFill="1" applyBorder="1" applyAlignment="1">
      <alignment horizontal="center" vertical="center" wrapText="1"/>
      <protection/>
    </xf>
    <xf numFmtId="3" fontId="13" fillId="0" borderId="36" xfId="117" applyNumberFormat="1" applyFont="1" applyFill="1" applyBorder="1" applyAlignment="1">
      <alignment horizontal="center" vertical="center" wrapText="1"/>
      <protection/>
    </xf>
    <xf numFmtId="3" fontId="10" fillId="0" borderId="36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textRotation="90" wrapText="1"/>
    </xf>
    <xf numFmtId="3" fontId="10" fillId="0" borderId="106" xfId="117" applyNumberFormat="1" applyFont="1" applyFill="1" applyBorder="1" applyAlignment="1">
      <alignment horizontal="center" vertical="center" wrapText="1"/>
      <protection/>
    </xf>
    <xf numFmtId="0" fontId="10" fillId="0" borderId="25" xfId="127" applyFont="1" applyFill="1" applyBorder="1" applyAlignment="1">
      <alignment horizontal="center"/>
      <protection/>
    </xf>
    <xf numFmtId="3" fontId="10" fillId="0" borderId="54" xfId="127" applyNumberFormat="1" applyFont="1" applyFill="1" applyBorder="1" applyAlignment="1">
      <alignment horizontal="center" vertical="center" wrapText="1"/>
      <protection/>
    </xf>
    <xf numFmtId="3" fontId="10" fillId="0" borderId="95" xfId="119" applyNumberFormat="1" applyFont="1" applyFill="1" applyBorder="1" applyAlignment="1">
      <alignment horizontal="right" vertical="center" wrapText="1"/>
      <protection/>
    </xf>
    <xf numFmtId="3" fontId="10" fillId="0" borderId="93" xfId="119" applyNumberFormat="1" applyFont="1" applyFill="1" applyBorder="1" applyAlignment="1">
      <alignment horizontal="right" vertical="center" wrapText="1"/>
      <protection/>
    </xf>
    <xf numFmtId="3" fontId="10" fillId="0" borderId="93" xfId="127" applyNumberFormat="1" applyFont="1" applyFill="1" applyBorder="1" applyAlignment="1">
      <alignment horizontal="right" vertical="center"/>
      <protection/>
    </xf>
    <xf numFmtId="3" fontId="10" fillId="0" borderId="0" xfId="127" applyNumberFormat="1" applyFont="1" applyFill="1" applyBorder="1" applyAlignment="1" applyProtection="1">
      <alignment/>
      <protection locked="0"/>
    </xf>
    <xf numFmtId="3" fontId="10" fillId="0" borderId="0" xfId="128" applyNumberFormat="1" applyFont="1" applyFill="1" applyBorder="1" applyAlignment="1" applyProtection="1">
      <alignment/>
      <protection locked="0"/>
    </xf>
    <xf numFmtId="3" fontId="10" fillId="0" borderId="0" xfId="128" applyNumberFormat="1" applyFont="1" applyFill="1" applyBorder="1" applyAlignment="1" applyProtection="1">
      <alignment wrapText="1"/>
      <protection locked="0"/>
    </xf>
    <xf numFmtId="0" fontId="13" fillId="0" borderId="100" xfId="128" applyFont="1" applyFill="1" applyBorder="1" applyAlignment="1" applyProtection="1">
      <alignment horizontal="center" vertical="center"/>
      <protection locked="0"/>
    </xf>
    <xf numFmtId="3" fontId="13" fillId="0" borderId="100" xfId="128" applyNumberFormat="1" applyFont="1" applyFill="1" applyBorder="1" applyAlignment="1" applyProtection="1">
      <alignment vertical="center"/>
      <protection locked="0"/>
    </xf>
    <xf numFmtId="3" fontId="13" fillId="0" borderId="100" xfId="127" applyNumberFormat="1" applyFont="1" applyFill="1" applyBorder="1" applyAlignment="1" applyProtection="1">
      <alignment vertical="center"/>
      <protection locked="0"/>
    </xf>
    <xf numFmtId="3" fontId="13" fillId="0" borderId="119" xfId="127" applyNumberFormat="1" applyFont="1" applyFill="1" applyBorder="1" applyAlignment="1" applyProtection="1">
      <alignment horizontal="right" vertical="center"/>
      <protection locked="0"/>
    </xf>
    <xf numFmtId="0" fontId="13" fillId="0" borderId="56" xfId="128" applyFont="1" applyFill="1" applyBorder="1" applyAlignment="1" applyProtection="1">
      <alignment horizontal="center" vertical="center"/>
      <protection locked="0"/>
    </xf>
    <xf numFmtId="3" fontId="13" fillId="0" borderId="56" xfId="128" applyNumberFormat="1" applyFont="1" applyFill="1" applyBorder="1" applyAlignment="1" applyProtection="1">
      <alignment vertical="center"/>
      <protection locked="0"/>
    </xf>
    <xf numFmtId="3" fontId="13" fillId="0" borderId="56" xfId="127" applyNumberFormat="1" applyFont="1" applyFill="1" applyBorder="1" applyAlignment="1" applyProtection="1">
      <alignment vertical="center"/>
      <protection locked="0"/>
    </xf>
    <xf numFmtId="3" fontId="13" fillId="0" borderId="120" xfId="127" applyNumberFormat="1" applyFont="1" applyFill="1" applyBorder="1" applyAlignment="1" applyProtection="1">
      <alignment horizontal="right" vertical="center"/>
      <protection locked="0"/>
    </xf>
    <xf numFmtId="0" fontId="10" fillId="0" borderId="0" xfId="117" applyNumberFormat="1" applyFont="1" applyFill="1" applyBorder="1" applyAlignment="1">
      <alignment horizontal="center" vertical="center"/>
      <protection/>
    </xf>
    <xf numFmtId="0" fontId="2" fillId="0" borderId="0" xfId="117" applyNumberFormat="1" applyFont="1" applyFill="1" applyBorder="1" applyAlignment="1">
      <alignment horizontal="center" vertical="center"/>
      <protection/>
    </xf>
    <xf numFmtId="3" fontId="2" fillId="0" borderId="0" xfId="117" applyNumberFormat="1" applyFont="1" applyFill="1" applyAlignment="1">
      <alignment vertical="top"/>
      <protection/>
    </xf>
    <xf numFmtId="3" fontId="2" fillId="0" borderId="0" xfId="117" applyNumberFormat="1" applyFont="1" applyFill="1" applyAlignment="1">
      <alignment horizontal="right" vertical="top"/>
      <protection/>
    </xf>
    <xf numFmtId="0" fontId="0" fillId="0" borderId="0" xfId="0" applyFont="1" applyFill="1" applyAlignment="1">
      <alignment/>
    </xf>
    <xf numFmtId="0" fontId="10" fillId="0" borderId="0" xfId="127" applyFont="1" applyFill="1" applyBorder="1" applyAlignment="1">
      <alignment/>
      <protection/>
    </xf>
    <xf numFmtId="3" fontId="10" fillId="0" borderId="0" xfId="127" applyNumberFormat="1" applyFont="1" applyFill="1" applyBorder="1" applyAlignment="1">
      <alignment horizontal="center" wrapText="1"/>
      <protection/>
    </xf>
    <xf numFmtId="3" fontId="13" fillId="0" borderId="0" xfId="127" applyNumberFormat="1" applyFont="1" applyFill="1" applyBorder="1" applyAlignment="1">
      <alignment horizontal="right"/>
      <protection/>
    </xf>
    <xf numFmtId="0" fontId="6" fillId="0" borderId="0" xfId="127" applyFont="1" applyFill="1" applyBorder="1" applyAlignment="1">
      <alignment horizontal="center"/>
      <protection/>
    </xf>
    <xf numFmtId="0" fontId="6" fillId="0" borderId="0" xfId="128" applyFont="1" applyFill="1" applyBorder="1" applyAlignment="1">
      <alignment horizontal="center" wrapText="1"/>
      <protection/>
    </xf>
    <xf numFmtId="3" fontId="6" fillId="0" borderId="0" xfId="128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10" fillId="0" borderId="57" xfId="127" applyFont="1" applyFill="1" applyBorder="1" applyAlignment="1">
      <alignment horizontal="center" vertical="center" wrapText="1"/>
      <protection/>
    </xf>
    <xf numFmtId="0" fontId="10" fillId="0" borderId="43" xfId="127" applyFont="1" applyFill="1" applyBorder="1" applyAlignment="1">
      <alignment horizontal="center" vertical="center" wrapText="1"/>
      <protection/>
    </xf>
    <xf numFmtId="0" fontId="2" fillId="0" borderId="109" xfId="119" applyFont="1" applyFill="1" applyBorder="1" applyAlignment="1">
      <alignment vertical="top" wrapText="1"/>
      <protection/>
    </xf>
    <xf numFmtId="3" fontId="2" fillId="0" borderId="109" xfId="120" applyNumberFormat="1" applyFont="1" applyFill="1" applyBorder="1" applyAlignment="1">
      <alignment horizontal="left" vertical="top" wrapText="1"/>
      <protection/>
    </xf>
    <xf numFmtId="0" fontId="2" fillId="0" borderId="20" xfId="119" applyFont="1" applyFill="1" applyBorder="1" applyAlignment="1">
      <alignment horizontal="left" vertical="top" wrapText="1"/>
      <protection/>
    </xf>
    <xf numFmtId="3" fontId="2" fillId="0" borderId="94" xfId="120" applyNumberFormat="1" applyFont="1" applyFill="1" applyBorder="1" applyAlignment="1">
      <alignment horizontal="left"/>
      <protection/>
    </xf>
    <xf numFmtId="3" fontId="88" fillId="0" borderId="107" xfId="119" applyNumberFormat="1" applyFont="1" applyFill="1" applyBorder="1" applyAlignment="1">
      <alignment horizontal="right" wrapText="1"/>
      <protection/>
    </xf>
    <xf numFmtId="0" fontId="88" fillId="0" borderId="19" xfId="127" applyFont="1" applyFill="1" applyBorder="1" applyAlignment="1">
      <alignment horizontal="center"/>
      <protection/>
    </xf>
    <xf numFmtId="0" fontId="88" fillId="0" borderId="20" xfId="127" applyFont="1" applyFill="1" applyBorder="1" applyAlignment="1">
      <alignment horizontal="center"/>
      <protection/>
    </xf>
    <xf numFmtId="0" fontId="88" fillId="0" borderId="20" xfId="119" applyFont="1" applyFill="1" applyBorder="1" applyAlignment="1">
      <alignment horizontal="left"/>
      <protection/>
    </xf>
    <xf numFmtId="3" fontId="88" fillId="0" borderId="20" xfId="127" applyNumberFormat="1" applyFont="1" applyFill="1" applyBorder="1" applyAlignment="1">
      <alignment horizontal="right"/>
      <protection/>
    </xf>
    <xf numFmtId="3" fontId="88" fillId="0" borderId="20" xfId="119" applyNumberFormat="1" applyFont="1" applyFill="1" applyBorder="1" applyAlignment="1">
      <alignment horizontal="right"/>
      <protection/>
    </xf>
    <xf numFmtId="3" fontId="88" fillId="0" borderId="20" xfId="119" applyNumberFormat="1" applyFont="1" applyFill="1" applyBorder="1" applyAlignment="1">
      <alignment horizontal="right" wrapText="1"/>
      <protection/>
    </xf>
    <xf numFmtId="3" fontId="88" fillId="0" borderId="105" xfId="127" applyNumberFormat="1" applyFont="1" applyFill="1" applyBorder="1" applyAlignment="1">
      <alignment horizontal="right"/>
      <protection/>
    </xf>
    <xf numFmtId="0" fontId="88" fillId="0" borderId="0" xfId="127" applyFont="1" applyFill="1" applyBorder="1" applyAlignment="1">
      <alignment/>
      <protection/>
    </xf>
    <xf numFmtId="0" fontId="88" fillId="0" borderId="109" xfId="119" applyFont="1" applyFill="1" applyBorder="1" applyAlignment="1">
      <alignment/>
      <protection/>
    </xf>
    <xf numFmtId="3" fontId="2" fillId="0" borderId="121" xfId="127" applyNumberFormat="1" applyFont="1" applyFill="1" applyBorder="1" applyAlignment="1">
      <alignment horizontal="center" vertical="center" wrapText="1"/>
      <protection/>
    </xf>
    <xf numFmtId="3" fontId="2" fillId="0" borderId="122" xfId="119" applyNumberFormat="1" applyFont="1" applyFill="1" applyBorder="1" applyAlignment="1">
      <alignment horizontal="right" wrapText="1"/>
      <protection/>
    </xf>
    <xf numFmtId="3" fontId="2" fillId="0" borderId="93" xfId="119" applyNumberFormat="1" applyFont="1" applyFill="1" applyBorder="1" applyAlignment="1">
      <alignment horizontal="right" wrapText="1"/>
      <protection/>
    </xf>
    <xf numFmtId="3" fontId="88" fillId="0" borderId="93" xfId="119" applyNumberFormat="1" applyFont="1" applyFill="1" applyBorder="1" applyAlignment="1">
      <alignment horizontal="right" wrapText="1"/>
      <protection/>
    </xf>
    <xf numFmtId="0" fontId="2" fillId="0" borderId="57" xfId="127" applyFont="1" applyFill="1" applyBorder="1" applyAlignment="1">
      <alignment horizontal="center" wrapText="1"/>
      <protection/>
    </xf>
    <xf numFmtId="0" fontId="2" fillId="0" borderId="43" xfId="127" applyFont="1" applyFill="1" applyBorder="1" applyAlignment="1">
      <alignment horizontal="center" wrapText="1"/>
      <protection/>
    </xf>
    <xf numFmtId="0" fontId="88" fillId="0" borderId="43" xfId="127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10" fillId="0" borderId="0" xfId="120" applyNumberFormat="1" applyFont="1">
      <alignment/>
      <protection/>
    </xf>
    <xf numFmtId="3" fontId="10" fillId="0" borderId="0" xfId="120" applyNumberFormat="1" applyFont="1" applyAlignment="1">
      <alignment horizontal="center"/>
      <protection/>
    </xf>
    <xf numFmtId="3" fontId="10" fillId="0" borderId="0" xfId="120" applyNumberFormat="1" applyFont="1" applyAlignment="1">
      <alignment horizontal="left" wrapText="1"/>
      <protection/>
    </xf>
    <xf numFmtId="14" fontId="10" fillId="0" borderId="0" xfId="120" applyNumberFormat="1" applyFont="1" applyAlignment="1">
      <alignment horizontal="center"/>
      <protection/>
    </xf>
    <xf numFmtId="3" fontId="89" fillId="0" borderId="20" xfId="127" applyNumberFormat="1" applyFont="1" applyFill="1" applyBorder="1" applyAlignment="1">
      <alignment horizontal="right"/>
      <protection/>
    </xf>
    <xf numFmtId="3" fontId="89" fillId="0" borderId="20" xfId="119" applyNumberFormat="1" applyFont="1" applyFill="1" applyBorder="1" applyAlignment="1">
      <alignment horizontal="right" wrapText="1"/>
      <protection/>
    </xf>
    <xf numFmtId="3" fontId="89" fillId="0" borderId="122" xfId="119" applyNumberFormat="1" applyFont="1" applyFill="1" applyBorder="1" applyAlignment="1">
      <alignment horizontal="right" wrapText="1"/>
      <protection/>
    </xf>
    <xf numFmtId="3" fontId="89" fillId="0" borderId="110" xfId="119" applyNumberFormat="1" applyFont="1" applyFill="1" applyBorder="1" applyAlignment="1">
      <alignment horizontal="right" wrapText="1"/>
      <protection/>
    </xf>
    <xf numFmtId="3" fontId="88" fillId="0" borderId="108" xfId="119" applyNumberFormat="1" applyFont="1" applyFill="1" applyBorder="1" applyAlignment="1">
      <alignment horizontal="right" wrapText="1"/>
      <protection/>
    </xf>
    <xf numFmtId="3" fontId="89" fillId="0" borderId="93" xfId="119" applyNumberFormat="1" applyFont="1" applyFill="1" applyBorder="1" applyAlignment="1">
      <alignment horizontal="right" wrapText="1"/>
      <protection/>
    </xf>
    <xf numFmtId="3" fontId="89" fillId="0" borderId="93" xfId="127" applyNumberFormat="1" applyFont="1" applyFill="1" applyBorder="1" applyAlignment="1">
      <alignment horizontal="right"/>
      <protection/>
    </xf>
    <xf numFmtId="3" fontId="88" fillId="0" borderId="107" xfId="127" applyNumberFormat="1" applyFont="1" applyFill="1" applyBorder="1" applyAlignment="1">
      <alignment horizontal="right"/>
      <protection/>
    </xf>
    <xf numFmtId="0" fontId="2" fillId="0" borderId="109" xfId="119" applyFont="1" applyFill="1" applyBorder="1" applyAlignment="1">
      <alignment horizontal="left" wrapText="1"/>
      <protection/>
    </xf>
    <xf numFmtId="2" fontId="2" fillId="0" borderId="20" xfId="119" applyNumberFormat="1" applyFont="1" applyFill="1" applyBorder="1" applyAlignment="1">
      <alignment wrapText="1"/>
      <protection/>
    </xf>
    <xf numFmtId="0" fontId="89" fillId="0" borderId="0" xfId="127" applyFont="1" applyFill="1" applyBorder="1" applyAlignment="1">
      <alignment/>
      <protection/>
    </xf>
    <xf numFmtId="0" fontId="25" fillId="0" borderId="20" xfId="119" applyFont="1" applyFill="1" applyBorder="1" applyAlignment="1">
      <alignment horizontal="left"/>
      <protection/>
    </xf>
    <xf numFmtId="0" fontId="2" fillId="0" borderId="43" xfId="127" applyFont="1" applyFill="1" applyBorder="1" applyAlignment="1">
      <alignment horizontal="center" vertical="top" wrapText="1"/>
      <protection/>
    </xf>
    <xf numFmtId="3" fontId="89" fillId="0" borderId="20" xfId="119" applyNumberFormat="1" applyFont="1" applyFill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 vertical="center"/>
    </xf>
    <xf numFmtId="0" fontId="28" fillId="0" borderId="20" xfId="119" applyFont="1" applyFill="1" applyBorder="1" applyAlignment="1">
      <alignment horizontal="left"/>
      <protection/>
    </xf>
    <xf numFmtId="3" fontId="4" fillId="0" borderId="30" xfId="0" applyNumberFormat="1" applyFont="1" applyFill="1" applyBorder="1" applyAlignment="1">
      <alignment vertical="center"/>
    </xf>
    <xf numFmtId="0" fontId="2" fillId="0" borderId="0" xfId="88" applyFont="1" applyFill="1" applyBorder="1" applyAlignment="1" applyProtection="1">
      <alignment horizontal="center" vertical="center"/>
      <protection locked="0"/>
    </xf>
    <xf numFmtId="3" fontId="2" fillId="0" borderId="0" xfId="88" applyNumberFormat="1" applyFont="1" applyFill="1" applyBorder="1" applyAlignment="1" applyProtection="1">
      <alignment horizontal="center" vertical="center"/>
      <protection locked="0"/>
    </xf>
    <xf numFmtId="3" fontId="2" fillId="0" borderId="0" xfId="88" applyNumberFormat="1" applyFont="1" applyFill="1" applyBorder="1" applyAlignment="1" applyProtection="1">
      <alignment/>
      <protection locked="0"/>
    </xf>
    <xf numFmtId="3" fontId="2" fillId="0" borderId="0" xfId="88" applyNumberFormat="1" applyFont="1" applyFill="1" applyBorder="1" applyAlignment="1" applyProtection="1">
      <alignment horizontal="right"/>
      <protection locked="0"/>
    </xf>
    <xf numFmtId="0" fontId="2" fillId="0" borderId="0" xfId="88" applyFont="1" applyFill="1" applyBorder="1" applyProtection="1">
      <alignment/>
      <protection locked="0"/>
    </xf>
    <xf numFmtId="3" fontId="10" fillId="0" borderId="0" xfId="88" applyNumberFormat="1" applyFont="1" applyFill="1" applyBorder="1" applyAlignment="1" applyProtection="1">
      <alignment horizontal="left" vertical="top"/>
      <protection locked="0"/>
    </xf>
    <xf numFmtId="3" fontId="10" fillId="0" borderId="0" xfId="88" applyNumberFormat="1" applyFont="1" applyFill="1" applyBorder="1" applyAlignment="1" applyProtection="1">
      <alignment horizontal="center" vertical="top"/>
      <protection locked="0"/>
    </xf>
    <xf numFmtId="3" fontId="10" fillId="0" borderId="0" xfId="88" applyNumberFormat="1" applyFont="1" applyFill="1" applyBorder="1" applyAlignment="1" applyProtection="1">
      <alignment horizontal="center" vertical="center"/>
      <protection locked="0"/>
    </xf>
    <xf numFmtId="3" fontId="10" fillId="0" borderId="0" xfId="88" applyNumberFormat="1" applyFont="1" applyFill="1" applyBorder="1" applyAlignment="1" applyProtection="1">
      <alignment/>
      <protection locked="0"/>
    </xf>
    <xf numFmtId="0" fontId="2" fillId="0" borderId="23" xfId="127" applyFont="1" applyFill="1" applyBorder="1" applyAlignment="1">
      <alignment horizontal="center"/>
      <protection/>
    </xf>
    <xf numFmtId="3" fontId="89" fillId="0" borderId="23" xfId="127" applyNumberFormat="1" applyFont="1" applyFill="1" applyBorder="1" applyAlignment="1">
      <alignment horizontal="right"/>
      <protection/>
    </xf>
    <xf numFmtId="3" fontId="89" fillId="0" borderId="23" xfId="119" applyNumberFormat="1" applyFont="1" applyFill="1" applyBorder="1" applyAlignment="1">
      <alignment horizontal="right"/>
      <protection/>
    </xf>
    <xf numFmtId="3" fontId="88" fillId="0" borderId="88" xfId="119" applyNumberFormat="1" applyFont="1" applyFill="1" applyBorder="1" applyAlignment="1">
      <alignment horizontal="right" wrapText="1"/>
      <protection/>
    </xf>
    <xf numFmtId="3" fontId="88" fillId="0" borderId="23" xfId="119" applyNumberFormat="1" applyFont="1" applyFill="1" applyBorder="1" applyAlignment="1">
      <alignment horizontal="right" wrapText="1"/>
      <protection/>
    </xf>
    <xf numFmtId="3" fontId="89" fillId="0" borderId="23" xfId="119" applyNumberFormat="1" applyFont="1" applyFill="1" applyBorder="1" applyAlignment="1">
      <alignment horizontal="right" wrapText="1"/>
      <protection/>
    </xf>
    <xf numFmtId="3" fontId="88" fillId="0" borderId="123" xfId="119" applyNumberFormat="1" applyFont="1" applyFill="1" applyBorder="1" applyAlignment="1">
      <alignment horizontal="right" wrapText="1"/>
      <protection/>
    </xf>
    <xf numFmtId="0" fontId="28" fillId="0" borderId="23" xfId="119" applyFont="1" applyFill="1" applyBorder="1" applyAlignment="1">
      <alignment horizontal="left"/>
      <protection/>
    </xf>
    <xf numFmtId="3" fontId="88" fillId="0" borderId="124" xfId="127" applyNumberFormat="1" applyFont="1" applyFill="1" applyBorder="1" applyAlignment="1">
      <alignment horizontal="right"/>
      <protection/>
    </xf>
    <xf numFmtId="3" fontId="88" fillId="0" borderId="104" xfId="127" applyNumberFormat="1" applyFont="1" applyFill="1" applyBorder="1" applyAlignment="1">
      <alignment horizontal="right"/>
      <protection/>
    </xf>
    <xf numFmtId="3" fontId="2" fillId="0" borderId="124" xfId="127" applyNumberFormat="1" applyFont="1" applyFill="1" applyBorder="1" applyAlignment="1">
      <alignment horizontal="right"/>
      <protection/>
    </xf>
    <xf numFmtId="0" fontId="2" fillId="0" borderId="38" xfId="127" applyFont="1" applyFill="1" applyBorder="1" applyAlignment="1">
      <alignment horizontal="center"/>
      <protection/>
    </xf>
    <xf numFmtId="0" fontId="88" fillId="0" borderId="38" xfId="119" applyFont="1" applyFill="1" applyBorder="1" applyAlignment="1">
      <alignment horizontal="left"/>
      <protection/>
    </xf>
    <xf numFmtId="3" fontId="89" fillId="0" borderId="38" xfId="119" applyNumberFormat="1" applyFont="1" applyFill="1" applyBorder="1" applyAlignment="1">
      <alignment horizontal="right"/>
      <protection/>
    </xf>
    <xf numFmtId="0" fontId="88" fillId="0" borderId="117" xfId="127" applyFont="1" applyFill="1" applyBorder="1" applyAlignment="1">
      <alignment horizontal="center" wrapText="1"/>
      <protection/>
    </xf>
    <xf numFmtId="3" fontId="88" fillId="0" borderId="111" xfId="119" applyNumberFormat="1" applyFont="1" applyFill="1" applyBorder="1" applyAlignment="1">
      <alignment horizontal="right" wrapText="1"/>
      <protection/>
    </xf>
    <xf numFmtId="3" fontId="88" fillId="0" borderId="38" xfId="119" applyNumberFormat="1" applyFont="1" applyFill="1" applyBorder="1" applyAlignment="1">
      <alignment horizontal="right" wrapText="1"/>
      <protection/>
    </xf>
    <xf numFmtId="3" fontId="89" fillId="0" borderId="38" xfId="119" applyNumberFormat="1" applyFont="1" applyFill="1" applyBorder="1" applyAlignment="1">
      <alignment horizontal="right" wrapText="1"/>
      <protection/>
    </xf>
    <xf numFmtId="3" fontId="88" fillId="0" borderId="125" xfId="119" applyNumberFormat="1" applyFont="1" applyFill="1" applyBorder="1" applyAlignment="1">
      <alignment horizontal="right" wrapText="1"/>
      <protection/>
    </xf>
    <xf numFmtId="0" fontId="88" fillId="0" borderId="112" xfId="119" applyFont="1" applyFill="1" applyBorder="1" applyAlignment="1">
      <alignment/>
      <protection/>
    </xf>
    <xf numFmtId="3" fontId="2" fillId="0" borderId="38" xfId="127" applyNumberFormat="1" applyFont="1" applyFill="1" applyBorder="1" applyAlignment="1">
      <alignment horizontal="right"/>
      <protection/>
    </xf>
    <xf numFmtId="3" fontId="2" fillId="0" borderId="38" xfId="119" applyNumberFormat="1" applyFont="1" applyFill="1" applyBorder="1" applyAlignment="1">
      <alignment horizontal="right"/>
      <protection/>
    </xf>
    <xf numFmtId="0" fontId="2" fillId="0" borderId="117" xfId="127" applyFont="1" applyFill="1" applyBorder="1" applyAlignment="1">
      <alignment horizontal="center" wrapText="1"/>
      <protection/>
    </xf>
    <xf numFmtId="3" fontId="2" fillId="0" borderId="111" xfId="119" applyNumberFormat="1" applyFont="1" applyFill="1" applyBorder="1" applyAlignment="1">
      <alignment horizontal="right" wrapText="1"/>
      <protection/>
    </xf>
    <xf numFmtId="3" fontId="2" fillId="0" borderId="38" xfId="119" applyNumberFormat="1" applyFont="1" applyFill="1" applyBorder="1" applyAlignment="1">
      <alignment horizontal="right" wrapText="1"/>
      <protection/>
    </xf>
    <xf numFmtId="3" fontId="2" fillId="0" borderId="20" xfId="117" applyNumberFormat="1" applyFont="1" applyFill="1" applyBorder="1" applyAlignment="1">
      <alignment horizontal="center" vertical="center"/>
      <protection/>
    </xf>
    <xf numFmtId="3" fontId="2" fillId="0" borderId="0" xfId="117" applyNumberFormat="1" applyFont="1" applyFill="1" applyBorder="1" applyAlignment="1">
      <alignment horizontal="center" vertical="center"/>
      <protection/>
    </xf>
    <xf numFmtId="3" fontId="10" fillId="0" borderId="0" xfId="120" applyNumberFormat="1" applyFont="1" applyAlignment="1">
      <alignment horizontal="center" wrapText="1"/>
      <protection/>
    </xf>
    <xf numFmtId="3" fontId="10" fillId="0" borderId="0" xfId="120" applyNumberFormat="1" applyFont="1" applyBorder="1" applyAlignment="1">
      <alignment horizontal="center"/>
      <protection/>
    </xf>
    <xf numFmtId="3" fontId="10" fillId="0" borderId="126" xfId="120" applyNumberFormat="1" applyFont="1" applyBorder="1" applyAlignment="1">
      <alignment horizontal="center" vertical="center" wrapText="1"/>
      <protection/>
    </xf>
    <xf numFmtId="3" fontId="2" fillId="0" borderId="127" xfId="120" applyNumberFormat="1" applyFont="1" applyBorder="1" applyAlignment="1">
      <alignment horizontal="center" vertical="center" wrapText="1"/>
      <protection/>
    </xf>
    <xf numFmtId="3" fontId="2" fillId="0" borderId="92" xfId="120" applyNumberFormat="1" applyFont="1" applyBorder="1" applyAlignment="1">
      <alignment horizontal="center" vertical="center" wrapText="1"/>
      <protection/>
    </xf>
    <xf numFmtId="3" fontId="10" fillId="0" borderId="0" xfId="120" applyNumberFormat="1" applyFont="1" applyBorder="1" applyAlignment="1">
      <alignment horizontal="center" vertical="center" wrapText="1"/>
      <protection/>
    </xf>
    <xf numFmtId="3" fontId="2" fillId="0" borderId="10" xfId="120" applyNumberFormat="1" applyFont="1" applyBorder="1" applyAlignment="1">
      <alignment horizontal="center" wrapText="1"/>
      <protection/>
    </xf>
    <xf numFmtId="3" fontId="24" fillId="0" borderId="128" xfId="120" applyNumberFormat="1" applyFont="1" applyBorder="1" applyAlignment="1">
      <alignment horizontal="left"/>
      <protection/>
    </xf>
    <xf numFmtId="3" fontId="2" fillId="0" borderId="99" xfId="120" applyNumberFormat="1" applyFont="1" applyBorder="1" applyAlignment="1">
      <alignment horizontal="center" wrapText="1"/>
      <protection/>
    </xf>
    <xf numFmtId="14" fontId="2" fillId="0" borderId="106" xfId="120" applyNumberFormat="1" applyFont="1" applyBorder="1" applyAlignment="1">
      <alignment horizontal="center" vertical="center" wrapText="1"/>
      <protection/>
    </xf>
    <xf numFmtId="3" fontId="2" fillId="0" borderId="0" xfId="120" applyNumberFormat="1" applyFont="1" applyBorder="1" applyAlignment="1">
      <alignment horizontal="center" vertical="center" wrapText="1"/>
      <protection/>
    </xf>
    <xf numFmtId="3" fontId="2" fillId="0" borderId="129" xfId="120" applyNumberFormat="1" applyFont="1" applyBorder="1" applyAlignment="1">
      <alignment horizontal="center" vertical="center" wrapText="1"/>
      <protection/>
    </xf>
    <xf numFmtId="3" fontId="2" fillId="0" borderId="122" xfId="120" applyNumberFormat="1" applyFont="1" applyBorder="1" applyAlignment="1">
      <alignment horizontal="center" vertical="center" wrapText="1"/>
      <protection/>
    </xf>
    <xf numFmtId="0" fontId="2" fillId="0" borderId="110" xfId="120" applyNumberFormat="1" applyFont="1" applyBorder="1" applyAlignment="1">
      <alignment horizontal="center" vertical="center" wrapText="1"/>
      <protection/>
    </xf>
    <xf numFmtId="3" fontId="2" fillId="0" borderId="110" xfId="120" applyNumberFormat="1" applyFont="1" applyBorder="1" applyAlignment="1">
      <alignment horizontal="center" vertical="center" wrapText="1"/>
      <protection/>
    </xf>
    <xf numFmtId="3" fontId="2" fillId="0" borderId="20" xfId="120" applyNumberFormat="1" applyFont="1" applyBorder="1" applyAlignment="1">
      <alignment horizontal="left" vertical="center" wrapText="1"/>
      <protection/>
    </xf>
    <xf numFmtId="14" fontId="2" fillId="0" borderId="107" xfId="120" applyNumberFormat="1" applyFont="1" applyBorder="1" applyAlignment="1">
      <alignment horizontal="center" vertical="center" wrapText="1"/>
      <protection/>
    </xf>
    <xf numFmtId="3" fontId="2" fillId="0" borderId="43" xfId="120" applyNumberFormat="1" applyFont="1" applyBorder="1" applyAlignment="1">
      <alignment horizontal="right" vertical="center" wrapText="1"/>
      <protection/>
    </xf>
    <xf numFmtId="3" fontId="2" fillId="0" borderId="93" xfId="120" applyNumberFormat="1" applyFont="1" applyBorder="1" applyAlignment="1">
      <alignment horizontal="right" vertical="center" wrapText="1"/>
      <protection/>
    </xf>
    <xf numFmtId="3" fontId="2" fillId="0" borderId="20" xfId="120" applyNumberFormat="1" applyFont="1" applyBorder="1" applyAlignment="1">
      <alignment horizontal="right" vertical="center" wrapText="1"/>
      <protection/>
    </xf>
    <xf numFmtId="3" fontId="2" fillId="0" borderId="20" xfId="120" applyNumberFormat="1" applyFont="1" applyBorder="1" applyAlignment="1">
      <alignment horizontal="center" vertical="top" wrapText="1"/>
      <protection/>
    </xf>
    <xf numFmtId="3" fontId="2" fillId="0" borderId="57" xfId="120" applyNumberFormat="1" applyFont="1" applyBorder="1" applyAlignment="1">
      <alignment horizontal="right" vertical="center" wrapText="1"/>
      <protection/>
    </xf>
    <xf numFmtId="3" fontId="2" fillId="0" borderId="88" xfId="120" applyNumberFormat="1" applyFont="1" applyBorder="1" applyAlignment="1">
      <alignment horizontal="right" vertical="center" wrapText="1"/>
      <protection/>
    </xf>
    <xf numFmtId="3" fontId="2" fillId="0" borderId="20" xfId="120" applyNumberFormat="1" applyFont="1" applyBorder="1" applyAlignment="1">
      <alignment horizontal="center" vertical="center" wrapText="1"/>
      <protection/>
    </xf>
    <xf numFmtId="0" fontId="2" fillId="0" borderId="9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wrapText="1"/>
    </xf>
    <xf numFmtId="3" fontId="2" fillId="0" borderId="128" xfId="120" applyNumberFormat="1" applyFont="1" applyBorder="1" applyAlignment="1">
      <alignment horizontal="center" vertical="center" wrapText="1"/>
      <protection/>
    </xf>
    <xf numFmtId="0" fontId="2" fillId="0" borderId="99" xfId="120" applyNumberFormat="1" applyFont="1" applyBorder="1" applyAlignment="1">
      <alignment horizontal="center" vertical="center" wrapText="1"/>
      <protection/>
    </xf>
    <xf numFmtId="3" fontId="2" fillId="0" borderId="130" xfId="120" applyNumberFormat="1" applyFont="1" applyBorder="1" applyAlignment="1">
      <alignment horizontal="center" vertical="center" wrapText="1"/>
      <protection/>
    </xf>
    <xf numFmtId="3" fontId="2" fillId="0" borderId="99" xfId="120" applyNumberFormat="1" applyFont="1" applyBorder="1" applyAlignment="1">
      <alignment horizontal="center" vertical="center" wrapText="1"/>
      <protection/>
    </xf>
    <xf numFmtId="3" fontId="4" fillId="0" borderId="131" xfId="120" applyNumberFormat="1" applyFont="1" applyBorder="1" applyAlignment="1">
      <alignment horizontal="right" vertical="center"/>
      <protection/>
    </xf>
    <xf numFmtId="3" fontId="4" fillId="0" borderId="56" xfId="120" applyNumberFormat="1" applyFont="1" applyBorder="1" applyAlignment="1">
      <alignment horizontal="right" vertical="center"/>
      <protection/>
    </xf>
    <xf numFmtId="3" fontId="12" fillId="0" borderId="19" xfId="0" applyNumberFormat="1" applyFont="1" applyFill="1" applyBorder="1" applyAlignment="1">
      <alignment horizontal="center"/>
    </xf>
    <xf numFmtId="3" fontId="12" fillId="0" borderId="20" xfId="125" applyNumberFormat="1" applyFont="1" applyFill="1" applyBorder="1" applyAlignment="1">
      <alignment horizontal="center"/>
      <protection/>
    </xf>
    <xf numFmtId="3" fontId="12" fillId="0" borderId="22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3" fontId="84" fillId="0" borderId="93" xfId="117" applyNumberFormat="1" applyFont="1" applyFill="1" applyBorder="1" applyAlignment="1">
      <alignment horizontal="right"/>
      <protection/>
    </xf>
    <xf numFmtId="3" fontId="84" fillId="0" borderId="20" xfId="0" applyNumberFormat="1" applyFont="1" applyFill="1" applyBorder="1" applyAlignment="1">
      <alignment horizontal="right" wrapText="1"/>
    </xf>
    <xf numFmtId="3" fontId="84" fillId="0" borderId="21" xfId="0" applyNumberFormat="1" applyFont="1" applyFill="1" applyBorder="1" applyAlignment="1">
      <alignment horizontal="right" wrapText="1"/>
    </xf>
    <xf numFmtId="3" fontId="85" fillId="0" borderId="93" xfId="117" applyNumberFormat="1" applyFont="1" applyFill="1" applyBorder="1" applyAlignment="1">
      <alignment horizontal="right"/>
      <protection/>
    </xf>
    <xf numFmtId="3" fontId="84" fillId="0" borderId="20" xfId="0" applyNumberFormat="1" applyFont="1" applyFill="1" applyBorder="1" applyAlignment="1">
      <alignment horizontal="right" vertical="center" wrapText="1"/>
    </xf>
    <xf numFmtId="3" fontId="84" fillId="0" borderId="19" xfId="117" applyNumberFormat="1" applyFont="1" applyFill="1" applyBorder="1" applyAlignment="1">
      <alignment horizontal="center" vertical="center"/>
      <protection/>
    </xf>
    <xf numFmtId="3" fontId="84" fillId="0" borderId="20" xfId="117" applyNumberFormat="1" applyFont="1" applyFill="1" applyBorder="1" applyAlignment="1">
      <alignment horizontal="center" vertical="center"/>
      <protection/>
    </xf>
    <xf numFmtId="3" fontId="84" fillId="0" borderId="23" xfId="117" applyNumberFormat="1" applyFont="1" applyFill="1" applyBorder="1" applyAlignment="1">
      <alignment wrapText="1"/>
      <protection/>
    </xf>
    <xf numFmtId="3" fontId="84" fillId="0" borderId="20" xfId="117" applyNumberFormat="1" applyFont="1" applyFill="1" applyBorder="1" applyAlignment="1">
      <alignment horizontal="right"/>
      <protection/>
    </xf>
    <xf numFmtId="3" fontId="84" fillId="0" borderId="22" xfId="117" applyNumberFormat="1" applyFont="1" applyFill="1" applyBorder="1" applyAlignment="1">
      <alignment horizontal="right"/>
      <protection/>
    </xf>
    <xf numFmtId="3" fontId="84" fillId="0" borderId="43" xfId="117" applyNumberFormat="1" applyFont="1" applyFill="1" applyBorder="1" applyAlignment="1">
      <alignment horizontal="center"/>
      <protection/>
    </xf>
    <xf numFmtId="3" fontId="88" fillId="0" borderId="0" xfId="117" applyNumberFormat="1" applyFont="1" applyFill="1" applyAlignment="1">
      <alignment horizontal="center" vertical="center"/>
      <protection/>
    </xf>
    <xf numFmtId="3" fontId="84" fillId="0" borderId="23" xfId="117" applyNumberFormat="1" applyFont="1" applyFill="1" applyBorder="1" applyAlignment="1">
      <alignment horizontal="right"/>
      <protection/>
    </xf>
    <xf numFmtId="3" fontId="84" fillId="0" borderId="24" xfId="117" applyNumberFormat="1" applyFont="1" applyFill="1" applyBorder="1" applyAlignment="1">
      <alignment horizontal="right"/>
      <protection/>
    </xf>
    <xf numFmtId="3" fontId="84" fillId="0" borderId="57" xfId="117" applyNumberFormat="1" applyFont="1" applyFill="1" applyBorder="1" applyAlignment="1">
      <alignment horizontal="center"/>
      <protection/>
    </xf>
    <xf numFmtId="3" fontId="84" fillId="0" borderId="23" xfId="0" applyNumberFormat="1" applyFont="1" applyFill="1" applyBorder="1" applyAlignment="1">
      <alignment horizontal="right" wrapText="1"/>
    </xf>
    <xf numFmtId="3" fontId="84" fillId="0" borderId="28" xfId="0" applyNumberFormat="1" applyFont="1" applyFill="1" applyBorder="1" applyAlignment="1">
      <alignment horizontal="right" wrapText="1"/>
    </xf>
    <xf numFmtId="3" fontId="88" fillId="0" borderId="0" xfId="117" applyNumberFormat="1" applyFont="1" applyFill="1" applyAlignment="1">
      <alignment horizontal="center"/>
      <protection/>
    </xf>
    <xf numFmtId="3" fontId="85" fillId="0" borderId="19" xfId="117" applyNumberFormat="1" applyFont="1" applyFill="1" applyBorder="1" applyAlignment="1">
      <alignment horizontal="center" vertical="center"/>
      <protection/>
    </xf>
    <xf numFmtId="3" fontId="85" fillId="0" borderId="23" xfId="117" applyNumberFormat="1" applyFont="1" applyFill="1" applyBorder="1" applyAlignment="1">
      <alignment horizontal="left" wrapText="1" indent="4"/>
      <protection/>
    </xf>
    <xf numFmtId="3" fontId="85" fillId="0" borderId="20" xfId="117" applyNumberFormat="1" applyFont="1" applyFill="1" applyBorder="1" applyAlignment="1">
      <alignment horizontal="right"/>
      <protection/>
    </xf>
    <xf numFmtId="3" fontId="85" fillId="0" borderId="22" xfId="117" applyNumberFormat="1" applyFont="1" applyFill="1" applyBorder="1" applyAlignment="1">
      <alignment horizontal="right"/>
      <protection/>
    </xf>
    <xf numFmtId="3" fontId="85" fillId="0" borderId="43" xfId="117" applyNumberFormat="1" applyFont="1" applyFill="1" applyBorder="1" applyAlignment="1">
      <alignment horizontal="center"/>
      <protection/>
    </xf>
    <xf numFmtId="3" fontId="85" fillId="0" borderId="20" xfId="0" applyNumberFormat="1" applyFont="1" applyFill="1" applyBorder="1" applyAlignment="1">
      <alignment horizontal="right" wrapText="1"/>
    </xf>
    <xf numFmtId="3" fontId="85" fillId="0" borderId="21" xfId="0" applyNumberFormat="1" applyFont="1" applyFill="1" applyBorder="1" applyAlignment="1">
      <alignment horizontal="right" wrapText="1"/>
    </xf>
    <xf numFmtId="3" fontId="90" fillId="0" borderId="0" xfId="117" applyNumberFormat="1" applyFont="1" applyFill="1" applyAlignment="1">
      <alignment horizontal="center" vertical="center"/>
      <protection/>
    </xf>
    <xf numFmtId="3" fontId="90" fillId="0" borderId="20" xfId="117" applyNumberFormat="1" applyFont="1" applyFill="1" applyBorder="1" applyAlignment="1">
      <alignment horizontal="center" vertical="center"/>
      <protection/>
    </xf>
    <xf numFmtId="3" fontId="85" fillId="0" borderId="23" xfId="117" applyNumberFormat="1" applyFont="1" applyFill="1" applyBorder="1" applyAlignment="1">
      <alignment horizontal="left" vertical="top" wrapText="1" indent="4"/>
      <protection/>
    </xf>
    <xf numFmtId="3" fontId="84" fillId="0" borderId="25" xfId="117" applyNumberFormat="1" applyFont="1" applyFill="1" applyBorder="1" applyAlignment="1">
      <alignment horizontal="center" vertical="center"/>
      <protection/>
    </xf>
    <xf numFmtId="3" fontId="85" fillId="0" borderId="0" xfId="117" applyNumberFormat="1" applyFont="1" applyFill="1" applyAlignment="1">
      <alignment horizontal="center" vertical="center"/>
      <protection/>
    </xf>
    <xf numFmtId="3" fontId="84" fillId="0" borderId="0" xfId="117" applyNumberFormat="1" applyFont="1" applyFill="1" applyAlignment="1">
      <alignment horizontal="center" vertical="center"/>
      <protection/>
    </xf>
    <xf numFmtId="3" fontId="84" fillId="0" borderId="23" xfId="117" applyNumberFormat="1" applyFont="1" applyFill="1" applyBorder="1" applyAlignment="1">
      <alignment horizontal="left" wrapText="1" indent="2"/>
      <protection/>
    </xf>
    <xf numFmtId="3" fontId="85" fillId="0" borderId="25" xfId="117" applyNumberFormat="1" applyFont="1" applyFill="1" applyBorder="1" applyAlignment="1">
      <alignment horizontal="center" vertical="center"/>
      <protection/>
    </xf>
    <xf numFmtId="3" fontId="85" fillId="0" borderId="23" xfId="117" applyNumberFormat="1" applyFont="1" applyFill="1" applyBorder="1" applyAlignment="1">
      <alignment horizontal="right"/>
      <protection/>
    </xf>
    <xf numFmtId="3" fontId="85" fillId="0" borderId="24" xfId="117" applyNumberFormat="1" applyFont="1" applyFill="1" applyBorder="1" applyAlignment="1">
      <alignment horizontal="right"/>
      <protection/>
    </xf>
    <xf numFmtId="3" fontId="85" fillId="0" borderId="23" xfId="0" applyNumberFormat="1" applyFont="1" applyFill="1" applyBorder="1" applyAlignment="1">
      <alignment horizontal="right" wrapText="1"/>
    </xf>
    <xf numFmtId="3" fontId="85" fillId="0" borderId="28" xfId="0" applyNumberFormat="1" applyFont="1" applyFill="1" applyBorder="1" applyAlignment="1">
      <alignment horizontal="right" wrapText="1"/>
    </xf>
    <xf numFmtId="3" fontId="85" fillId="0" borderId="57" xfId="117" applyNumberFormat="1" applyFont="1" applyFill="1" applyBorder="1" applyAlignment="1">
      <alignment horizontal="center"/>
      <protection/>
    </xf>
    <xf numFmtId="3" fontId="85" fillId="0" borderId="25" xfId="117" applyNumberFormat="1" applyFont="1" applyFill="1" applyBorder="1" applyAlignment="1">
      <alignment horizontal="center"/>
      <protection/>
    </xf>
    <xf numFmtId="3" fontId="84" fillId="0" borderId="20" xfId="117" applyNumberFormat="1" applyFont="1" applyFill="1" applyBorder="1" applyAlignment="1">
      <alignment horizontal="center"/>
      <protection/>
    </xf>
    <xf numFmtId="3" fontId="88" fillId="0" borderId="0" xfId="117" applyNumberFormat="1" applyFont="1" applyFill="1" applyAlignment="1">
      <alignment/>
      <protection/>
    </xf>
    <xf numFmtId="3" fontId="84" fillId="0" borderId="132" xfId="117" applyNumberFormat="1" applyFont="1" applyFill="1" applyBorder="1" applyAlignment="1">
      <alignment horizontal="center" vertical="center"/>
      <protection/>
    </xf>
    <xf numFmtId="3" fontId="84" fillId="0" borderId="133" xfId="117" applyNumberFormat="1" applyFont="1" applyFill="1" applyBorder="1" applyAlignment="1">
      <alignment horizontal="center" vertical="center"/>
      <protection/>
    </xf>
    <xf numFmtId="3" fontId="84" fillId="0" borderId="134" xfId="117" applyNumberFormat="1" applyFont="1" applyFill="1" applyBorder="1" applyAlignment="1">
      <alignment horizontal="center"/>
      <protection/>
    </xf>
    <xf numFmtId="3" fontId="91" fillId="0" borderId="0" xfId="117" applyNumberFormat="1" applyFont="1" applyFill="1" applyAlignment="1">
      <alignment horizontal="center" vertical="center"/>
      <protection/>
    </xf>
    <xf numFmtId="3" fontId="91" fillId="0" borderId="0" xfId="117" applyNumberFormat="1" applyFont="1" applyFill="1" applyBorder="1">
      <alignment/>
      <protection/>
    </xf>
    <xf numFmtId="3" fontId="12" fillId="0" borderId="19" xfId="0" applyNumberFormat="1" applyFont="1" applyFill="1" applyBorder="1" applyAlignment="1">
      <alignment horizontal="center" vertical="top"/>
    </xf>
    <xf numFmtId="3" fontId="12" fillId="0" borderId="93" xfId="0" applyNumberFormat="1" applyFont="1" applyFill="1" applyBorder="1" applyAlignment="1">
      <alignment horizontal="center"/>
    </xf>
    <xf numFmtId="3" fontId="12" fillId="0" borderId="20" xfId="125" applyNumberFormat="1" applyFont="1" applyFill="1" applyBorder="1" applyAlignment="1">
      <alignment horizontal="center" vertical="top" wrapText="1"/>
      <protection/>
    </xf>
    <xf numFmtId="3" fontId="12" fillId="0" borderId="22" xfId="0" applyNumberFormat="1" applyFont="1" applyFill="1" applyBorder="1" applyAlignment="1">
      <alignment vertical="top"/>
    </xf>
    <xf numFmtId="0" fontId="2" fillId="0" borderId="20" xfId="119" applyFont="1" applyFill="1" applyBorder="1" applyAlignment="1">
      <alignment horizontal="left" shrinkToFit="1"/>
      <protection/>
    </xf>
    <xf numFmtId="0" fontId="2" fillId="0" borderId="109" xfId="119" applyFont="1" applyFill="1" applyBorder="1" applyAlignment="1">
      <alignment shrinkToFit="1"/>
      <protection/>
    </xf>
    <xf numFmtId="0" fontId="2" fillId="0" borderId="0" xfId="0" applyFont="1" applyFill="1" applyBorder="1" applyAlignment="1">
      <alignment horizontal="left" wrapText="1"/>
    </xf>
    <xf numFmtId="3" fontId="10" fillId="0" borderId="0" xfId="127" applyNumberFormat="1" applyFont="1" applyAlignment="1" applyProtection="1">
      <alignment horizontal="center" vertical="center"/>
      <protection locked="0"/>
    </xf>
    <xf numFmtId="0" fontId="10" fillId="0" borderId="25" xfId="128" applyFont="1" applyBorder="1" applyAlignment="1" applyProtection="1">
      <alignment horizontal="center"/>
      <protection locked="0"/>
    </xf>
    <xf numFmtId="3" fontId="23" fillId="0" borderId="23" xfId="125" applyNumberFormat="1" applyFont="1" applyBorder="1" applyAlignment="1" applyProtection="1">
      <alignment horizontal="left"/>
      <protection locked="0"/>
    </xf>
    <xf numFmtId="0" fontId="23" fillId="0" borderId="23" xfId="127" applyFont="1" applyBorder="1" applyAlignment="1" applyProtection="1">
      <alignment horizontal="left" wrapText="1"/>
      <protection locked="0"/>
    </xf>
    <xf numFmtId="0" fontId="10" fillId="0" borderId="23" xfId="128" applyFont="1" applyBorder="1" applyAlignment="1" applyProtection="1">
      <alignment horizontal="center"/>
      <protection locked="0"/>
    </xf>
    <xf numFmtId="3" fontId="10" fillId="0" borderId="23" xfId="128" applyNumberFormat="1" applyFont="1" applyBorder="1" applyProtection="1">
      <alignment/>
      <protection locked="0"/>
    </xf>
    <xf numFmtId="3" fontId="10" fillId="0" borderId="23" xfId="127" applyNumberFormat="1" applyFont="1" applyBorder="1" applyProtection="1">
      <alignment/>
      <protection locked="0"/>
    </xf>
    <xf numFmtId="3" fontId="10" fillId="0" borderId="24" xfId="127" applyNumberFormat="1" applyFont="1" applyBorder="1" applyAlignment="1" applyProtection="1">
      <alignment horizontal="right"/>
      <protection locked="0"/>
    </xf>
    <xf numFmtId="0" fontId="10" fillId="0" borderId="0" xfId="127" applyFont="1" applyAlignment="1" applyProtection="1">
      <alignment horizontal="left"/>
      <protection locked="0"/>
    </xf>
    <xf numFmtId="0" fontId="10" fillId="0" borderId="0" xfId="127" applyFont="1" applyAlignment="1" applyProtection="1">
      <alignment horizontal="center" vertical="center"/>
      <protection locked="0"/>
    </xf>
    <xf numFmtId="3" fontId="10" fillId="0" borderId="20" xfId="125" applyNumberFormat="1" applyFont="1" applyBorder="1" applyAlignment="1" applyProtection="1">
      <alignment horizontal="center" vertical="top"/>
      <protection locked="0"/>
    </xf>
    <xf numFmtId="0" fontId="10" fillId="0" borderId="20" xfId="127" applyFont="1" applyBorder="1" applyAlignment="1" applyProtection="1">
      <alignment horizontal="left" wrapText="1"/>
      <protection locked="0"/>
    </xf>
    <xf numFmtId="3" fontId="10" fillId="0" borderId="23" xfId="128" applyNumberFormat="1" applyFont="1" applyBorder="1" applyAlignment="1" applyProtection="1">
      <alignment vertical="center"/>
      <protection locked="0"/>
    </xf>
    <xf numFmtId="3" fontId="10" fillId="0" borderId="23" xfId="127" applyNumberFormat="1" applyFont="1" applyBorder="1" applyAlignment="1" applyProtection="1">
      <alignment vertical="center"/>
      <protection locked="0"/>
    </xf>
    <xf numFmtId="3" fontId="10" fillId="0" borderId="24" xfId="127" applyNumberFormat="1" applyFont="1" applyBorder="1" applyAlignment="1" applyProtection="1">
      <alignment horizontal="right" vertical="center"/>
      <protection locked="0"/>
    </xf>
    <xf numFmtId="0" fontId="10" fillId="0" borderId="0" xfId="127" applyFont="1" applyProtection="1">
      <alignment/>
      <protection locked="0"/>
    </xf>
    <xf numFmtId="3" fontId="10" fillId="0" borderId="20" xfId="125" applyNumberFormat="1" applyFont="1" applyBorder="1" applyAlignment="1" applyProtection="1">
      <alignment horizontal="center"/>
      <protection locked="0"/>
    </xf>
    <xf numFmtId="0" fontId="10" fillId="0" borderId="23" xfId="127" applyFont="1" applyBorder="1" applyAlignment="1" applyProtection="1">
      <alignment horizontal="left" wrapText="1"/>
      <protection locked="0"/>
    </xf>
    <xf numFmtId="0" fontId="16" fillId="0" borderId="20" xfId="127" applyFont="1" applyBorder="1" applyProtection="1">
      <alignment/>
      <protection locked="0"/>
    </xf>
    <xf numFmtId="0" fontId="16" fillId="0" borderId="23" xfId="128" applyFont="1" applyBorder="1" applyAlignment="1" applyProtection="1">
      <alignment horizontal="left"/>
      <protection locked="0"/>
    </xf>
    <xf numFmtId="3" fontId="23" fillId="0" borderId="20" xfId="125" applyNumberFormat="1" applyFont="1" applyBorder="1" applyAlignment="1" applyProtection="1">
      <alignment horizontal="left"/>
      <protection locked="0"/>
    </xf>
    <xf numFmtId="0" fontId="16" fillId="0" borderId="20" xfId="127" applyFont="1" applyBorder="1" applyAlignment="1" applyProtection="1">
      <alignment horizontal="left"/>
      <protection locked="0"/>
    </xf>
    <xf numFmtId="3" fontId="13" fillId="0" borderId="23" xfId="128" applyNumberFormat="1" applyFont="1" applyBorder="1" applyProtection="1">
      <alignment/>
      <protection locked="0"/>
    </xf>
    <xf numFmtId="3" fontId="10" fillId="0" borderId="24" xfId="127" applyNumberFormat="1" applyFont="1" applyBorder="1" applyAlignment="1" applyProtection="1">
      <alignment horizontal="left"/>
      <protection locked="0"/>
    </xf>
    <xf numFmtId="0" fontId="13" fillId="0" borderId="20" xfId="127" applyFont="1" applyBorder="1" applyAlignment="1" applyProtection="1">
      <alignment wrapText="1"/>
      <protection locked="0"/>
    </xf>
    <xf numFmtId="0" fontId="29" fillId="0" borderId="20" xfId="127" applyFont="1" applyBorder="1" applyAlignment="1" applyProtection="1">
      <alignment horizontal="left"/>
      <protection locked="0"/>
    </xf>
    <xf numFmtId="0" fontId="10" fillId="0" borderId="25" xfId="128" applyFont="1" applyBorder="1" applyAlignment="1" applyProtection="1">
      <alignment horizontal="center" vertical="top"/>
      <protection locked="0"/>
    </xf>
    <xf numFmtId="0" fontId="10" fillId="0" borderId="20" xfId="127" applyFont="1" applyBorder="1" applyAlignment="1" applyProtection="1">
      <alignment horizontal="left" vertical="top" wrapText="1"/>
      <protection locked="0"/>
    </xf>
    <xf numFmtId="0" fontId="10" fillId="0" borderId="23" xfId="128" applyFont="1" applyBorder="1" applyAlignment="1" applyProtection="1">
      <alignment horizontal="center" vertical="top"/>
      <protection locked="0"/>
    </xf>
    <xf numFmtId="3" fontId="10" fillId="0" borderId="23" xfId="128" applyNumberFormat="1" applyFont="1" applyBorder="1" applyAlignment="1" applyProtection="1">
      <alignment horizontal="center" vertical="top"/>
      <protection locked="0"/>
    </xf>
    <xf numFmtId="3" fontId="10" fillId="0" borderId="23" xfId="127" applyNumberFormat="1" applyFont="1" applyBorder="1" applyAlignment="1" applyProtection="1">
      <alignment horizontal="right"/>
      <protection locked="0"/>
    </xf>
    <xf numFmtId="0" fontId="10" fillId="0" borderId="0" xfId="127" applyFont="1" applyAlignment="1" applyProtection="1">
      <alignment vertical="top"/>
      <protection locked="0"/>
    </xf>
    <xf numFmtId="0" fontId="10" fillId="0" borderId="23" xfId="127" applyFont="1" applyBorder="1" applyAlignment="1" applyProtection="1">
      <alignment horizontal="left" vertical="top" wrapText="1"/>
      <protection locked="0"/>
    </xf>
    <xf numFmtId="3" fontId="10" fillId="0" borderId="23" xfId="128" applyNumberFormat="1" applyFont="1" applyBorder="1" applyAlignment="1" applyProtection="1">
      <alignment horizontal="right"/>
      <protection locked="0"/>
    </xf>
    <xf numFmtId="3" fontId="23" fillId="0" borderId="23" xfId="0" applyNumberFormat="1" applyFont="1" applyBorder="1" applyAlignment="1" applyProtection="1">
      <alignment horizontal="left"/>
      <protection locked="0"/>
    </xf>
    <xf numFmtId="0" fontId="10" fillId="0" borderId="19" xfId="128" applyFont="1" applyBorder="1" applyAlignment="1" applyProtection="1">
      <alignment horizontal="center"/>
      <protection locked="0"/>
    </xf>
    <xf numFmtId="0" fontId="10" fillId="0" borderId="20" xfId="128" applyFont="1" applyBorder="1" applyAlignment="1" applyProtection="1">
      <alignment horizontal="center"/>
      <protection locked="0"/>
    </xf>
    <xf numFmtId="3" fontId="10" fillId="0" borderId="20" xfId="128" applyNumberFormat="1" applyFont="1" applyBorder="1" applyAlignment="1" applyProtection="1">
      <alignment vertical="center"/>
      <protection locked="0"/>
    </xf>
    <xf numFmtId="3" fontId="10" fillId="0" borderId="20" xfId="127" applyNumberFormat="1" applyFont="1" applyBorder="1" applyAlignment="1" applyProtection="1">
      <alignment vertical="center"/>
      <protection locked="0"/>
    </xf>
    <xf numFmtId="3" fontId="10" fillId="0" borderId="22" xfId="127" applyNumberFormat="1" applyFont="1" applyBorder="1" applyAlignment="1" applyProtection="1">
      <alignment horizontal="right" vertical="center"/>
      <protection locked="0"/>
    </xf>
    <xf numFmtId="3" fontId="23" fillId="0" borderId="24" xfId="0" applyNumberFormat="1" applyFont="1" applyBorder="1" applyAlignment="1" applyProtection="1">
      <alignment horizontal="left"/>
      <protection locked="0"/>
    </xf>
    <xf numFmtId="3" fontId="10" fillId="0" borderId="23" xfId="125" applyNumberFormat="1" applyFont="1" applyBorder="1" applyAlignment="1" applyProtection="1">
      <alignment horizontal="center"/>
      <protection locked="0"/>
    </xf>
    <xf numFmtId="3" fontId="2" fillId="0" borderId="0" xfId="120" applyNumberFormat="1" applyFont="1" applyAlignment="1">
      <alignment horizontal="left" wrapText="1"/>
      <protection/>
    </xf>
    <xf numFmtId="3" fontId="4" fillId="0" borderId="0" xfId="117" applyNumberFormat="1" applyFont="1" applyFill="1" applyAlignment="1">
      <alignment horizontal="center"/>
      <protection/>
    </xf>
    <xf numFmtId="3" fontId="4" fillId="0" borderId="0" xfId="117" applyNumberFormat="1" applyFont="1" applyFill="1" applyAlignment="1">
      <alignment horizontal="center" vertical="center"/>
      <protection/>
    </xf>
    <xf numFmtId="3" fontId="88" fillId="0" borderId="38" xfId="119" applyNumberFormat="1" applyFont="1" applyFill="1" applyBorder="1" applyAlignment="1">
      <alignment horizontal="right"/>
      <protection/>
    </xf>
    <xf numFmtId="3" fontId="2" fillId="0" borderId="88" xfId="119" applyNumberFormat="1" applyFont="1" applyFill="1" applyBorder="1" applyAlignment="1">
      <alignment horizontal="right" wrapText="1"/>
      <protection/>
    </xf>
    <xf numFmtId="3" fontId="2" fillId="0" borderId="23" xfId="119" applyNumberFormat="1" applyFont="1" applyFill="1" applyBorder="1" applyAlignment="1">
      <alignment horizontal="right" wrapText="1"/>
      <protection/>
    </xf>
    <xf numFmtId="3" fontId="4" fillId="0" borderId="123" xfId="119" applyNumberFormat="1" applyFont="1" applyFill="1" applyBorder="1" applyAlignment="1">
      <alignment horizontal="right" wrapText="1"/>
      <protection/>
    </xf>
    <xf numFmtId="3" fontId="2" fillId="0" borderId="111" xfId="127" applyNumberFormat="1" applyFont="1" applyFill="1" applyBorder="1" applyAlignment="1">
      <alignment horizontal="right"/>
      <protection/>
    </xf>
    <xf numFmtId="3" fontId="2" fillId="0" borderId="88" xfId="127" applyNumberFormat="1" applyFont="1" applyFill="1" applyBorder="1" applyAlignment="1">
      <alignment horizontal="right"/>
      <protection/>
    </xf>
    <xf numFmtId="3" fontId="4" fillId="0" borderId="123" xfId="127" applyNumberFormat="1" applyFont="1" applyFill="1" applyBorder="1" applyAlignment="1">
      <alignment horizontal="right"/>
      <protection/>
    </xf>
    <xf numFmtId="3" fontId="2" fillId="0" borderId="0" xfId="120" applyNumberFormat="1" applyFont="1" applyAlignment="1">
      <alignment horizontal="center" vertical="center"/>
      <protection/>
    </xf>
    <xf numFmtId="3" fontId="83" fillId="0" borderId="20" xfId="120" applyNumberFormat="1" applyFont="1" applyBorder="1" applyAlignment="1">
      <alignment horizontal="right" vertical="center" wrapText="1"/>
      <protection/>
    </xf>
    <xf numFmtId="3" fontId="2" fillId="0" borderId="91" xfId="120" applyNumberFormat="1" applyFont="1" applyFill="1" applyBorder="1" applyAlignment="1">
      <alignment horizontal="center" vertical="center" wrapText="1"/>
      <protection/>
    </xf>
    <xf numFmtId="3" fontId="2" fillId="0" borderId="20" xfId="120" applyNumberFormat="1" applyFont="1" applyFill="1" applyBorder="1" applyAlignment="1">
      <alignment horizontal="center" vertical="center" wrapText="1"/>
      <protection/>
    </xf>
    <xf numFmtId="3" fontId="2" fillId="0" borderId="33" xfId="120" applyNumberFormat="1" applyFont="1" applyFill="1" applyBorder="1" applyAlignment="1">
      <alignment horizontal="right" vertical="center" wrapText="1"/>
      <protection/>
    </xf>
    <xf numFmtId="3" fontId="83" fillId="0" borderId="20" xfId="120" applyNumberFormat="1" applyFont="1" applyFill="1" applyBorder="1" applyAlignment="1">
      <alignment horizontal="right" vertical="center" wrapText="1"/>
      <protection/>
    </xf>
    <xf numFmtId="3" fontId="2" fillId="0" borderId="0" xfId="120" applyNumberFormat="1" applyFont="1" applyFill="1">
      <alignment/>
      <protection/>
    </xf>
    <xf numFmtId="3" fontId="2" fillId="0" borderId="20" xfId="120" applyNumberFormat="1" applyFont="1" applyFill="1" applyBorder="1" applyAlignment="1">
      <alignment horizontal="center" vertical="top" wrapText="1"/>
      <protection/>
    </xf>
    <xf numFmtId="3" fontId="2" fillId="0" borderId="19" xfId="120" applyNumberFormat="1" applyFont="1" applyFill="1" applyBorder="1" applyAlignment="1">
      <alignment horizontal="center" vertical="center" wrapText="1"/>
      <protection/>
    </xf>
    <xf numFmtId="0" fontId="2" fillId="0" borderId="20" xfId="119" applyFont="1" applyFill="1" applyBorder="1" applyAlignment="1">
      <alignment vertical="center"/>
      <protection/>
    </xf>
    <xf numFmtId="3" fontId="2" fillId="0" borderId="0" xfId="120" applyNumberFormat="1" applyFont="1" applyBorder="1" applyAlignment="1">
      <alignment horizontal="right" vertical="center" wrapText="1"/>
      <protection/>
    </xf>
    <xf numFmtId="3" fontId="2" fillId="0" borderId="88" xfId="120" applyNumberFormat="1" applyFont="1" applyFill="1" applyBorder="1" applyAlignment="1">
      <alignment horizontal="center" vertical="center" wrapText="1"/>
      <protection/>
    </xf>
    <xf numFmtId="3" fontId="2" fillId="0" borderId="94" xfId="120" applyNumberFormat="1" applyFont="1" applyBorder="1" applyAlignment="1">
      <alignment horizontal="right" vertical="center" wrapText="1"/>
      <protection/>
    </xf>
    <xf numFmtId="3" fontId="2" fillId="0" borderId="23" xfId="120" applyNumberFormat="1" applyFont="1" applyBorder="1" applyAlignment="1">
      <alignment horizontal="right" vertical="center" wrapText="1"/>
      <protection/>
    </xf>
    <xf numFmtId="14" fontId="2" fillId="0" borderId="123" xfId="120" applyNumberFormat="1" applyFont="1" applyBorder="1" applyAlignment="1">
      <alignment horizontal="center" vertical="center" wrapText="1"/>
      <protection/>
    </xf>
    <xf numFmtId="3" fontId="2" fillId="0" borderId="135" xfId="120" applyNumberFormat="1" applyFont="1" applyBorder="1" applyAlignment="1">
      <alignment horizontal="center" vertical="center" wrapText="1"/>
      <protection/>
    </xf>
    <xf numFmtId="14" fontId="2" fillId="0" borderId="125" xfId="120" applyNumberFormat="1" applyFont="1" applyBorder="1" applyAlignment="1">
      <alignment horizontal="center" vertical="center" wrapText="1"/>
      <protection/>
    </xf>
    <xf numFmtId="3" fontId="2" fillId="0" borderId="136" xfId="120" applyNumberFormat="1" applyFont="1" applyBorder="1" applyAlignment="1">
      <alignment horizontal="right" vertical="center" wrapText="1"/>
      <protection/>
    </xf>
    <xf numFmtId="3" fontId="2" fillId="0" borderId="117" xfId="120" applyNumberFormat="1" applyFont="1" applyBorder="1" applyAlignment="1">
      <alignment horizontal="right" vertical="center" wrapText="1"/>
      <protection/>
    </xf>
    <xf numFmtId="3" fontId="2" fillId="0" borderId="111" xfId="120" applyNumberFormat="1" applyFont="1" applyBorder="1" applyAlignment="1">
      <alignment horizontal="right" vertical="center" wrapText="1"/>
      <protection/>
    </xf>
    <xf numFmtId="3" fontId="2" fillId="0" borderId="38" xfId="120" applyNumberFormat="1" applyFont="1" applyBorder="1" applyAlignment="1">
      <alignment horizontal="right" vertical="center" wrapText="1"/>
      <protection/>
    </xf>
    <xf numFmtId="3" fontId="2" fillId="0" borderId="99" xfId="120" applyNumberFormat="1" applyFont="1" applyBorder="1" applyAlignment="1">
      <alignment horizontal="left" vertical="center" wrapText="1"/>
      <protection/>
    </xf>
    <xf numFmtId="3" fontId="2" fillId="0" borderId="58" xfId="120" applyNumberFormat="1" applyFont="1" applyBorder="1" applyAlignment="1">
      <alignment horizontal="center" vertical="center" wrapText="1"/>
      <protection/>
    </xf>
    <xf numFmtId="3" fontId="2" fillId="0" borderId="38" xfId="120" applyNumberFormat="1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20" xfId="119" applyFont="1" applyFill="1" applyBorder="1" applyAlignment="1">
      <alignment vertical="center" wrapText="1"/>
      <protection/>
    </xf>
    <xf numFmtId="0" fontId="2" fillId="0" borderId="99" xfId="127" applyFont="1" applyFill="1" applyBorder="1" applyAlignment="1">
      <alignment horizontal="center"/>
      <protection/>
    </xf>
    <xf numFmtId="3" fontId="4" fillId="0" borderId="99" xfId="127" applyNumberFormat="1" applyFont="1" applyFill="1" applyBorder="1" applyAlignment="1">
      <alignment horizontal="right"/>
      <protection/>
    </xf>
    <xf numFmtId="3" fontId="4" fillId="0" borderId="128" xfId="127" applyNumberFormat="1" applyFont="1" applyFill="1" applyBorder="1" applyAlignment="1">
      <alignment horizontal="right"/>
      <protection/>
    </xf>
    <xf numFmtId="0" fontId="4" fillId="0" borderId="58" xfId="127" applyFont="1" applyFill="1" applyBorder="1" applyAlignment="1">
      <alignment horizontal="center"/>
      <protection/>
    </xf>
    <xf numFmtId="3" fontId="4" fillId="0" borderId="20" xfId="127" applyNumberFormat="1" applyFont="1" applyFill="1" applyBorder="1" applyAlignment="1">
      <alignment horizontal="right"/>
      <protection/>
    </xf>
    <xf numFmtId="3" fontId="2" fillId="0" borderId="137" xfId="127" applyNumberFormat="1" applyFont="1" applyFill="1" applyBorder="1" applyAlignment="1">
      <alignment horizontal="right"/>
      <protection/>
    </xf>
    <xf numFmtId="3" fontId="4" fillId="0" borderId="93" xfId="127" applyNumberFormat="1" applyFont="1" applyFill="1" applyBorder="1" applyAlignment="1">
      <alignment horizontal="right"/>
      <protection/>
    </xf>
    <xf numFmtId="3" fontId="4" fillId="0" borderId="38" xfId="127" applyNumberFormat="1" applyFont="1" applyFill="1" applyBorder="1" applyAlignment="1">
      <alignment horizontal="right"/>
      <protection/>
    </xf>
    <xf numFmtId="3" fontId="4" fillId="0" borderId="111" xfId="127" applyNumberFormat="1" applyFont="1" applyFill="1" applyBorder="1" applyAlignment="1">
      <alignment horizontal="right"/>
      <protection/>
    </xf>
    <xf numFmtId="3" fontId="2" fillId="0" borderId="138" xfId="127" applyNumberFormat="1" applyFont="1" applyFill="1" applyBorder="1" applyAlignment="1">
      <alignment horizontal="right"/>
      <protection/>
    </xf>
    <xf numFmtId="0" fontId="2" fillId="0" borderId="88" xfId="127" applyFont="1" applyFill="1" applyBorder="1" applyAlignment="1">
      <alignment horizontal="center" wrapText="1"/>
      <protection/>
    </xf>
    <xf numFmtId="3" fontId="2" fillId="0" borderId="139" xfId="127" applyNumberFormat="1" applyFont="1" applyFill="1" applyBorder="1" applyAlignment="1">
      <alignment horizontal="right"/>
      <protection/>
    </xf>
    <xf numFmtId="3" fontId="4" fillId="0" borderId="23" xfId="127" applyNumberFormat="1" applyFont="1" applyFill="1" applyBorder="1" applyAlignment="1">
      <alignment horizontal="right"/>
      <protection/>
    </xf>
    <xf numFmtId="3" fontId="2" fillId="0" borderId="126" xfId="127" applyNumberFormat="1" applyFont="1" applyFill="1" applyBorder="1" applyAlignment="1">
      <alignment horizontal="right"/>
      <protection/>
    </xf>
    <xf numFmtId="3" fontId="2" fillId="0" borderId="19" xfId="117" applyNumberFormat="1" applyFont="1" applyFill="1" applyBorder="1" applyAlignment="1">
      <alignment horizontal="center"/>
      <protection/>
    </xf>
    <xf numFmtId="3" fontId="2" fillId="0" borderId="20" xfId="117" applyNumberFormat="1" applyFont="1" applyFill="1" applyBorder="1">
      <alignment/>
      <protection/>
    </xf>
    <xf numFmtId="3" fontId="2" fillId="0" borderId="43" xfId="117" applyNumberFormat="1" applyFont="1" applyFill="1" applyBorder="1" applyAlignment="1">
      <alignment horizontal="center"/>
      <protection/>
    </xf>
    <xf numFmtId="0" fontId="24" fillId="0" borderId="20" xfId="119" applyFont="1" applyFill="1" applyBorder="1" applyAlignment="1">
      <alignment vertical="center" wrapText="1"/>
      <protection/>
    </xf>
    <xf numFmtId="3" fontId="10" fillId="0" borderId="137" xfId="127" applyNumberFormat="1" applyFont="1" applyFill="1" applyBorder="1" applyAlignment="1">
      <alignment horizontal="right" vertical="center"/>
      <protection/>
    </xf>
    <xf numFmtId="3" fontId="92" fillId="0" borderId="20" xfId="0" applyNumberFormat="1" applyFont="1" applyFill="1" applyBorder="1" applyAlignment="1">
      <alignment horizontal="right" wrapText="1"/>
    </xf>
    <xf numFmtId="3" fontId="92" fillId="0" borderId="21" xfId="0" applyNumberFormat="1" applyFont="1" applyFill="1" applyBorder="1" applyAlignment="1">
      <alignment horizontal="right" wrapText="1"/>
    </xf>
    <xf numFmtId="3" fontId="84" fillId="0" borderId="88" xfId="117" applyNumberFormat="1" applyFont="1" applyFill="1" applyBorder="1" applyAlignment="1">
      <alignment horizontal="right"/>
      <protection/>
    </xf>
    <xf numFmtId="3" fontId="92" fillId="0" borderId="23" xfId="0" applyNumberFormat="1" applyFont="1" applyFill="1" applyBorder="1" applyAlignment="1">
      <alignment horizontal="right" wrapText="1"/>
    </xf>
    <xf numFmtId="3" fontId="92" fillId="0" borderId="28" xfId="0" applyNumberFormat="1" applyFont="1" applyFill="1" applyBorder="1" applyAlignment="1">
      <alignment horizontal="right" wrapText="1"/>
    </xf>
    <xf numFmtId="3" fontId="84" fillId="0" borderId="93" xfId="117" applyNumberFormat="1" applyFont="1" applyFill="1" applyBorder="1" applyAlignment="1">
      <alignment horizontal="right" vertical="center"/>
      <protection/>
    </xf>
    <xf numFmtId="3" fontId="92" fillId="0" borderId="20" xfId="0" applyNumberFormat="1" applyFont="1" applyFill="1" applyBorder="1" applyAlignment="1">
      <alignment horizontal="right" vertical="center" wrapText="1"/>
    </xf>
    <xf numFmtId="3" fontId="92" fillId="0" borderId="21" xfId="0" applyNumberFormat="1" applyFont="1" applyFill="1" applyBorder="1" applyAlignment="1">
      <alignment horizontal="right" vertical="center" wrapText="1"/>
    </xf>
    <xf numFmtId="3" fontId="93" fillId="0" borderId="20" xfId="0" applyNumberFormat="1" applyFont="1" applyFill="1" applyBorder="1" applyAlignment="1">
      <alignment horizontal="right" wrapText="1"/>
    </xf>
    <xf numFmtId="3" fontId="93" fillId="0" borderId="21" xfId="0" applyNumberFormat="1" applyFont="1" applyFill="1" applyBorder="1" applyAlignment="1">
      <alignment horizontal="right" wrapText="1"/>
    </xf>
    <xf numFmtId="3" fontId="85" fillId="0" borderId="93" xfId="117" applyNumberFormat="1" applyFont="1" applyFill="1" applyBorder="1" applyAlignment="1">
      <alignment horizontal="right" vertical="center"/>
      <protection/>
    </xf>
    <xf numFmtId="3" fontId="93" fillId="0" borderId="20" xfId="0" applyNumberFormat="1" applyFont="1" applyFill="1" applyBorder="1" applyAlignment="1">
      <alignment horizontal="right" vertical="center" wrapText="1"/>
    </xf>
    <xf numFmtId="3" fontId="93" fillId="0" borderId="21" xfId="0" applyNumberFormat="1" applyFont="1" applyFill="1" applyBorder="1" applyAlignment="1">
      <alignment horizontal="right" vertical="center" wrapText="1"/>
    </xf>
    <xf numFmtId="3" fontId="93" fillId="0" borderId="23" xfId="0" applyNumberFormat="1" applyFont="1" applyFill="1" applyBorder="1" applyAlignment="1">
      <alignment horizontal="right" wrapText="1"/>
    </xf>
    <xf numFmtId="3" fontId="93" fillId="0" borderId="28" xfId="0" applyNumberFormat="1" applyFont="1" applyFill="1" applyBorder="1" applyAlignment="1">
      <alignment horizontal="right" wrapText="1"/>
    </xf>
    <xf numFmtId="3" fontId="88" fillId="0" borderId="20" xfId="117" applyNumberFormat="1" applyFont="1" applyFill="1" applyBorder="1">
      <alignment/>
      <protection/>
    </xf>
    <xf numFmtId="3" fontId="89" fillId="0" borderId="20" xfId="117" applyNumberFormat="1" applyFont="1" applyFill="1" applyBorder="1">
      <alignment/>
      <protection/>
    </xf>
    <xf numFmtId="3" fontId="89" fillId="0" borderId="21" xfId="117" applyNumberFormat="1" applyFont="1" applyFill="1" applyBorder="1">
      <alignment/>
      <protection/>
    </xf>
    <xf numFmtId="3" fontId="92" fillId="0" borderId="18" xfId="0" applyNumberFormat="1" applyFont="1" applyFill="1" applyBorder="1" applyAlignment="1">
      <alignment horizontal="right" wrapText="1"/>
    </xf>
    <xf numFmtId="3" fontId="84" fillId="0" borderId="88" xfId="0" applyNumberFormat="1" applyFont="1" applyFill="1" applyBorder="1" applyAlignment="1">
      <alignment horizontal="right"/>
    </xf>
    <xf numFmtId="3" fontId="88" fillId="0" borderId="93" xfId="127" applyNumberFormat="1" applyFont="1" applyFill="1" applyBorder="1" applyAlignment="1">
      <alignment horizontal="right"/>
      <protection/>
    </xf>
    <xf numFmtId="3" fontId="13" fillId="0" borderId="93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vertical="center"/>
    </xf>
    <xf numFmtId="3" fontId="13" fillId="0" borderId="111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vertical="center"/>
    </xf>
    <xf numFmtId="3" fontId="13" fillId="0" borderId="113" xfId="0" applyNumberFormat="1" applyFont="1" applyFill="1" applyBorder="1" applyAlignment="1">
      <alignment horizontal="center" vertical="center"/>
    </xf>
    <xf numFmtId="3" fontId="13" fillId="0" borderId="20" xfId="125" applyNumberFormat="1" applyFont="1" applyFill="1" applyBorder="1" applyAlignment="1">
      <alignment horizontal="center" vertical="center"/>
      <protection/>
    </xf>
    <xf numFmtId="3" fontId="13" fillId="0" borderId="20" xfId="0" applyNumberFormat="1" applyFont="1" applyFill="1" applyBorder="1" applyAlignment="1">
      <alignment horizontal="center"/>
    </xf>
    <xf numFmtId="3" fontId="13" fillId="0" borderId="20" xfId="0" applyNumberFormat="1" applyFont="1" applyFill="1" applyBorder="1" applyAlignment="1">
      <alignment/>
    </xf>
    <xf numFmtId="3" fontId="13" fillId="0" borderId="20" xfId="125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3" fontId="2" fillId="0" borderId="88" xfId="127" applyNumberFormat="1" applyFont="1" applyFill="1" applyBorder="1" applyAlignment="1">
      <alignment horizontal="center"/>
      <protection/>
    </xf>
    <xf numFmtId="3" fontId="2" fillId="33" borderId="0" xfId="117" applyNumberFormat="1" applyFont="1" applyFill="1" applyAlignment="1">
      <alignment horizontal="center" vertical="center"/>
      <protection/>
    </xf>
    <xf numFmtId="3" fontId="2" fillId="33" borderId="0" xfId="117" applyNumberFormat="1" applyFont="1" applyFill="1" applyAlignment="1">
      <alignment horizontal="center"/>
      <protection/>
    </xf>
    <xf numFmtId="3" fontId="93" fillId="0" borderId="23" xfId="117" applyNumberFormat="1" applyFont="1" applyFill="1" applyBorder="1" applyAlignment="1">
      <alignment horizontal="left" vertical="top" wrapText="1" indent="4"/>
      <protection/>
    </xf>
    <xf numFmtId="3" fontId="84" fillId="0" borderId="20" xfId="125" applyNumberFormat="1" applyFont="1" applyFill="1" applyBorder="1" applyAlignment="1">
      <alignment horizontal="left"/>
      <protection/>
    </xf>
    <xf numFmtId="3" fontId="84" fillId="0" borderId="22" xfId="125" applyNumberFormat="1" applyFont="1" applyFill="1" applyBorder="1" applyAlignment="1">
      <alignment/>
      <protection/>
    </xf>
    <xf numFmtId="3" fontId="84" fillId="0" borderId="21" xfId="0" applyNumberFormat="1" applyFont="1" applyFill="1" applyBorder="1" applyAlignment="1">
      <alignment horizontal="right" vertical="center" wrapText="1"/>
    </xf>
    <xf numFmtId="3" fontId="92" fillId="0" borderId="101" xfId="0" applyNumberFormat="1" applyFont="1" applyFill="1" applyBorder="1" applyAlignment="1">
      <alignment horizontal="right" wrapText="1"/>
    </xf>
    <xf numFmtId="3" fontId="2" fillId="0" borderId="38" xfId="120" applyNumberFormat="1" applyFont="1" applyFill="1" applyBorder="1" applyAlignment="1">
      <alignment horizontal="right" vertical="center" wrapText="1"/>
      <protection/>
    </xf>
    <xf numFmtId="3" fontId="2" fillId="0" borderId="20" xfId="117" applyNumberFormat="1" applyFont="1" applyFill="1" applyBorder="1" applyAlignment="1">
      <alignment shrinkToFit="1"/>
      <protection/>
    </xf>
    <xf numFmtId="3" fontId="4" fillId="0" borderId="0" xfId="117" applyNumberFormat="1" applyFont="1" applyFill="1" applyAlignment="1">
      <alignment horizontal="center"/>
      <protection/>
    </xf>
    <xf numFmtId="3" fontId="4" fillId="0" borderId="0" xfId="117" applyNumberFormat="1" applyFont="1" applyFill="1" applyAlignment="1">
      <alignment horizontal="center" vertical="center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3" fontId="2" fillId="0" borderId="0" xfId="0" applyNumberFormat="1" applyFont="1" applyAlignment="1">
      <alignment vertical="top"/>
    </xf>
    <xf numFmtId="0" fontId="41" fillId="0" borderId="0" xfId="0" applyFont="1" applyAlignment="1">
      <alignment horizontal="left" wrapText="1" indent="2"/>
    </xf>
    <xf numFmtId="3" fontId="2" fillId="0" borderId="0" xfId="129" applyNumberFormat="1" applyFont="1" applyAlignment="1">
      <alignment vertical="top"/>
      <protection/>
    </xf>
    <xf numFmtId="3" fontId="4" fillId="0" borderId="140" xfId="116" applyNumberFormat="1" applyFont="1" applyFill="1" applyBorder="1" applyAlignment="1">
      <alignment horizontal="center" vertical="center" wrapText="1"/>
      <protection/>
    </xf>
    <xf numFmtId="3" fontId="4" fillId="0" borderId="62" xfId="116" applyNumberFormat="1" applyFont="1" applyFill="1" applyBorder="1" applyAlignment="1">
      <alignment horizontal="right" wrapText="1"/>
      <protection/>
    </xf>
    <xf numFmtId="3" fontId="4" fillId="0" borderId="64" xfId="116" applyNumberFormat="1" applyFont="1" applyFill="1" applyBorder="1" applyAlignment="1">
      <alignment horizontal="right" wrapText="1"/>
      <protection/>
    </xf>
    <xf numFmtId="3" fontId="4" fillId="0" borderId="64" xfId="0" applyNumberFormat="1" applyFont="1" applyFill="1" applyBorder="1" applyAlignment="1">
      <alignment horizontal="right"/>
    </xf>
    <xf numFmtId="3" fontId="2" fillId="0" borderId="64" xfId="0" applyNumberFormat="1" applyFont="1" applyFill="1" applyBorder="1" applyAlignment="1">
      <alignment horizontal="right"/>
    </xf>
    <xf numFmtId="3" fontId="4" fillId="0" borderId="78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 vertical="center"/>
    </xf>
    <xf numFmtId="3" fontId="2" fillId="0" borderId="78" xfId="0" applyNumberFormat="1" applyFont="1" applyFill="1" applyBorder="1" applyAlignment="1">
      <alignment horizontal="right"/>
    </xf>
    <xf numFmtId="3" fontId="4" fillId="0" borderId="69" xfId="0" applyNumberFormat="1" applyFont="1" applyFill="1" applyBorder="1" applyAlignment="1">
      <alignment horizontal="right" vertical="center"/>
    </xf>
    <xf numFmtId="3" fontId="4" fillId="0" borderId="141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3" fontId="4" fillId="0" borderId="14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" fontId="4" fillId="0" borderId="62" xfId="116" applyNumberFormat="1" applyFont="1" applyFill="1" applyBorder="1">
      <alignment/>
      <protection/>
    </xf>
    <xf numFmtId="3" fontId="2" fillId="0" borderId="64" xfId="116" applyNumberFormat="1" applyFont="1" applyFill="1" applyBorder="1">
      <alignment/>
      <protection/>
    </xf>
    <xf numFmtId="3" fontId="4" fillId="0" borderId="66" xfId="116" applyNumberFormat="1" applyFont="1" applyFill="1" applyBorder="1">
      <alignment/>
      <protection/>
    </xf>
    <xf numFmtId="3" fontId="4" fillId="0" borderId="64" xfId="116" applyNumberFormat="1" applyFont="1" applyFill="1" applyBorder="1">
      <alignment/>
      <protection/>
    </xf>
    <xf numFmtId="3" fontId="5" fillId="0" borderId="64" xfId="116" applyNumberFormat="1" applyFont="1" applyFill="1" applyBorder="1">
      <alignment/>
      <protection/>
    </xf>
    <xf numFmtId="3" fontId="2" fillId="0" borderId="64" xfId="116" applyNumberFormat="1" applyFont="1" applyFill="1" applyBorder="1" applyAlignment="1">
      <alignment vertical="center"/>
      <protection/>
    </xf>
    <xf numFmtId="3" fontId="4" fillId="0" borderId="64" xfId="116" applyNumberFormat="1" applyFont="1" applyFill="1" applyBorder="1" applyAlignment="1">
      <alignment vertical="center"/>
      <protection/>
    </xf>
    <xf numFmtId="3" fontId="2" fillId="0" borderId="64" xfId="116" applyNumberFormat="1" applyFont="1" applyFill="1" applyBorder="1" applyAlignment="1">
      <alignment/>
      <protection/>
    </xf>
    <xf numFmtId="3" fontId="4" fillId="0" borderId="140" xfId="116" applyNumberFormat="1" applyFont="1" applyFill="1" applyBorder="1" applyAlignment="1">
      <alignment vertical="center"/>
      <protection/>
    </xf>
    <xf numFmtId="3" fontId="2" fillId="0" borderId="64" xfId="116" applyNumberFormat="1" applyFont="1" applyFill="1" applyBorder="1" applyAlignment="1">
      <alignment vertical="top"/>
      <protection/>
    </xf>
    <xf numFmtId="3" fontId="84" fillId="0" borderId="23" xfId="0" applyNumberFormat="1" applyFont="1" applyFill="1" applyBorder="1" applyAlignment="1">
      <alignment/>
    </xf>
    <xf numFmtId="3" fontId="84" fillId="0" borderId="25" xfId="0" applyNumberFormat="1" applyFont="1" applyFill="1" applyBorder="1" applyAlignment="1">
      <alignment horizontal="center" vertical="center"/>
    </xf>
    <xf numFmtId="3" fontId="12" fillId="0" borderId="93" xfId="125" applyNumberFormat="1" applyFont="1" applyFill="1" applyBorder="1" applyAlignment="1">
      <alignment/>
      <protection/>
    </xf>
    <xf numFmtId="3" fontId="84" fillId="0" borderId="25" xfId="0" applyNumberFormat="1" applyFont="1" applyFill="1" applyBorder="1" applyAlignment="1">
      <alignment horizontal="center" vertical="top"/>
    </xf>
    <xf numFmtId="3" fontId="12" fillId="0" borderId="20" xfId="125" applyNumberFormat="1" applyFont="1" applyFill="1" applyBorder="1" applyAlignment="1">
      <alignment/>
      <protection/>
    </xf>
    <xf numFmtId="3" fontId="13" fillId="0" borderId="23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 vertical="top"/>
    </xf>
    <xf numFmtId="3" fontId="13" fillId="0" borderId="38" xfId="0" applyNumberFormat="1" applyFont="1" applyFill="1" applyBorder="1" applyAlignment="1">
      <alignment vertical="top"/>
    </xf>
    <xf numFmtId="3" fontId="10" fillId="0" borderId="57" xfId="127" applyNumberFormat="1" applyFont="1" applyBorder="1" applyAlignment="1" applyProtection="1">
      <alignment horizontal="left"/>
      <protection locked="0"/>
    </xf>
    <xf numFmtId="3" fontId="10" fillId="0" borderId="57" xfId="127" applyNumberFormat="1" applyFont="1" applyBorder="1" applyAlignment="1" applyProtection="1">
      <alignment horizontal="right"/>
      <protection locked="0"/>
    </xf>
    <xf numFmtId="3" fontId="10" fillId="0" borderId="43" xfId="127" applyNumberFormat="1" applyFont="1" applyBorder="1" applyAlignment="1" applyProtection="1">
      <alignment horizontal="right"/>
      <protection locked="0"/>
    </xf>
    <xf numFmtId="3" fontId="13" fillId="0" borderId="143" xfId="127" applyNumberFormat="1" applyFont="1" applyFill="1" applyBorder="1" applyAlignment="1" applyProtection="1">
      <alignment horizontal="right" vertical="center"/>
      <protection locked="0"/>
    </xf>
    <xf numFmtId="3" fontId="13" fillId="0" borderId="131" xfId="127" applyNumberFormat="1" applyFont="1" applyFill="1" applyBorder="1" applyAlignment="1" applyProtection="1">
      <alignment horizontal="right" vertical="center"/>
      <protection locked="0"/>
    </xf>
    <xf numFmtId="0" fontId="5" fillId="0" borderId="0" xfId="88" applyFont="1" applyFill="1" applyBorder="1" applyProtection="1">
      <alignment/>
      <protection locked="0"/>
    </xf>
    <xf numFmtId="0" fontId="12" fillId="0" borderId="0" xfId="127" applyFont="1" applyFill="1" applyBorder="1" applyProtection="1">
      <alignment/>
      <protection locked="0"/>
    </xf>
    <xf numFmtId="3" fontId="84" fillId="0" borderId="109" xfId="0" applyNumberFormat="1" applyFont="1" applyFill="1" applyBorder="1" applyAlignment="1">
      <alignment horizontal="center" vertical="center"/>
    </xf>
    <xf numFmtId="3" fontId="13" fillId="0" borderId="109" xfId="0" applyNumberFormat="1" applyFont="1" applyFill="1" applyBorder="1" applyAlignment="1">
      <alignment horizontal="center" vertical="center"/>
    </xf>
    <xf numFmtId="3" fontId="13" fillId="0" borderId="93" xfId="125" applyNumberFormat="1" applyFont="1" applyFill="1" applyBorder="1" applyAlignment="1">
      <alignment horizontal="center" vertical="center"/>
      <protection/>
    </xf>
    <xf numFmtId="3" fontId="13" fillId="0" borderId="93" xfId="125" applyNumberFormat="1" applyFont="1" applyFill="1" applyBorder="1" applyAlignment="1">
      <alignment horizontal="center"/>
      <protection/>
    </xf>
    <xf numFmtId="3" fontId="13" fillId="0" borderId="58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91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/>
    </xf>
    <xf numFmtId="3" fontId="93" fillId="0" borderId="20" xfId="0" applyNumberFormat="1" applyFont="1" applyFill="1" applyBorder="1" applyAlignment="1">
      <alignment horizontal="right"/>
    </xf>
    <xf numFmtId="3" fontId="93" fillId="0" borderId="21" xfId="0" applyNumberFormat="1" applyFont="1" applyFill="1" applyBorder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3" fontId="84" fillId="0" borderId="38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center" vertical="center"/>
    </xf>
    <xf numFmtId="3" fontId="85" fillId="0" borderId="58" xfId="0" applyNumberFormat="1" applyFont="1" applyFill="1" applyBorder="1" applyAlignment="1">
      <alignment horizontal="left" vertical="center" wrapText="1"/>
    </xf>
    <xf numFmtId="3" fontId="85" fillId="0" borderId="111" xfId="0" applyNumberFormat="1" applyFont="1" applyFill="1" applyBorder="1" applyAlignment="1">
      <alignment horizontal="left" vertical="center" wrapText="1"/>
    </xf>
    <xf numFmtId="3" fontId="85" fillId="0" borderId="38" xfId="0" applyNumberFormat="1" applyFont="1" applyFill="1" applyBorder="1" applyAlignment="1">
      <alignment horizontal="left" vertical="center" wrapText="1"/>
    </xf>
    <xf numFmtId="3" fontId="85" fillId="0" borderId="38" xfId="0" applyNumberFormat="1" applyFont="1" applyFill="1" applyBorder="1" applyAlignment="1">
      <alignment horizontal="right" vertical="center"/>
    </xf>
    <xf numFmtId="3" fontId="85" fillId="0" borderId="114" xfId="0" applyNumberFormat="1" applyFont="1" applyFill="1" applyBorder="1" applyAlignment="1">
      <alignment horizontal="right" vertical="center"/>
    </xf>
    <xf numFmtId="3" fontId="84" fillId="0" borderId="117" xfId="0" applyNumberFormat="1" applyFont="1" applyFill="1" applyBorder="1" applyAlignment="1">
      <alignment horizontal="right" vertical="center"/>
    </xf>
    <xf numFmtId="3" fontId="84" fillId="0" borderId="38" xfId="0" applyNumberFormat="1" applyFont="1" applyFill="1" applyBorder="1" applyAlignment="1">
      <alignment horizontal="right" vertical="center"/>
    </xf>
    <xf numFmtId="3" fontId="84" fillId="0" borderId="39" xfId="0" applyNumberFormat="1" applyFont="1" applyFill="1" applyBorder="1" applyAlignment="1">
      <alignment horizontal="right" vertical="center"/>
    </xf>
    <xf numFmtId="3" fontId="84" fillId="0" borderId="114" xfId="125" applyNumberFormat="1" applyFont="1" applyFill="1" applyBorder="1" applyAlignment="1">
      <alignment/>
      <protection/>
    </xf>
    <xf numFmtId="3" fontId="84" fillId="0" borderId="38" xfId="125" applyNumberFormat="1" applyFont="1" applyFill="1" applyBorder="1" applyAlignment="1">
      <alignment horizontal="center"/>
      <protection/>
    </xf>
    <xf numFmtId="3" fontId="84" fillId="0" borderId="93" xfId="0" applyNumberFormat="1" applyFont="1" applyFill="1" applyBorder="1" applyAlignment="1">
      <alignment horizontal="center"/>
    </xf>
    <xf numFmtId="3" fontId="84" fillId="0" borderId="20" xfId="125" applyNumberFormat="1" applyFont="1" applyFill="1" applyBorder="1" applyAlignment="1">
      <alignment horizontal="center"/>
      <protection/>
    </xf>
    <xf numFmtId="3" fontId="84" fillId="0" borderId="91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23" xfId="117" applyNumberFormat="1" applyFont="1" applyFill="1" applyBorder="1" applyAlignment="1">
      <alignment horizontal="left" vertical="top" wrapText="1" indent="4"/>
      <protection/>
    </xf>
    <xf numFmtId="3" fontId="13" fillId="0" borderId="93" xfId="117" applyNumberFormat="1" applyFont="1" applyFill="1" applyBorder="1" applyAlignment="1">
      <alignment horizontal="right"/>
      <protection/>
    </xf>
    <xf numFmtId="3" fontId="13" fillId="0" borderId="23" xfId="0" applyNumberFormat="1" applyFont="1" applyFill="1" applyBorder="1" applyAlignment="1">
      <alignment horizontal="right" wrapText="1"/>
    </xf>
    <xf numFmtId="3" fontId="16" fillId="0" borderId="93" xfId="117" applyNumberFormat="1" applyFont="1" applyFill="1" applyBorder="1" applyAlignment="1">
      <alignment horizontal="right"/>
      <protection/>
    </xf>
    <xf numFmtId="3" fontId="12" fillId="0" borderId="93" xfId="117" applyNumberFormat="1" applyFont="1" applyFill="1" applyBorder="1" applyAlignment="1">
      <alignment horizontal="right"/>
      <protection/>
    </xf>
    <xf numFmtId="3" fontId="13" fillId="0" borderId="28" xfId="0" applyNumberFormat="1" applyFont="1" applyFill="1" applyBorder="1" applyAlignment="1">
      <alignment horizontal="right" wrapText="1"/>
    </xf>
    <xf numFmtId="3" fontId="16" fillId="0" borderId="23" xfId="0" applyNumberFormat="1" applyFont="1" applyFill="1" applyBorder="1" applyAlignment="1">
      <alignment horizontal="right" wrapText="1"/>
    </xf>
    <xf numFmtId="3" fontId="16" fillId="0" borderId="28" xfId="0" applyNumberFormat="1" applyFont="1" applyFill="1" applyBorder="1" applyAlignment="1">
      <alignment horizontal="right" wrapText="1"/>
    </xf>
    <xf numFmtId="3" fontId="13" fillId="0" borderId="20" xfId="0" applyNumberFormat="1" applyFont="1" applyFill="1" applyBorder="1" applyAlignment="1">
      <alignment horizontal="right" wrapText="1"/>
    </xf>
    <xf numFmtId="3" fontId="12" fillId="0" borderId="21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 wrapText="1"/>
    </xf>
    <xf numFmtId="3" fontId="16" fillId="0" borderId="20" xfId="0" applyNumberFormat="1" applyFont="1" applyFill="1" applyBorder="1" applyAlignment="1">
      <alignment horizontal="right" wrapText="1"/>
    </xf>
    <xf numFmtId="3" fontId="16" fillId="0" borderId="21" xfId="0" applyNumberFormat="1" applyFont="1" applyFill="1" applyBorder="1" applyAlignment="1">
      <alignment horizontal="right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13" fillId="0" borderId="21" xfId="0" applyNumberFormat="1" applyFont="1" applyFill="1" applyBorder="1" applyAlignment="1">
      <alignment horizontal="right" wrapText="1"/>
    </xf>
    <xf numFmtId="3" fontId="16" fillId="0" borderId="20" xfId="0" applyNumberFormat="1" applyFont="1" applyFill="1" applyBorder="1" applyAlignment="1">
      <alignment horizontal="right" vertical="center" wrapText="1"/>
    </xf>
    <xf numFmtId="3" fontId="13" fillId="0" borderId="23" xfId="117" applyNumberFormat="1" applyFont="1" applyFill="1" applyBorder="1" applyAlignment="1">
      <alignment horizontal="left" wrapText="1" indent="2"/>
      <protection/>
    </xf>
    <xf numFmtId="3" fontId="12" fillId="0" borderId="23" xfId="117" applyNumberFormat="1" applyFont="1" applyFill="1" applyBorder="1" applyAlignment="1">
      <alignment horizontal="left" wrapText="1" indent="2"/>
      <protection/>
    </xf>
    <xf numFmtId="3" fontId="13" fillId="0" borderId="144" xfId="117" applyNumberFormat="1" applyFont="1" applyFill="1" applyBorder="1" applyAlignment="1">
      <alignment horizontal="center" vertical="center"/>
      <protection/>
    </xf>
    <xf numFmtId="3" fontId="10" fillId="0" borderId="145" xfId="117" applyNumberFormat="1" applyFont="1" applyFill="1" applyBorder="1" applyAlignment="1">
      <alignment horizontal="center" vertical="center" wrapText="1"/>
      <protection/>
    </xf>
    <xf numFmtId="3" fontId="10" fillId="0" borderId="146" xfId="117" applyNumberFormat="1" applyFont="1" applyFill="1" applyBorder="1" applyAlignment="1">
      <alignment horizontal="center"/>
      <protection/>
    </xf>
    <xf numFmtId="3" fontId="84" fillId="0" borderId="147" xfId="0" applyNumberFormat="1" applyFont="1" applyFill="1" applyBorder="1" applyAlignment="1">
      <alignment vertical="center"/>
    </xf>
    <xf numFmtId="3" fontId="13" fillId="0" borderId="41" xfId="117" applyNumberFormat="1" applyFont="1" applyFill="1" applyBorder="1" applyAlignment="1">
      <alignment horizontal="center" vertical="center"/>
      <protection/>
    </xf>
    <xf numFmtId="3" fontId="10" fillId="0" borderId="99" xfId="117" applyNumberFormat="1" applyFont="1" applyFill="1" applyBorder="1" applyAlignment="1">
      <alignment horizontal="center" vertical="center" wrapText="1"/>
      <protection/>
    </xf>
    <xf numFmtId="3" fontId="10" fillId="0" borderId="130" xfId="117" applyNumberFormat="1" applyFont="1" applyFill="1" applyBorder="1" applyAlignment="1">
      <alignment horizontal="center"/>
      <protection/>
    </xf>
    <xf numFmtId="3" fontId="10" fillId="0" borderId="20" xfId="117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Fill="1" applyBorder="1" applyAlignment="1">
      <alignment horizontal="right" vertical="center" wrapText="1"/>
    </xf>
    <xf numFmtId="3" fontId="16" fillId="0" borderId="21" xfId="0" applyNumberFormat="1" applyFont="1" applyFill="1" applyBorder="1" applyAlignment="1">
      <alignment horizontal="right" vertical="center" wrapText="1"/>
    </xf>
    <xf numFmtId="3" fontId="84" fillId="0" borderId="148" xfId="0" applyNumberFormat="1" applyFont="1" applyFill="1" applyBorder="1" applyAlignment="1">
      <alignment vertical="center"/>
    </xf>
    <xf numFmtId="3" fontId="84" fillId="0" borderId="147" xfId="0" applyNumberFormat="1" applyFont="1" applyFill="1" applyBorder="1" applyAlignment="1">
      <alignment horizontal="right"/>
    </xf>
    <xf numFmtId="3" fontId="13" fillId="0" borderId="109" xfId="119" applyNumberFormat="1" applyFont="1" applyFill="1" applyBorder="1" applyAlignment="1">
      <alignment horizontal="center" vertical="center" wrapText="1"/>
      <protection/>
    </xf>
    <xf numFmtId="3" fontId="13" fillId="0" borderId="149" xfId="119" applyNumberFormat="1" applyFont="1" applyFill="1" applyBorder="1" applyAlignment="1">
      <alignment horizontal="right" vertical="center" wrapText="1"/>
      <protection/>
    </xf>
    <xf numFmtId="3" fontId="13" fillId="0" borderId="150" xfId="119" applyNumberFormat="1" applyFont="1" applyFill="1" applyBorder="1" applyAlignment="1">
      <alignment horizontal="right" vertical="center" wrapText="1"/>
      <protection/>
    </xf>
    <xf numFmtId="3" fontId="13" fillId="0" borderId="91" xfId="119" applyNumberFormat="1" applyFont="1" applyFill="1" applyBorder="1" applyAlignment="1">
      <alignment horizontal="center" vertical="center" wrapText="1"/>
      <protection/>
    </xf>
    <xf numFmtId="3" fontId="13" fillId="0" borderId="105" xfId="119" applyNumberFormat="1" applyFont="1" applyFill="1" applyBorder="1" applyAlignment="1">
      <alignment horizontal="right" vertical="center" wrapText="1"/>
      <protection/>
    </xf>
    <xf numFmtId="3" fontId="13" fillId="0" borderId="151" xfId="119" applyNumberFormat="1" applyFont="1" applyFill="1" applyBorder="1" applyAlignment="1">
      <alignment horizontal="center" vertical="center" wrapText="1"/>
      <protection/>
    </xf>
    <xf numFmtId="3" fontId="13" fillId="0" borderId="152" xfId="119" applyNumberFormat="1" applyFont="1" applyFill="1" applyBorder="1" applyAlignment="1">
      <alignment horizontal="center" vertical="center" wrapText="1"/>
      <protection/>
    </xf>
    <xf numFmtId="3" fontId="13" fillId="0" borderId="153" xfId="119" applyNumberFormat="1" applyFont="1" applyFill="1" applyBorder="1" applyAlignment="1">
      <alignment horizontal="right" vertical="center" wrapText="1"/>
      <protection/>
    </xf>
    <xf numFmtId="3" fontId="10" fillId="0" borderId="87" xfId="127" applyNumberFormat="1" applyFont="1" applyFill="1" applyBorder="1" applyAlignment="1">
      <alignment horizontal="right" vertical="center"/>
      <protection/>
    </xf>
    <xf numFmtId="3" fontId="10" fillId="0" borderId="133" xfId="127" applyNumberFormat="1" applyFont="1" applyFill="1" applyBorder="1" applyAlignment="1">
      <alignment horizontal="right" vertical="center"/>
      <protection/>
    </xf>
    <xf numFmtId="3" fontId="10" fillId="0" borderId="133" xfId="119" applyNumberFormat="1" applyFont="1" applyFill="1" applyBorder="1" applyAlignment="1">
      <alignment horizontal="right" vertical="center"/>
      <protection/>
    </xf>
    <xf numFmtId="3" fontId="13" fillId="0" borderId="107" xfId="117" applyNumberFormat="1" applyFont="1" applyFill="1" applyBorder="1" applyAlignment="1">
      <alignment horizontal="right"/>
      <protection/>
    </xf>
    <xf numFmtId="3" fontId="10" fillId="0" borderId="88" xfId="119" applyNumberFormat="1" applyFont="1" applyFill="1" applyBorder="1" applyAlignment="1">
      <alignment horizontal="right" vertical="center" wrapText="1"/>
      <protection/>
    </xf>
    <xf numFmtId="3" fontId="10" fillId="0" borderId="23" xfId="119" applyNumberFormat="1" applyFont="1" applyFill="1" applyBorder="1" applyAlignment="1">
      <alignment horizontal="right" vertical="center" wrapText="1"/>
      <protection/>
    </xf>
    <xf numFmtId="3" fontId="10" fillId="0" borderId="123" xfId="119" applyNumberFormat="1" applyFont="1" applyFill="1" applyBorder="1" applyAlignment="1">
      <alignment horizontal="right" vertical="center" wrapText="1"/>
      <protection/>
    </xf>
    <xf numFmtId="3" fontId="13" fillId="0" borderId="109" xfId="117" applyNumberFormat="1" applyFont="1" applyFill="1" applyBorder="1" applyAlignment="1">
      <alignment horizontal="right"/>
      <protection/>
    </xf>
    <xf numFmtId="0" fontId="10" fillId="0" borderId="154" xfId="127" applyFont="1" applyFill="1" applyBorder="1">
      <alignment/>
      <protection/>
    </xf>
    <xf numFmtId="0" fontId="10" fillId="0" borderId="155" xfId="127" applyFont="1" applyFill="1" applyBorder="1">
      <alignment/>
      <protection/>
    </xf>
    <xf numFmtId="0" fontId="10" fillId="0" borderId="20" xfId="127" applyFont="1" applyFill="1" applyBorder="1">
      <alignment/>
      <protection/>
    </xf>
    <xf numFmtId="0" fontId="2" fillId="0" borderId="130" xfId="127" applyFont="1" applyFill="1" applyBorder="1" applyAlignment="1">
      <alignment horizontal="center" wrapText="1"/>
      <protection/>
    </xf>
    <xf numFmtId="3" fontId="2" fillId="0" borderId="150" xfId="127" applyNumberFormat="1" applyFont="1" applyFill="1" applyBorder="1" applyAlignment="1">
      <alignment horizontal="right"/>
      <protection/>
    </xf>
    <xf numFmtId="3" fontId="5" fillId="0" borderId="93" xfId="119" applyNumberFormat="1" applyFont="1" applyFill="1" applyBorder="1" applyAlignment="1">
      <alignment horizontal="right" wrapText="1"/>
      <protection/>
    </xf>
    <xf numFmtId="3" fontId="5" fillId="0" borderId="20" xfId="119" applyNumberFormat="1" applyFont="1" applyFill="1" applyBorder="1" applyAlignment="1">
      <alignment horizontal="right" wrapText="1"/>
      <protection/>
    </xf>
    <xf numFmtId="3" fontId="4" fillId="0" borderId="93" xfId="119" applyNumberFormat="1" applyFont="1" applyFill="1" applyBorder="1" applyAlignment="1">
      <alignment horizontal="right" wrapText="1"/>
      <protection/>
    </xf>
    <xf numFmtId="3" fontId="4" fillId="0" borderId="20" xfId="119" applyNumberFormat="1" applyFont="1" applyFill="1" applyBorder="1" applyAlignment="1">
      <alignment horizontal="right" wrapText="1"/>
      <protection/>
    </xf>
    <xf numFmtId="3" fontId="4" fillId="0" borderId="132" xfId="119" applyNumberFormat="1" applyFont="1" applyFill="1" applyBorder="1" applyAlignment="1">
      <alignment horizontal="center" vertical="center" wrapText="1"/>
      <protection/>
    </xf>
    <xf numFmtId="3" fontId="4" fillId="0" borderId="133" xfId="119" applyNumberFormat="1" applyFont="1" applyFill="1" applyBorder="1" applyAlignment="1">
      <alignment horizontal="center" vertical="center" wrapText="1"/>
      <protection/>
    </xf>
    <xf numFmtId="3" fontId="4" fillId="0" borderId="156" xfId="119" applyNumberFormat="1" applyFont="1" applyFill="1" applyBorder="1" applyAlignment="1">
      <alignment horizontal="right" vertical="center" wrapText="1"/>
      <protection/>
    </xf>
    <xf numFmtId="3" fontId="2" fillId="0" borderId="44" xfId="119" applyNumberFormat="1" applyFont="1" applyFill="1" applyBorder="1" applyAlignment="1">
      <alignment horizontal="right" vertical="center" wrapText="1"/>
      <protection/>
    </xf>
    <xf numFmtId="3" fontId="2" fillId="0" borderId="134" xfId="119" applyNumberFormat="1" applyFont="1" applyFill="1" applyBorder="1" applyAlignment="1">
      <alignment horizontal="right" vertical="center" wrapText="1"/>
      <protection/>
    </xf>
    <xf numFmtId="0" fontId="84" fillId="0" borderId="109" xfId="119" applyFont="1" applyFill="1" applyBorder="1" applyAlignment="1">
      <alignment/>
      <protection/>
    </xf>
    <xf numFmtId="3" fontId="17" fillId="0" borderId="93" xfId="119" applyNumberFormat="1" applyFont="1" applyFill="1" applyBorder="1" applyAlignment="1">
      <alignment horizontal="right" wrapText="1"/>
      <protection/>
    </xf>
    <xf numFmtId="3" fontId="17" fillId="0" borderId="20" xfId="119" applyNumberFormat="1" applyFont="1" applyFill="1" applyBorder="1" applyAlignment="1">
      <alignment horizontal="right" wrapText="1"/>
      <protection/>
    </xf>
    <xf numFmtId="0" fontId="4" fillId="0" borderId="91" xfId="127" applyFont="1" applyFill="1" applyBorder="1" applyAlignment="1">
      <alignment horizontal="center"/>
      <protection/>
    </xf>
    <xf numFmtId="3" fontId="2" fillId="0" borderId="109" xfId="127" applyNumberFormat="1" applyFont="1" applyFill="1" applyBorder="1" applyAlignment="1">
      <alignment horizontal="right"/>
      <protection/>
    </xf>
    <xf numFmtId="3" fontId="4" fillId="0" borderId="44" xfId="119" applyNumberFormat="1" applyFont="1" applyFill="1" applyBorder="1" applyAlignment="1">
      <alignment horizontal="right" vertical="center" wrapText="1"/>
      <protection/>
    </xf>
    <xf numFmtId="3" fontId="4" fillId="0" borderId="134" xfId="119" applyNumberFormat="1" applyFont="1" applyFill="1" applyBorder="1" applyAlignment="1">
      <alignment horizontal="right" vertical="center" wrapText="1"/>
      <protection/>
    </xf>
    <xf numFmtId="3" fontId="4" fillId="0" borderId="128" xfId="119" applyNumberFormat="1" applyFont="1" applyFill="1" applyBorder="1" applyAlignment="1">
      <alignment horizontal="right" wrapText="1"/>
      <protection/>
    </xf>
    <xf numFmtId="0" fontId="2" fillId="0" borderId="145" xfId="127" applyFont="1" applyFill="1" applyBorder="1" applyAlignment="1">
      <alignment horizontal="center"/>
      <protection/>
    </xf>
    <xf numFmtId="0" fontId="4" fillId="0" borderId="146" xfId="127" applyFont="1" applyFill="1" applyBorder="1" applyAlignment="1">
      <alignment horizontal="center" wrapText="1"/>
      <protection/>
    </xf>
    <xf numFmtId="3" fontId="4" fillId="0" borderId="147" xfId="119" applyNumberFormat="1" applyFont="1" applyFill="1" applyBorder="1" applyAlignment="1">
      <alignment horizontal="right" wrapText="1"/>
      <protection/>
    </xf>
    <xf numFmtId="3" fontId="88" fillId="0" borderId="157" xfId="127" applyNumberFormat="1" applyFont="1" applyFill="1" applyBorder="1" applyAlignment="1">
      <alignment horizontal="right"/>
      <protection/>
    </xf>
    <xf numFmtId="0" fontId="4" fillId="0" borderId="43" xfId="127" applyFont="1" applyFill="1" applyBorder="1" applyAlignment="1">
      <alignment horizontal="center" wrapText="1"/>
      <protection/>
    </xf>
    <xf numFmtId="0" fontId="2" fillId="0" borderId="113" xfId="127" applyFont="1" applyFill="1" applyBorder="1" applyAlignment="1">
      <alignment horizontal="center"/>
      <protection/>
    </xf>
    <xf numFmtId="3" fontId="4" fillId="0" borderId="113" xfId="127" applyNumberFormat="1" applyFont="1" applyFill="1" applyBorder="1" applyAlignment="1">
      <alignment horizontal="right"/>
      <protection/>
    </xf>
    <xf numFmtId="0" fontId="88" fillId="0" borderId="158" xfId="127" applyFont="1" applyFill="1" applyBorder="1" applyAlignment="1">
      <alignment horizontal="center" wrapText="1"/>
      <protection/>
    </xf>
    <xf numFmtId="3" fontId="4" fillId="0" borderId="159" xfId="119" applyNumberFormat="1" applyFont="1" applyFill="1" applyBorder="1" applyAlignment="1">
      <alignment horizontal="right" wrapText="1"/>
      <protection/>
    </xf>
    <xf numFmtId="3" fontId="88" fillId="0" borderId="160" xfId="127" applyNumberFormat="1" applyFont="1" applyFill="1" applyBorder="1" applyAlignment="1">
      <alignment horizontal="right"/>
      <protection/>
    </xf>
    <xf numFmtId="3" fontId="4" fillId="0" borderId="145" xfId="127" applyNumberFormat="1" applyFont="1" applyFill="1" applyBorder="1" applyAlignment="1">
      <alignment horizontal="right"/>
      <protection/>
    </xf>
    <xf numFmtId="0" fontId="88" fillId="0" borderId="146" xfId="127" applyFont="1" applyFill="1" applyBorder="1" applyAlignment="1">
      <alignment horizontal="center" wrapText="1"/>
      <protection/>
    </xf>
    <xf numFmtId="3" fontId="2" fillId="0" borderId="93" xfId="127" applyNumberFormat="1" applyFont="1" applyFill="1" applyBorder="1" applyAlignment="1">
      <alignment horizontal="right"/>
      <protection/>
    </xf>
    <xf numFmtId="3" fontId="88" fillId="0" borderId="109" xfId="119" applyNumberFormat="1" applyFont="1" applyFill="1" applyBorder="1" applyAlignment="1">
      <alignment horizontal="right" wrapText="1"/>
      <protection/>
    </xf>
    <xf numFmtId="3" fontId="4" fillId="0" borderId="159" xfId="127" applyNumberFormat="1" applyFont="1" applyFill="1" applyBorder="1" applyAlignment="1">
      <alignment horizontal="right"/>
      <protection/>
    </xf>
    <xf numFmtId="3" fontId="2" fillId="0" borderId="161" xfId="127" applyNumberFormat="1" applyFont="1" applyFill="1" applyBorder="1" applyAlignment="1">
      <alignment horizontal="right"/>
      <protection/>
    </xf>
    <xf numFmtId="3" fontId="4" fillId="0" borderId="146" xfId="127" applyNumberFormat="1" applyFont="1" applyFill="1" applyBorder="1" applyAlignment="1">
      <alignment horizontal="right"/>
      <protection/>
    </xf>
    <xf numFmtId="3" fontId="2" fillId="0" borderId="157" xfId="127" applyNumberFormat="1" applyFont="1" applyFill="1" applyBorder="1" applyAlignment="1">
      <alignment horizontal="right"/>
      <protection/>
    </xf>
    <xf numFmtId="3" fontId="4" fillId="0" borderId="43" xfId="127" applyNumberFormat="1" applyFont="1" applyFill="1" applyBorder="1" applyAlignment="1">
      <alignment horizontal="right"/>
      <protection/>
    </xf>
    <xf numFmtId="3" fontId="4" fillId="0" borderId="158" xfId="127" applyNumberFormat="1" applyFont="1" applyFill="1" applyBorder="1" applyAlignment="1">
      <alignment horizontal="right"/>
      <protection/>
    </xf>
    <xf numFmtId="3" fontId="2" fillId="0" borderId="160" xfId="127" applyNumberFormat="1" applyFont="1" applyFill="1" applyBorder="1" applyAlignment="1">
      <alignment horizontal="right"/>
      <protection/>
    </xf>
    <xf numFmtId="3" fontId="4" fillId="0" borderId="162" xfId="127" applyNumberFormat="1" applyFont="1" applyFill="1" applyBorder="1" applyAlignment="1">
      <alignment horizontal="right"/>
      <protection/>
    </xf>
    <xf numFmtId="3" fontId="4" fillId="0" borderId="163" xfId="127" applyNumberFormat="1" applyFont="1" applyFill="1" applyBorder="1" applyAlignment="1">
      <alignment horizontal="right"/>
      <protection/>
    </xf>
    <xf numFmtId="3" fontId="4" fillId="0" borderId="147" xfId="127" applyNumberFormat="1" applyFont="1" applyFill="1" applyBorder="1" applyAlignment="1">
      <alignment horizontal="right"/>
      <protection/>
    </xf>
    <xf numFmtId="3" fontId="2" fillId="0" borderId="148" xfId="127" applyNumberFormat="1" applyFont="1" applyFill="1" applyBorder="1" applyAlignment="1">
      <alignment horizontal="right"/>
      <protection/>
    </xf>
    <xf numFmtId="3" fontId="4" fillId="0" borderId="105" xfId="127" applyNumberFormat="1" applyFont="1" applyFill="1" applyBorder="1" applyAlignment="1">
      <alignment horizontal="right"/>
      <protection/>
    </xf>
    <xf numFmtId="3" fontId="4" fillId="0" borderId="157" xfId="127" applyNumberFormat="1" applyFont="1" applyFill="1" applyBorder="1" applyAlignment="1">
      <alignment horizontal="right"/>
      <protection/>
    </xf>
    <xf numFmtId="0" fontId="2" fillId="0" borderId="91" xfId="127" applyFont="1" applyFill="1" applyBorder="1" applyAlignment="1">
      <alignment horizontal="center"/>
      <protection/>
    </xf>
    <xf numFmtId="3" fontId="2" fillId="0" borderId="133" xfId="127" applyNumberFormat="1" applyFont="1" applyFill="1" applyBorder="1" applyAlignment="1">
      <alignment horizontal="right"/>
      <protection/>
    </xf>
    <xf numFmtId="3" fontId="2" fillId="0" borderId="133" xfId="119" applyNumberFormat="1" applyFont="1" applyFill="1" applyBorder="1" applyAlignment="1">
      <alignment horizontal="right"/>
      <protection/>
    </xf>
    <xf numFmtId="3" fontId="89" fillId="0" borderId="88" xfId="119" applyNumberFormat="1" applyFont="1" applyFill="1" applyBorder="1" applyAlignment="1">
      <alignment horizontal="right" wrapText="1"/>
      <protection/>
    </xf>
    <xf numFmtId="3" fontId="88" fillId="0" borderId="94" xfId="119" applyNumberFormat="1" applyFont="1" applyFill="1" applyBorder="1" applyAlignment="1">
      <alignment horizontal="right" wrapText="1"/>
      <protection/>
    </xf>
    <xf numFmtId="3" fontId="2" fillId="0" borderId="113" xfId="127" applyNumberFormat="1" applyFont="1" applyFill="1" applyBorder="1" applyAlignment="1">
      <alignment horizontal="right"/>
      <protection/>
    </xf>
    <xf numFmtId="3" fontId="2" fillId="0" borderId="113" xfId="119" applyNumberFormat="1" applyFont="1" applyFill="1" applyBorder="1" applyAlignment="1">
      <alignment horizontal="right"/>
      <protection/>
    </xf>
    <xf numFmtId="0" fontId="2" fillId="0" borderId="158" xfId="127" applyFont="1" applyFill="1" applyBorder="1" applyAlignment="1">
      <alignment horizontal="center" wrapText="1"/>
      <protection/>
    </xf>
    <xf numFmtId="3" fontId="2" fillId="0" borderId="159" xfId="119" applyNumberFormat="1" applyFont="1" applyFill="1" applyBorder="1" applyAlignment="1">
      <alignment horizontal="right" wrapText="1"/>
      <protection/>
    </xf>
    <xf numFmtId="0" fontId="2" fillId="0" borderId="135" xfId="127" applyFont="1" applyFill="1" applyBorder="1" applyAlignment="1">
      <alignment horizontal="center"/>
      <protection/>
    </xf>
    <xf numFmtId="3" fontId="4" fillId="0" borderId="125" xfId="119" applyNumberFormat="1" applyFont="1" applyFill="1" applyBorder="1" applyAlignment="1">
      <alignment horizontal="right" wrapText="1"/>
      <protection/>
    </xf>
    <xf numFmtId="0" fontId="2" fillId="0" borderId="18" xfId="127" applyFont="1" applyFill="1" applyBorder="1" applyAlignment="1">
      <alignment horizontal="center"/>
      <protection/>
    </xf>
    <xf numFmtId="0" fontId="2" fillId="0" borderId="90" xfId="127" applyFont="1" applyFill="1" applyBorder="1" applyAlignment="1">
      <alignment horizontal="center" wrapText="1"/>
      <protection/>
    </xf>
    <xf numFmtId="3" fontId="2" fillId="0" borderId="18" xfId="119" applyNumberFormat="1" applyFont="1" applyFill="1" applyBorder="1" applyAlignment="1">
      <alignment horizontal="right" wrapText="1"/>
      <protection/>
    </xf>
    <xf numFmtId="3" fontId="4" fillId="0" borderId="102" xfId="119" applyNumberFormat="1" applyFont="1" applyFill="1" applyBorder="1" applyAlignment="1">
      <alignment horizontal="right" wrapText="1"/>
      <protection/>
    </xf>
    <xf numFmtId="3" fontId="2" fillId="0" borderId="164" xfId="127" applyNumberFormat="1" applyFont="1" applyFill="1" applyBorder="1" applyAlignment="1">
      <alignment horizontal="right"/>
      <protection/>
    </xf>
    <xf numFmtId="0" fontId="28" fillId="0" borderId="23" xfId="119" applyFont="1" applyFill="1" applyBorder="1" applyAlignment="1">
      <alignment horizontal="left" wrapText="1"/>
      <protection/>
    </xf>
    <xf numFmtId="3" fontId="4" fillId="0" borderId="165" xfId="119" applyNumberFormat="1" applyFont="1" applyFill="1" applyBorder="1" applyAlignment="1">
      <alignment horizontal="right" vertical="center" wrapText="1"/>
      <protection/>
    </xf>
    <xf numFmtId="3" fontId="4" fillId="0" borderId="166" xfId="119" applyNumberFormat="1" applyFont="1" applyFill="1" applyBorder="1" applyAlignment="1">
      <alignment horizontal="right" vertical="center" wrapText="1"/>
      <protection/>
    </xf>
    <xf numFmtId="3" fontId="84" fillId="0" borderId="93" xfId="0" applyNumberFormat="1" applyFont="1" applyFill="1" applyBorder="1" applyAlignment="1">
      <alignment/>
    </xf>
    <xf numFmtId="3" fontId="4" fillId="0" borderId="167" xfId="0" applyNumberFormat="1" applyFont="1" applyFill="1" applyBorder="1" applyAlignment="1">
      <alignment horizontal="right" vertical="center"/>
    </xf>
    <xf numFmtId="3" fontId="2" fillId="0" borderId="168" xfId="0" applyNumberFormat="1" applyFont="1" applyFill="1" applyBorder="1" applyAlignment="1">
      <alignment/>
    </xf>
    <xf numFmtId="3" fontId="4" fillId="0" borderId="168" xfId="0" applyNumberFormat="1" applyFont="1" applyFill="1" applyBorder="1" applyAlignment="1">
      <alignment horizontal="right"/>
    </xf>
    <xf numFmtId="3" fontId="2" fillId="0" borderId="168" xfId="0" applyNumberFormat="1" applyFont="1" applyFill="1" applyBorder="1" applyAlignment="1">
      <alignment horizontal="right"/>
    </xf>
    <xf numFmtId="3" fontId="2" fillId="0" borderId="168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3" fontId="2" fillId="0" borderId="63" xfId="0" applyNumberFormat="1" applyFont="1" applyFill="1" applyBorder="1" applyAlignment="1">
      <alignment horizontal="right" vertical="center" textRotation="180"/>
    </xf>
    <xf numFmtId="3" fontId="4" fillId="0" borderId="169" xfId="0" applyNumberFormat="1" applyFont="1" applyFill="1" applyBorder="1" applyAlignment="1">
      <alignment horizontal="right" vertical="center"/>
    </xf>
    <xf numFmtId="3" fontId="2" fillId="0" borderId="83" xfId="0" applyNumberFormat="1" applyFont="1" applyFill="1" applyBorder="1" applyAlignment="1">
      <alignment horizontal="right" vertical="center"/>
    </xf>
    <xf numFmtId="3" fontId="92" fillId="0" borderId="20" xfId="127" applyNumberFormat="1" applyFont="1" applyFill="1" applyBorder="1" applyAlignment="1">
      <alignment horizontal="right" vertical="center"/>
      <protection/>
    </xf>
    <xf numFmtId="3" fontId="92" fillId="0" borderId="107" xfId="127" applyNumberFormat="1" applyFont="1" applyFill="1" applyBorder="1" applyAlignment="1">
      <alignment horizontal="right" vertical="center"/>
      <protection/>
    </xf>
    <xf numFmtId="0" fontId="92" fillId="0" borderId="19" xfId="127" applyFont="1" applyFill="1" applyBorder="1" applyAlignment="1">
      <alignment horizontal="center" vertical="center"/>
      <protection/>
    </xf>
    <xf numFmtId="0" fontId="92" fillId="0" borderId="20" xfId="127" applyFont="1" applyFill="1" applyBorder="1" applyAlignment="1">
      <alignment horizontal="center" vertical="top"/>
      <protection/>
    </xf>
    <xf numFmtId="3" fontId="92" fillId="0" borderId="20" xfId="119" applyNumberFormat="1" applyFont="1" applyFill="1" applyBorder="1" applyAlignment="1">
      <alignment horizontal="right" vertical="center"/>
      <protection/>
    </xf>
    <xf numFmtId="0" fontId="92" fillId="0" borderId="43" xfId="127" applyFont="1" applyFill="1" applyBorder="1" applyAlignment="1">
      <alignment horizontal="center" vertical="center" wrapText="1"/>
      <protection/>
    </xf>
    <xf numFmtId="3" fontId="92" fillId="0" borderId="93" xfId="127" applyNumberFormat="1" applyFont="1" applyFill="1" applyBorder="1" applyAlignment="1">
      <alignment horizontal="right" vertical="center"/>
      <protection/>
    </xf>
    <xf numFmtId="3" fontId="92" fillId="0" borderId="105" xfId="127" applyNumberFormat="1" applyFont="1" applyFill="1" applyBorder="1" applyAlignment="1">
      <alignment horizontal="right" vertical="center"/>
      <protection/>
    </xf>
    <xf numFmtId="0" fontId="92" fillId="0" borderId="0" xfId="127" applyFont="1" applyFill="1" applyBorder="1" applyAlignment="1">
      <alignment vertical="center"/>
      <protection/>
    </xf>
    <xf numFmtId="0" fontId="92" fillId="0" borderId="0" xfId="127" applyFont="1" applyFill="1" applyBorder="1">
      <alignment/>
      <protection/>
    </xf>
    <xf numFmtId="3" fontId="92" fillId="0" borderId="93" xfId="119" applyNumberFormat="1" applyFont="1" applyFill="1" applyBorder="1" applyAlignment="1">
      <alignment horizontal="right" vertical="center" wrapText="1"/>
      <protection/>
    </xf>
    <xf numFmtId="3" fontId="92" fillId="0" borderId="20" xfId="119" applyNumberFormat="1" applyFont="1" applyFill="1" applyBorder="1" applyAlignment="1">
      <alignment horizontal="right" vertical="center" wrapText="1"/>
      <protection/>
    </xf>
    <xf numFmtId="3" fontId="92" fillId="0" borderId="107" xfId="119" applyNumberFormat="1" applyFont="1" applyFill="1" applyBorder="1" applyAlignment="1">
      <alignment horizontal="right" vertical="center" wrapText="1"/>
      <protection/>
    </xf>
    <xf numFmtId="0" fontId="92" fillId="0" borderId="20" xfId="127" applyFont="1" applyFill="1" applyBorder="1" applyAlignment="1">
      <alignment horizontal="center"/>
      <protection/>
    </xf>
    <xf numFmtId="3" fontId="93" fillId="0" borderId="20" xfId="0" applyNumberFormat="1" applyFont="1" applyFill="1" applyBorder="1" applyAlignment="1">
      <alignment vertical="center"/>
    </xf>
    <xf numFmtId="3" fontId="12" fillId="0" borderId="38" xfId="0" applyNumberFormat="1" applyFont="1" applyFill="1" applyBorder="1" applyAlignment="1">
      <alignment horizontal="right"/>
    </xf>
    <xf numFmtId="0" fontId="10" fillId="0" borderId="58" xfId="128" applyFont="1" applyBorder="1" applyAlignment="1" applyProtection="1">
      <alignment horizontal="center"/>
      <protection locked="0"/>
    </xf>
    <xf numFmtId="3" fontId="10" fillId="0" borderId="38" xfId="125" applyNumberFormat="1" applyFont="1" applyBorder="1" applyAlignment="1" applyProtection="1">
      <alignment horizontal="center"/>
      <protection locked="0"/>
    </xf>
    <xf numFmtId="0" fontId="10" fillId="0" borderId="38" xfId="127" applyFont="1" applyBorder="1" applyAlignment="1" applyProtection="1">
      <alignment horizontal="left" wrapText="1"/>
      <protection locked="0"/>
    </xf>
    <xf numFmtId="0" fontId="10" fillId="0" borderId="38" xfId="128" applyFont="1" applyBorder="1" applyAlignment="1" applyProtection="1">
      <alignment horizontal="center"/>
      <protection locked="0"/>
    </xf>
    <xf numFmtId="3" fontId="10" fillId="0" borderId="38" xfId="128" applyNumberFormat="1" applyFont="1" applyBorder="1" applyAlignment="1" applyProtection="1">
      <alignment vertical="center"/>
      <protection locked="0"/>
    </xf>
    <xf numFmtId="3" fontId="10" fillId="0" borderId="38" xfId="127" applyNumberFormat="1" applyFont="1" applyBorder="1" applyAlignment="1" applyProtection="1">
      <alignment vertical="center"/>
      <protection locked="0"/>
    </xf>
    <xf numFmtId="3" fontId="10" fillId="0" borderId="114" xfId="127" applyNumberFormat="1" applyFont="1" applyBorder="1" applyAlignment="1" applyProtection="1">
      <alignment horizontal="right" vertical="center"/>
      <protection locked="0"/>
    </xf>
    <xf numFmtId="3" fontId="10" fillId="0" borderId="117" xfId="127" applyNumberFormat="1" applyFont="1" applyBorder="1" applyAlignment="1" applyProtection="1">
      <alignment horizontal="right"/>
      <protection locked="0"/>
    </xf>
    <xf numFmtId="0" fontId="10" fillId="0" borderId="41" xfId="128" applyFont="1" applyBorder="1" applyAlignment="1" applyProtection="1">
      <alignment horizontal="center"/>
      <protection locked="0"/>
    </xf>
    <xf numFmtId="0" fontId="10" fillId="0" borderId="99" xfId="127" applyFont="1" applyBorder="1" applyAlignment="1" applyProtection="1">
      <alignment horizontal="left" wrapText="1"/>
      <protection locked="0"/>
    </xf>
    <xf numFmtId="0" fontId="10" fillId="0" borderId="99" xfId="128" applyFont="1" applyBorder="1" applyAlignment="1" applyProtection="1">
      <alignment horizontal="center"/>
      <protection locked="0"/>
    </xf>
    <xf numFmtId="3" fontId="10" fillId="0" borderId="99" xfId="128" applyNumberFormat="1" applyFont="1" applyBorder="1" applyAlignment="1" applyProtection="1">
      <alignment vertical="center"/>
      <protection locked="0"/>
    </xf>
    <xf numFmtId="3" fontId="10" fillId="0" borderId="99" xfId="127" applyNumberFormat="1" applyFont="1" applyBorder="1" applyAlignment="1" applyProtection="1">
      <alignment vertical="center"/>
      <protection locked="0"/>
    </xf>
    <xf numFmtId="3" fontId="10" fillId="0" borderId="170" xfId="127" applyNumberFormat="1" applyFont="1" applyBorder="1" applyAlignment="1" applyProtection="1">
      <alignment horizontal="right" vertical="center"/>
      <protection locked="0"/>
    </xf>
    <xf numFmtId="3" fontId="10" fillId="0" borderId="130" xfId="127" applyNumberFormat="1" applyFont="1" applyBorder="1" applyAlignment="1" applyProtection="1">
      <alignment horizontal="right"/>
      <protection locked="0"/>
    </xf>
    <xf numFmtId="3" fontId="10" fillId="0" borderId="99" xfId="125" applyNumberFormat="1" applyFont="1" applyBorder="1" applyAlignment="1" applyProtection="1">
      <alignment horizontal="center" vertical="top"/>
      <protection locked="0"/>
    </xf>
    <xf numFmtId="0" fontId="10" fillId="0" borderId="0" xfId="127" applyFont="1" applyBorder="1" applyAlignment="1" applyProtection="1">
      <alignment horizontal="left" wrapText="1"/>
      <protection locked="0"/>
    </xf>
    <xf numFmtId="3" fontId="12" fillId="0" borderId="20" xfId="127" applyNumberFormat="1" applyFont="1" applyFill="1" applyBorder="1" applyAlignment="1">
      <alignment horizontal="right" vertical="center"/>
      <protection/>
    </xf>
    <xf numFmtId="3" fontId="10" fillId="0" borderId="24" xfId="127" applyNumberFormat="1" applyFont="1" applyFill="1" applyBorder="1" applyAlignment="1">
      <alignment horizontal="right" vertical="center"/>
      <protection/>
    </xf>
    <xf numFmtId="3" fontId="10" fillId="0" borderId="22" xfId="127" applyNumberFormat="1" applyFont="1" applyFill="1" applyBorder="1" applyAlignment="1">
      <alignment horizontal="right" vertical="center"/>
      <protection/>
    </xf>
    <xf numFmtId="3" fontId="92" fillId="0" borderId="22" xfId="127" applyNumberFormat="1" applyFont="1" applyFill="1" applyBorder="1" applyAlignment="1">
      <alignment horizontal="right" vertical="center"/>
      <protection/>
    </xf>
    <xf numFmtId="3" fontId="4" fillId="0" borderId="109" xfId="119" applyNumberFormat="1" applyFont="1" applyFill="1" applyBorder="1" applyAlignment="1">
      <alignment horizontal="right" wrapText="1"/>
      <protection/>
    </xf>
    <xf numFmtId="3" fontId="2" fillId="0" borderId="41" xfId="117" applyNumberFormat="1" applyFont="1" applyFill="1" applyBorder="1" applyAlignment="1">
      <alignment vertical="center" wrapText="1"/>
      <protection/>
    </xf>
    <xf numFmtId="3" fontId="2" fillId="0" borderId="40" xfId="0" applyNumberFormat="1" applyFont="1" applyFill="1" applyBorder="1" applyAlignment="1">
      <alignment horizontal="right" vertical="center" wrapText="1"/>
    </xf>
    <xf numFmtId="3" fontId="2" fillId="0" borderId="0" xfId="127" applyNumberFormat="1" applyFont="1" applyFill="1" applyBorder="1" applyAlignment="1">
      <alignment horizontal="right"/>
      <protection/>
    </xf>
    <xf numFmtId="0" fontId="2" fillId="0" borderId="0" xfId="128" applyFont="1" applyFill="1" applyBorder="1" applyAlignment="1">
      <alignment horizontal="left"/>
      <protection/>
    </xf>
    <xf numFmtId="3" fontId="2" fillId="0" borderId="109" xfId="119" applyNumberFormat="1" applyFont="1" applyFill="1" applyBorder="1" applyAlignment="1">
      <alignment horizontal="right"/>
      <protection/>
    </xf>
    <xf numFmtId="0" fontId="2" fillId="0" borderId="109" xfId="119" applyFont="1" applyFill="1" applyBorder="1" applyAlignment="1">
      <alignment wrapText="1"/>
      <protection/>
    </xf>
    <xf numFmtId="3" fontId="2" fillId="0" borderId="20" xfId="127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 horizontal="left" wrapText="1"/>
    </xf>
    <xf numFmtId="3" fontId="2" fillId="0" borderId="16" xfId="116" applyNumberFormat="1" applyFont="1" applyFill="1" applyBorder="1" applyAlignment="1">
      <alignment horizontal="center" vertical="center" wrapText="1"/>
      <protection/>
    </xf>
    <xf numFmtId="3" fontId="84" fillId="0" borderId="22" xfId="0" applyNumberFormat="1" applyFont="1" applyFill="1" applyBorder="1" applyAlignment="1">
      <alignment horizontal="center"/>
    </xf>
    <xf numFmtId="3" fontId="10" fillId="0" borderId="24" xfId="127" applyNumberFormat="1" applyFont="1" applyFill="1" applyBorder="1" applyAlignment="1" applyProtection="1">
      <alignment horizontal="right" vertical="center"/>
      <protection locked="0"/>
    </xf>
    <xf numFmtId="3" fontId="2" fillId="0" borderId="0" xfId="127" applyNumberFormat="1" applyFont="1" applyFill="1" applyBorder="1" applyAlignment="1">
      <alignment horizontal="right"/>
      <protection/>
    </xf>
    <xf numFmtId="3" fontId="84" fillId="0" borderId="137" xfId="0" applyNumberFormat="1" applyFont="1" applyFill="1" applyBorder="1" applyAlignment="1">
      <alignment/>
    </xf>
    <xf numFmtId="3" fontId="2" fillId="0" borderId="107" xfId="117" applyNumberFormat="1" applyFont="1" applyFill="1" applyBorder="1" applyAlignment="1">
      <alignment horizontal="center" vertical="center"/>
      <protection/>
    </xf>
    <xf numFmtId="3" fontId="90" fillId="0" borderId="22" xfId="117" applyNumberFormat="1" applyFont="1" applyFill="1" applyBorder="1" applyAlignment="1">
      <alignment horizontal="center" vertical="center"/>
      <protection/>
    </xf>
    <xf numFmtId="3" fontId="90" fillId="0" borderId="171" xfId="117" applyNumberFormat="1" applyFont="1" applyFill="1" applyBorder="1" applyAlignment="1">
      <alignment horizontal="center" vertical="center"/>
      <protection/>
    </xf>
    <xf numFmtId="3" fontId="13" fillId="12" borderId="20" xfId="117" applyNumberFormat="1" applyFont="1" applyFill="1" applyBorder="1" applyAlignment="1">
      <alignment wrapText="1"/>
      <protection/>
    </xf>
    <xf numFmtId="3" fontId="84" fillId="12" borderId="23" xfId="117" applyNumberFormat="1" applyFont="1" applyFill="1" applyBorder="1" applyAlignment="1">
      <alignment wrapText="1"/>
      <protection/>
    </xf>
    <xf numFmtId="3" fontId="12" fillId="0" borderId="38" xfId="0" applyNumberFormat="1" applyFont="1" applyFill="1" applyBorder="1" applyAlignment="1">
      <alignment vertical="center"/>
    </xf>
    <xf numFmtId="3" fontId="2" fillId="0" borderId="114" xfId="127" applyNumberFormat="1" applyFont="1" applyFill="1" applyBorder="1" applyAlignment="1">
      <alignment horizontal="right"/>
      <protection/>
    </xf>
    <xf numFmtId="3" fontId="2" fillId="0" borderId="22" xfId="119" applyNumberFormat="1" applyFont="1" applyFill="1" applyBorder="1" applyAlignment="1">
      <alignment horizontal="right"/>
      <protection/>
    </xf>
    <xf numFmtId="3" fontId="89" fillId="0" borderId="24" xfId="127" applyNumberFormat="1" applyFont="1" applyFill="1" applyBorder="1" applyAlignment="1">
      <alignment horizontal="right"/>
      <protection/>
    </xf>
    <xf numFmtId="3" fontId="88" fillId="0" borderId="22" xfId="127" applyNumberFormat="1" applyFont="1" applyFill="1" applyBorder="1" applyAlignment="1">
      <alignment horizontal="right"/>
      <protection/>
    </xf>
    <xf numFmtId="3" fontId="88" fillId="0" borderId="114" xfId="127" applyNumberFormat="1" applyFont="1" applyFill="1" applyBorder="1" applyAlignment="1">
      <alignment horizontal="right"/>
      <protection/>
    </xf>
    <xf numFmtId="3" fontId="4" fillId="0" borderId="22" xfId="127" applyNumberFormat="1" applyFont="1" applyFill="1" applyBorder="1" applyAlignment="1">
      <alignment horizontal="right"/>
      <protection/>
    </xf>
    <xf numFmtId="3" fontId="4" fillId="0" borderId="172" xfId="127" applyNumberFormat="1" applyFont="1" applyFill="1" applyBorder="1" applyAlignment="1">
      <alignment horizontal="right"/>
      <protection/>
    </xf>
    <xf numFmtId="3" fontId="4" fillId="0" borderId="173" xfId="127" applyNumberFormat="1" applyFont="1" applyFill="1" applyBorder="1" applyAlignment="1">
      <alignment horizontal="right"/>
      <protection/>
    </xf>
    <xf numFmtId="3" fontId="2" fillId="0" borderId="123" xfId="127" applyNumberFormat="1" applyFont="1" applyFill="1" applyBorder="1" applyAlignment="1">
      <alignment horizontal="right"/>
      <protection/>
    </xf>
    <xf numFmtId="3" fontId="4" fillId="0" borderId="125" xfId="127" applyNumberFormat="1" applyFont="1" applyFill="1" applyBorder="1" applyAlignment="1">
      <alignment horizontal="right"/>
      <protection/>
    </xf>
    <xf numFmtId="3" fontId="4" fillId="0" borderId="174" xfId="127" applyNumberFormat="1" applyFont="1" applyFill="1" applyBorder="1" applyAlignment="1">
      <alignment horizontal="right"/>
      <protection/>
    </xf>
    <xf numFmtId="3" fontId="4" fillId="0" borderId="118" xfId="127" applyNumberFormat="1" applyFont="1" applyFill="1" applyBorder="1" applyAlignment="1">
      <alignment horizontal="right"/>
      <protection/>
    </xf>
    <xf numFmtId="3" fontId="2" fillId="0" borderId="175" xfId="127" applyNumberFormat="1" applyFont="1" applyFill="1" applyBorder="1" applyAlignment="1">
      <alignment horizontal="right"/>
      <protection/>
    </xf>
    <xf numFmtId="3" fontId="2" fillId="0" borderId="94" xfId="127" applyNumberFormat="1" applyFont="1" applyFill="1" applyBorder="1" applyAlignment="1">
      <alignment horizontal="right"/>
      <protection/>
    </xf>
    <xf numFmtId="3" fontId="2" fillId="0" borderId="112" xfId="127" applyNumberFormat="1" applyFont="1" applyFill="1" applyBorder="1" applyAlignment="1">
      <alignment horizontal="right"/>
      <protection/>
    </xf>
    <xf numFmtId="3" fontId="4" fillId="0" borderId="18" xfId="127" applyNumberFormat="1" applyFont="1" applyFill="1" applyBorder="1" applyAlignment="1">
      <alignment horizontal="right"/>
      <protection/>
    </xf>
    <xf numFmtId="3" fontId="4" fillId="0" borderId="145" xfId="119" applyNumberFormat="1" applyFont="1" applyFill="1" applyBorder="1" applyAlignment="1">
      <alignment horizontal="right"/>
      <protection/>
    </xf>
    <xf numFmtId="3" fontId="89" fillId="0" borderId="111" xfId="119" applyNumberFormat="1" applyFont="1" applyFill="1" applyBorder="1" applyAlignment="1">
      <alignment horizontal="right" wrapText="1"/>
      <protection/>
    </xf>
    <xf numFmtId="3" fontId="4" fillId="0" borderId="25" xfId="119" applyNumberFormat="1" applyFont="1" applyFill="1" applyBorder="1" applyAlignment="1">
      <alignment horizontal="center" vertical="center" wrapText="1"/>
      <protection/>
    </xf>
    <xf numFmtId="3" fontId="4" fillId="0" borderId="23" xfId="119" applyNumberFormat="1" applyFont="1" applyFill="1" applyBorder="1" applyAlignment="1">
      <alignment horizontal="center" vertical="center" wrapText="1"/>
      <protection/>
    </xf>
    <xf numFmtId="3" fontId="4" fillId="0" borderId="57" xfId="119" applyNumberFormat="1" applyFont="1" applyFill="1" applyBorder="1" applyAlignment="1">
      <alignment horizontal="right" vertical="center" wrapText="1"/>
      <protection/>
    </xf>
    <xf numFmtId="3" fontId="88" fillId="0" borderId="99" xfId="119" applyNumberFormat="1" applyFont="1" applyFill="1" applyBorder="1" applyAlignment="1">
      <alignment horizontal="right" vertical="center" wrapText="1"/>
      <protection/>
    </xf>
    <xf numFmtId="3" fontId="88" fillId="0" borderId="23" xfId="119" applyNumberFormat="1" applyFont="1" applyFill="1" applyBorder="1" applyAlignment="1">
      <alignment horizontal="right" vertical="center" wrapText="1"/>
      <protection/>
    </xf>
    <xf numFmtId="3" fontId="4" fillId="0" borderId="95" xfId="119" applyNumberFormat="1" applyFont="1" applyFill="1" applyBorder="1" applyAlignment="1">
      <alignment horizontal="right" vertical="center" wrapText="1"/>
      <protection/>
    </xf>
    <xf numFmtId="3" fontId="2" fillId="0" borderId="57" xfId="119" applyNumberFormat="1" applyFont="1" applyFill="1" applyBorder="1" applyAlignment="1">
      <alignment horizontal="right" vertical="center" wrapText="1"/>
      <protection/>
    </xf>
    <xf numFmtId="3" fontId="88" fillId="0" borderId="123" xfId="119" applyNumberFormat="1" applyFont="1" applyFill="1" applyBorder="1" applyAlignment="1">
      <alignment horizontal="right" vertical="center" wrapText="1"/>
      <protection/>
    </xf>
    <xf numFmtId="3" fontId="88" fillId="0" borderId="139" xfId="119" applyNumberFormat="1" applyFont="1" applyFill="1" applyBorder="1" applyAlignment="1">
      <alignment horizontal="right" vertical="center" wrapText="1"/>
      <protection/>
    </xf>
    <xf numFmtId="3" fontId="4" fillId="0" borderId="104" xfId="119" applyNumberFormat="1" applyFont="1" applyFill="1" applyBorder="1" applyAlignment="1">
      <alignment horizontal="right" vertical="center" wrapText="1"/>
      <protection/>
    </xf>
    <xf numFmtId="0" fontId="4" fillId="0" borderId="145" xfId="119" applyFont="1" applyFill="1" applyBorder="1" applyAlignment="1">
      <alignment horizontal="center"/>
      <protection/>
    </xf>
    <xf numFmtId="0" fontId="4" fillId="0" borderId="99" xfId="119" applyFont="1" applyFill="1" applyBorder="1" applyAlignment="1">
      <alignment horizontal="center"/>
      <protection/>
    </xf>
    <xf numFmtId="0" fontId="10" fillId="0" borderId="20" xfId="127" applyFont="1" applyBorder="1" applyAlignment="1" applyProtection="1">
      <alignment horizontal="left" shrinkToFit="1"/>
      <protection locked="0"/>
    </xf>
    <xf numFmtId="3" fontId="10" fillId="0" borderId="57" xfId="127" applyNumberFormat="1" applyFont="1" applyBorder="1" applyAlignment="1" applyProtection="1">
      <alignment horizontal="right" vertical="top"/>
      <protection locked="0"/>
    </xf>
    <xf numFmtId="3" fontId="84" fillId="0" borderId="20" xfId="119" applyNumberFormat="1" applyFont="1" applyFill="1" applyBorder="1" applyAlignment="1">
      <alignment horizontal="right" wrapText="1"/>
      <protection/>
    </xf>
    <xf numFmtId="3" fontId="41" fillId="0" borderId="41" xfId="117" applyNumberFormat="1" applyFont="1" applyFill="1" applyBorder="1" applyAlignment="1">
      <alignment horizontal="left" wrapText="1"/>
      <protection/>
    </xf>
    <xf numFmtId="3" fontId="42" fillId="0" borderId="19" xfId="117" applyNumberFormat="1" applyFont="1" applyFill="1" applyBorder="1" applyAlignment="1">
      <alignment wrapText="1"/>
      <protection/>
    </xf>
    <xf numFmtId="3" fontId="13" fillId="0" borderId="20" xfId="119" applyNumberFormat="1" applyFont="1" applyFill="1" applyBorder="1" applyAlignment="1">
      <alignment horizontal="right" vertical="center" wrapText="1"/>
      <protection/>
    </xf>
    <xf numFmtId="3" fontId="13" fillId="0" borderId="20" xfId="127" applyNumberFormat="1" applyFont="1" applyFill="1" applyBorder="1" applyAlignment="1">
      <alignment horizontal="right" vertical="center"/>
      <protection/>
    </xf>
    <xf numFmtId="3" fontId="13" fillId="0" borderId="93" xfId="119" applyNumberFormat="1" applyFont="1" applyFill="1" applyBorder="1" applyAlignment="1">
      <alignment horizontal="right" vertical="center" wrapText="1"/>
      <protection/>
    </xf>
    <xf numFmtId="3" fontId="10" fillId="0" borderId="23" xfId="125" applyNumberFormat="1" applyFont="1" applyBorder="1" applyAlignment="1" applyProtection="1">
      <alignment horizontal="center" vertical="top"/>
      <protection locked="0"/>
    </xf>
    <xf numFmtId="3" fontId="2" fillId="0" borderId="38" xfId="117" applyNumberFormat="1" applyFont="1" applyFill="1" applyBorder="1" applyAlignment="1">
      <alignment horizontal="center" vertical="center"/>
      <protection/>
    </xf>
    <xf numFmtId="3" fontId="2" fillId="0" borderId="22" xfId="117" applyNumberFormat="1" applyFont="1" applyFill="1" applyBorder="1" applyAlignment="1">
      <alignment horizontal="center" vertical="center"/>
      <protection/>
    </xf>
    <xf numFmtId="3" fontId="2" fillId="0" borderId="171" xfId="117" applyNumberFormat="1" applyFont="1" applyFill="1" applyBorder="1" applyAlignment="1">
      <alignment horizontal="center" vertical="center"/>
      <protection/>
    </xf>
    <xf numFmtId="3" fontId="84" fillId="0" borderId="172" xfId="0" applyNumberFormat="1" applyFont="1" applyFill="1" applyBorder="1" applyAlignment="1">
      <alignment horizontal="center"/>
    </xf>
    <xf numFmtId="3" fontId="84" fillId="0" borderId="114" xfId="0" applyNumberFormat="1" applyFont="1" applyFill="1" applyBorder="1" applyAlignment="1">
      <alignment horizontal="center"/>
    </xf>
    <xf numFmtId="3" fontId="13" fillId="0" borderId="176" xfId="125" applyNumberFormat="1" applyFont="1" applyFill="1" applyBorder="1" applyAlignment="1">
      <alignment horizontal="left"/>
      <protection/>
    </xf>
    <xf numFmtId="3" fontId="13" fillId="0" borderId="176" xfId="125" applyNumberFormat="1" applyFont="1" applyFill="1" applyBorder="1" applyAlignment="1">
      <alignment horizontal="left" wrapText="1"/>
      <protection/>
    </xf>
    <xf numFmtId="3" fontId="12" fillId="0" borderId="20" xfId="125" applyNumberFormat="1" applyFont="1" applyFill="1" applyBorder="1" applyAlignment="1">
      <alignment wrapText="1"/>
      <protection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3" fontId="4" fillId="0" borderId="12" xfId="116" applyNumberFormat="1" applyFont="1" applyFill="1" applyBorder="1" applyAlignment="1">
      <alignment horizontal="right" wrapText="1"/>
      <protection/>
    </xf>
    <xf numFmtId="3" fontId="2" fillId="0" borderId="13" xfId="0" applyNumberFormat="1" applyFont="1" applyFill="1" applyBorder="1" applyAlignment="1">
      <alignment horizontal="right"/>
    </xf>
    <xf numFmtId="3" fontId="4" fillId="0" borderId="87" xfId="116" applyNumberFormat="1" applyFont="1" applyFill="1" applyBorder="1">
      <alignment/>
      <protection/>
    </xf>
    <xf numFmtId="3" fontId="16" fillId="0" borderId="20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3" fontId="16" fillId="0" borderId="20" xfId="0" applyNumberFormat="1" applyFont="1" applyFill="1" applyBorder="1" applyAlignment="1">
      <alignment vertical="center"/>
    </xf>
    <xf numFmtId="3" fontId="16" fillId="0" borderId="38" xfId="0" applyNumberFormat="1" applyFont="1" applyFill="1" applyBorder="1" applyAlignment="1">
      <alignment vertical="center"/>
    </xf>
    <xf numFmtId="3" fontId="16" fillId="0" borderId="20" xfId="0" applyNumberFormat="1" applyFont="1" applyFill="1" applyBorder="1" applyAlignment="1">
      <alignment vertical="top"/>
    </xf>
    <xf numFmtId="3" fontId="13" fillId="0" borderId="38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 vertical="top"/>
    </xf>
    <xf numFmtId="3" fontId="13" fillId="0" borderId="39" xfId="0" applyNumberFormat="1" applyFont="1" applyFill="1" applyBorder="1" applyAlignment="1">
      <alignment vertical="top"/>
    </xf>
    <xf numFmtId="3" fontId="13" fillId="0" borderId="39" xfId="0" applyNumberFormat="1" applyFont="1" applyFill="1" applyBorder="1" applyAlignment="1">
      <alignment vertical="center"/>
    </xf>
    <xf numFmtId="0" fontId="6" fillId="0" borderId="0" xfId="118" applyFont="1" applyAlignment="1">
      <alignment horizontal="center" vertical="center"/>
      <protection/>
    </xf>
    <xf numFmtId="3" fontId="2" fillId="0" borderId="0" xfId="118" applyNumberFormat="1" applyFont="1" applyAlignment="1">
      <alignment horizontal="right" vertical="center"/>
      <protection/>
    </xf>
    <xf numFmtId="0" fontId="2" fillId="0" borderId="0" xfId="118" applyFont="1" applyAlignment="1">
      <alignment vertical="center"/>
      <protection/>
    </xf>
    <xf numFmtId="3" fontId="4" fillId="0" borderId="0" xfId="118" applyNumberFormat="1" applyFont="1" applyAlignment="1">
      <alignment horizontal="center"/>
      <protection/>
    </xf>
    <xf numFmtId="0" fontId="2" fillId="0" borderId="0" xfId="118" applyFont="1">
      <alignment/>
      <protection/>
    </xf>
    <xf numFmtId="3" fontId="4" fillId="0" borderId="0" xfId="118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17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4" fillId="0" borderId="86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3" fontId="43" fillId="0" borderId="0" xfId="0" applyNumberFormat="1" applyFont="1" applyAlignment="1">
      <alignment horizontal="right"/>
    </xf>
    <xf numFmtId="10" fontId="43" fillId="0" borderId="126" xfId="138" applyNumberFormat="1" applyFont="1" applyBorder="1" applyAlignment="1">
      <alignment/>
    </xf>
    <xf numFmtId="3" fontId="4" fillId="0" borderId="0" xfId="138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4" fillId="0" borderId="10" xfId="118" applyFont="1" applyBorder="1" applyAlignment="1">
      <alignment horizontal="left" vertical="center" wrapText="1" indent="2"/>
      <protection/>
    </xf>
    <xf numFmtId="3" fontId="44" fillId="0" borderId="0" xfId="118" applyNumberFormat="1" applyFont="1" applyAlignment="1">
      <alignment vertical="center"/>
      <protection/>
    </xf>
    <xf numFmtId="10" fontId="44" fillId="0" borderId="126" xfId="138" applyNumberFormat="1" applyFont="1" applyBorder="1" applyAlignment="1">
      <alignment vertical="center"/>
    </xf>
    <xf numFmtId="3" fontId="2" fillId="0" borderId="0" xfId="138" applyNumberFormat="1" applyFont="1" applyBorder="1" applyAlignment="1">
      <alignment vertical="center"/>
    </xf>
    <xf numFmtId="0" fontId="43" fillId="0" borderId="10" xfId="118" applyFont="1" applyBorder="1" applyAlignment="1">
      <alignment wrapText="1"/>
      <protection/>
    </xf>
    <xf numFmtId="3" fontId="43" fillId="0" borderId="0" xfId="118" applyNumberFormat="1" applyFont="1">
      <alignment/>
      <protection/>
    </xf>
    <xf numFmtId="10" fontId="43" fillId="0" borderId="126" xfId="138" applyNumberFormat="1" applyFont="1" applyFill="1" applyBorder="1" applyAlignment="1">
      <alignment/>
    </xf>
    <xf numFmtId="3" fontId="4" fillId="0" borderId="0" xfId="138" applyNumberFormat="1" applyFont="1" applyFill="1" applyBorder="1" applyAlignment="1">
      <alignment/>
    </xf>
    <xf numFmtId="0" fontId="4" fillId="0" borderId="0" xfId="118" applyFont="1">
      <alignment/>
      <protection/>
    </xf>
    <xf numFmtId="10" fontId="44" fillId="0" borderId="126" xfId="138" applyNumberFormat="1" applyFont="1" applyFill="1" applyBorder="1" applyAlignment="1">
      <alignment vertical="center"/>
    </xf>
    <xf numFmtId="3" fontId="2" fillId="0" borderId="0" xfId="138" applyNumberFormat="1" applyFont="1" applyFill="1" applyBorder="1" applyAlignment="1">
      <alignment vertical="center"/>
    </xf>
    <xf numFmtId="0" fontId="4" fillId="0" borderId="15" xfId="118" applyFont="1" applyBorder="1" applyAlignment="1">
      <alignment horizontal="center" vertical="center" wrapText="1"/>
      <protection/>
    </xf>
    <xf numFmtId="3" fontId="4" fillId="0" borderId="16" xfId="118" applyNumberFormat="1" applyFont="1" applyBorder="1" applyAlignment="1">
      <alignment vertical="center"/>
      <protection/>
    </xf>
    <xf numFmtId="10" fontId="4" fillId="0" borderId="178" xfId="138" applyNumberFormat="1" applyFont="1" applyBorder="1" applyAlignment="1">
      <alignment vertical="center"/>
    </xf>
    <xf numFmtId="3" fontId="4" fillId="0" borderId="0" xfId="138" applyNumberFormat="1" applyFont="1" applyBorder="1" applyAlignment="1">
      <alignment vertical="center"/>
    </xf>
    <xf numFmtId="0" fontId="4" fillId="0" borderId="0" xfId="118" applyFont="1" applyAlignment="1">
      <alignment vertical="center"/>
      <protection/>
    </xf>
    <xf numFmtId="0" fontId="2" fillId="0" borderId="0" xfId="118" applyFont="1" applyAlignment="1">
      <alignment wrapText="1"/>
      <protection/>
    </xf>
    <xf numFmtId="3" fontId="2" fillId="0" borderId="0" xfId="118" applyNumberFormat="1" applyFont="1">
      <alignment/>
      <protection/>
    </xf>
    <xf numFmtId="3" fontId="13" fillId="0" borderId="117" xfId="0" applyNumberFormat="1" applyFont="1" applyFill="1" applyBorder="1" applyAlignment="1">
      <alignment/>
    </xf>
    <xf numFmtId="3" fontId="13" fillId="0" borderId="135" xfId="0" applyNumberFormat="1" applyFont="1" applyFill="1" applyBorder="1" applyAlignment="1">
      <alignment horizontal="center" vertical="center"/>
    </xf>
    <xf numFmtId="3" fontId="13" fillId="0" borderId="112" xfId="0" applyNumberFormat="1" applyFont="1" applyFill="1" applyBorder="1" applyAlignment="1">
      <alignment horizontal="center" vertical="center"/>
    </xf>
    <xf numFmtId="3" fontId="84" fillId="0" borderId="135" xfId="0" applyNumberFormat="1" applyFont="1" applyFill="1" applyBorder="1" applyAlignment="1">
      <alignment horizontal="center" vertical="center"/>
    </xf>
    <xf numFmtId="3" fontId="84" fillId="0" borderId="112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right" vertical="center"/>
    </xf>
    <xf numFmtId="3" fontId="84" fillId="0" borderId="111" xfId="0" applyNumberFormat="1" applyFont="1" applyFill="1" applyBorder="1" applyAlignment="1">
      <alignment horizontal="center"/>
    </xf>
    <xf numFmtId="3" fontId="13" fillId="0" borderId="117" xfId="0" applyNumberFormat="1" applyFont="1" applyFill="1" applyBorder="1" applyAlignment="1">
      <alignment horizontal="right" vertical="center"/>
    </xf>
    <xf numFmtId="3" fontId="13" fillId="0" borderId="39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right" vertical="center"/>
    </xf>
    <xf numFmtId="3" fontId="4" fillId="0" borderId="0" xfId="117" applyNumberFormat="1" applyFont="1" applyFill="1" applyAlignment="1">
      <alignment horizontal="center"/>
      <protection/>
    </xf>
    <xf numFmtId="3" fontId="4" fillId="0" borderId="0" xfId="117" applyNumberFormat="1" applyFont="1" applyFill="1" applyAlignment="1">
      <alignment horizontal="center" vertical="center"/>
      <protection/>
    </xf>
    <xf numFmtId="3" fontId="10" fillId="0" borderId="128" xfId="127" applyNumberFormat="1" applyFont="1" applyBorder="1" applyAlignment="1" applyProtection="1">
      <alignment horizontal="left"/>
      <protection locked="0"/>
    </xf>
    <xf numFmtId="3" fontId="10" fillId="0" borderId="88" xfId="127" applyNumberFormat="1" applyFont="1" applyBorder="1" applyAlignment="1" applyProtection="1">
      <alignment horizontal="right"/>
      <protection locked="0"/>
    </xf>
    <xf numFmtId="3" fontId="10" fillId="0" borderId="88" xfId="127" applyNumberFormat="1" applyFont="1" applyBorder="1" applyAlignment="1" applyProtection="1">
      <alignment horizontal="left"/>
      <protection locked="0"/>
    </xf>
    <xf numFmtId="3" fontId="10" fillId="0" borderId="88" xfId="127" applyNumberFormat="1" applyFont="1" applyBorder="1" applyAlignment="1" applyProtection="1">
      <alignment horizontal="right" vertical="top"/>
      <protection locked="0"/>
    </xf>
    <xf numFmtId="3" fontId="10" fillId="0" borderId="93" xfId="127" applyNumberFormat="1" applyFont="1" applyBorder="1" applyAlignment="1" applyProtection="1">
      <alignment horizontal="right"/>
      <protection locked="0"/>
    </xf>
    <xf numFmtId="3" fontId="10" fillId="0" borderId="128" xfId="127" applyNumberFormat="1" applyFont="1" applyBorder="1" applyAlignment="1" applyProtection="1">
      <alignment horizontal="right"/>
      <protection locked="0"/>
    </xf>
    <xf numFmtId="3" fontId="10" fillId="0" borderId="20" xfId="127" applyNumberFormat="1" applyFont="1" applyBorder="1" applyAlignment="1" applyProtection="1">
      <alignment horizontal="right"/>
      <protection locked="0"/>
    </xf>
    <xf numFmtId="3" fontId="10" fillId="0" borderId="20" xfId="127" applyNumberFormat="1" applyFont="1" applyBorder="1" applyAlignment="1" applyProtection="1">
      <alignment horizontal="left"/>
      <protection locked="0"/>
    </xf>
    <xf numFmtId="3" fontId="13" fillId="0" borderId="100" xfId="127" applyNumberFormat="1" applyFont="1" applyFill="1" applyBorder="1" applyAlignment="1" applyProtection="1">
      <alignment horizontal="right" vertical="center"/>
      <protection locked="0"/>
    </xf>
    <xf numFmtId="3" fontId="13" fillId="0" borderId="56" xfId="127" applyNumberFormat="1" applyFont="1" applyFill="1" applyBorder="1" applyAlignment="1" applyProtection="1">
      <alignment horizontal="right" vertical="center"/>
      <protection locked="0"/>
    </xf>
    <xf numFmtId="3" fontId="13" fillId="0" borderId="107" xfId="119" applyNumberFormat="1" applyFont="1" applyFill="1" applyBorder="1" applyAlignment="1">
      <alignment horizontal="right" vertical="center" wrapText="1"/>
      <protection/>
    </xf>
    <xf numFmtId="3" fontId="13" fillId="0" borderId="107" xfId="127" applyNumberFormat="1" applyFont="1" applyFill="1" applyBorder="1" applyAlignment="1">
      <alignment horizontal="right" vertical="center"/>
      <protection/>
    </xf>
    <xf numFmtId="3" fontId="13" fillId="0" borderId="20" xfId="119" applyNumberFormat="1" applyFont="1" applyFill="1" applyBorder="1" applyAlignment="1">
      <alignment horizontal="right" wrapText="1"/>
      <protection/>
    </xf>
    <xf numFmtId="3" fontId="4" fillId="0" borderId="23" xfId="119" applyNumberFormat="1" applyFont="1" applyFill="1" applyBorder="1" applyAlignment="1">
      <alignment horizontal="right" vertical="center" wrapText="1"/>
      <protection/>
    </xf>
    <xf numFmtId="3" fontId="4" fillId="0" borderId="123" xfId="119" applyNumberFormat="1" applyFont="1" applyFill="1" applyBorder="1" applyAlignment="1">
      <alignment horizontal="right" vertical="center" wrapText="1"/>
      <protection/>
    </xf>
    <xf numFmtId="3" fontId="13" fillId="0" borderId="109" xfId="125" applyNumberFormat="1" applyFont="1" applyFill="1" applyBorder="1" applyAlignment="1">
      <alignment/>
      <protection/>
    </xf>
    <xf numFmtId="3" fontId="4" fillId="0" borderId="20" xfId="119" applyNumberFormat="1" applyFont="1" applyFill="1" applyBorder="1" applyAlignment="1">
      <alignment horizontal="right" vertical="center" wrapText="1"/>
      <protection/>
    </xf>
    <xf numFmtId="3" fontId="10" fillId="0" borderId="20" xfId="0" applyNumberFormat="1" applyFont="1" applyFill="1" applyBorder="1" applyAlignment="1">
      <alignment horizontal="right" wrapText="1"/>
    </xf>
    <xf numFmtId="3" fontId="13" fillId="0" borderId="20" xfId="117" applyNumberFormat="1" applyFont="1" applyFill="1" applyBorder="1" applyAlignment="1">
      <alignment horizontal="right"/>
      <protection/>
    </xf>
    <xf numFmtId="3" fontId="13" fillId="0" borderId="22" xfId="117" applyNumberFormat="1" applyFont="1" applyFill="1" applyBorder="1" applyAlignment="1">
      <alignment horizontal="right"/>
      <protection/>
    </xf>
    <xf numFmtId="3" fontId="13" fillId="0" borderId="43" xfId="117" applyNumberFormat="1" applyFont="1" applyFill="1" applyBorder="1" applyAlignment="1">
      <alignment horizontal="center"/>
      <protection/>
    </xf>
    <xf numFmtId="3" fontId="13" fillId="0" borderId="88" xfId="117" applyNumberFormat="1" applyFont="1" applyFill="1" applyBorder="1" applyAlignment="1">
      <alignment wrapText="1"/>
      <protection/>
    </xf>
    <xf numFmtId="3" fontId="13" fillId="0" borderId="93" xfId="0" applyNumberFormat="1" applyFont="1" applyFill="1" applyBorder="1" applyAlignment="1">
      <alignment/>
    </xf>
    <xf numFmtId="3" fontId="13" fillId="0" borderId="88" xfId="0" applyNumberFormat="1" applyFont="1" applyFill="1" applyBorder="1" applyAlignment="1">
      <alignment horizontal="right"/>
    </xf>
    <xf numFmtId="3" fontId="4" fillId="0" borderId="111" xfId="119" applyNumberFormat="1" applyFont="1" applyFill="1" applyBorder="1" applyAlignment="1">
      <alignment horizontal="right" wrapText="1"/>
      <protection/>
    </xf>
    <xf numFmtId="3" fontId="13" fillId="0" borderId="20" xfId="0" applyNumberFormat="1" applyFont="1" applyFill="1" applyBorder="1" applyAlignment="1">
      <alignment horizontal="left" vertical="center"/>
    </xf>
    <xf numFmtId="3" fontId="10" fillId="0" borderId="111" xfId="0" applyNumberFormat="1" applyFont="1" applyFill="1" applyBorder="1" applyAlignment="1">
      <alignment horizontal="center" vertical="center"/>
    </xf>
    <xf numFmtId="3" fontId="2" fillId="0" borderId="79" xfId="120" applyNumberFormat="1" applyFont="1" applyBorder="1" applyAlignment="1">
      <alignment horizontal="center" vertical="center" wrapText="1"/>
      <protection/>
    </xf>
    <xf numFmtId="3" fontId="2" fillId="0" borderId="96" xfId="120" applyNumberFormat="1" applyFont="1" applyBorder="1" applyAlignment="1">
      <alignment horizontal="right" vertical="center" wrapText="1"/>
      <protection/>
    </xf>
    <xf numFmtId="3" fontId="2" fillId="0" borderId="179" xfId="120" applyNumberFormat="1" applyFont="1" applyBorder="1" applyAlignment="1">
      <alignment horizontal="right" vertical="center" wrapText="1"/>
      <protection/>
    </xf>
    <xf numFmtId="3" fontId="2" fillId="0" borderId="38" xfId="120" applyNumberFormat="1" applyFont="1" applyBorder="1" applyAlignment="1">
      <alignment horizontal="center" vertical="center" wrapText="1"/>
      <protection/>
    </xf>
    <xf numFmtId="14" fontId="2" fillId="0" borderId="109" xfId="120" applyNumberFormat="1" applyFont="1" applyBorder="1" applyAlignment="1">
      <alignment horizontal="center" vertical="center" wrapText="1"/>
      <protection/>
    </xf>
    <xf numFmtId="3" fontId="2" fillId="0" borderId="22" xfId="120" applyNumberFormat="1" applyFont="1" applyBorder="1" applyAlignment="1">
      <alignment horizontal="right" vertical="center" wrapText="1"/>
      <protection/>
    </xf>
    <xf numFmtId="3" fontId="2" fillId="0" borderId="96" xfId="120" applyNumberFormat="1" applyFont="1" applyBorder="1" applyAlignment="1">
      <alignment horizontal="center" vertical="center" wrapText="1"/>
      <protection/>
    </xf>
    <xf numFmtId="3" fontId="24" fillId="0" borderId="20" xfId="120" applyNumberFormat="1" applyFont="1" applyBorder="1" applyAlignment="1">
      <alignment horizontal="left"/>
      <protection/>
    </xf>
    <xf numFmtId="3" fontId="4" fillId="0" borderId="140" xfId="120" applyNumberFormat="1" applyFont="1" applyBorder="1" applyAlignment="1">
      <alignment horizontal="right" vertical="center"/>
      <protection/>
    </xf>
    <xf numFmtId="3" fontId="4" fillId="0" borderId="115" xfId="120" applyNumberFormat="1" applyFont="1" applyBorder="1" applyAlignment="1">
      <alignment horizontal="right" vertical="center"/>
      <protection/>
    </xf>
    <xf numFmtId="3" fontId="4" fillId="0" borderId="120" xfId="120" applyNumberFormat="1" applyFont="1" applyBorder="1" applyAlignment="1">
      <alignment horizontal="right" vertical="center"/>
      <protection/>
    </xf>
    <xf numFmtId="3" fontId="13" fillId="0" borderId="107" xfId="0" applyNumberFormat="1" applyFont="1" applyFill="1" applyBorder="1" applyAlignment="1">
      <alignment vertical="center"/>
    </xf>
    <xf numFmtId="3" fontId="10" fillId="0" borderId="20" xfId="125" applyNumberFormat="1" applyFont="1" applyFill="1" applyBorder="1" applyAlignment="1">
      <alignment horizontal="left"/>
      <protection/>
    </xf>
    <xf numFmtId="3" fontId="92" fillId="0" borderId="20" xfId="117" applyNumberFormat="1" applyFont="1" applyFill="1" applyBorder="1">
      <alignment/>
      <protection/>
    </xf>
    <xf numFmtId="3" fontId="13" fillId="0" borderId="20" xfId="117" applyNumberFormat="1" applyFont="1" applyFill="1" applyBorder="1">
      <alignment/>
      <protection/>
    </xf>
    <xf numFmtId="3" fontId="12" fillId="0" borderId="38" xfId="0" applyNumberFormat="1" applyFont="1" applyFill="1" applyBorder="1" applyAlignment="1">
      <alignment vertical="top"/>
    </xf>
    <xf numFmtId="3" fontId="10" fillId="0" borderId="38" xfId="0" applyNumberFormat="1" applyFont="1" applyFill="1" applyBorder="1" applyAlignment="1">
      <alignment horizontal="center"/>
    </xf>
    <xf numFmtId="3" fontId="10" fillId="0" borderId="93" xfId="0" applyNumberFormat="1" applyFont="1" applyFill="1" applyBorder="1" applyAlignment="1">
      <alignment horizontal="center" vertical="center"/>
    </xf>
    <xf numFmtId="3" fontId="10" fillId="0" borderId="88" xfId="125" applyNumberFormat="1" applyFont="1" applyFill="1" applyBorder="1" applyAlignment="1">
      <alignment horizontal="left"/>
      <protection/>
    </xf>
    <xf numFmtId="3" fontId="13" fillId="0" borderId="22" xfId="125" applyNumberFormat="1" applyFont="1" applyFill="1" applyBorder="1" applyAlignment="1">
      <alignment wrapText="1"/>
      <protection/>
    </xf>
    <xf numFmtId="3" fontId="2" fillId="0" borderId="114" xfId="120" applyNumberFormat="1" applyFont="1" applyBorder="1" applyAlignment="1">
      <alignment horizontal="right" vertical="center" wrapText="1"/>
      <protection/>
    </xf>
    <xf numFmtId="3" fontId="24" fillId="0" borderId="93" xfId="120" applyNumberFormat="1" applyFont="1" applyBorder="1" applyAlignment="1">
      <alignment horizontal="left"/>
      <protection/>
    </xf>
    <xf numFmtId="3" fontId="2" fillId="0" borderId="171" xfId="120" applyNumberFormat="1" applyFont="1" applyBorder="1">
      <alignment/>
      <protection/>
    </xf>
    <xf numFmtId="3" fontId="12" fillId="0" borderId="20" xfId="117" applyNumberFormat="1" applyFont="1" applyFill="1" applyBorder="1" applyAlignment="1">
      <alignment horizontal="left" vertical="top" wrapText="1" indent="4"/>
      <protection/>
    </xf>
    <xf numFmtId="3" fontId="12" fillId="0" borderId="93" xfId="119" applyNumberFormat="1" applyFont="1" applyFill="1" applyBorder="1" applyAlignment="1">
      <alignment horizontal="right" vertical="center" wrapText="1"/>
      <protection/>
    </xf>
    <xf numFmtId="3" fontId="4" fillId="0" borderId="88" xfId="119" applyNumberFormat="1" applyFont="1" applyFill="1" applyBorder="1" applyAlignment="1">
      <alignment horizontal="right" wrapText="1"/>
      <protection/>
    </xf>
    <xf numFmtId="0" fontId="28" fillId="0" borderId="128" xfId="119" applyFont="1" applyFill="1" applyBorder="1" applyAlignment="1">
      <alignment horizontal="left"/>
      <protection/>
    </xf>
    <xf numFmtId="0" fontId="25" fillId="0" borderId="93" xfId="119" applyFont="1" applyFill="1" applyBorder="1" applyAlignment="1">
      <alignment horizontal="left"/>
      <protection/>
    </xf>
    <xf numFmtId="0" fontId="2" fillId="0" borderId="93" xfId="119" applyFont="1" applyFill="1" applyBorder="1" applyAlignment="1">
      <alignment wrapText="1"/>
      <protection/>
    </xf>
    <xf numFmtId="0" fontId="2" fillId="0" borderId="58" xfId="127" applyFont="1" applyFill="1" applyBorder="1" applyAlignment="1">
      <alignment horizontal="center"/>
      <protection/>
    </xf>
    <xf numFmtId="3" fontId="2" fillId="0" borderId="107" xfId="127" applyNumberFormat="1" applyFont="1" applyFill="1" applyBorder="1" applyAlignment="1">
      <alignment horizontal="right"/>
      <protection/>
    </xf>
    <xf numFmtId="3" fontId="2" fillId="0" borderId="162" xfId="127" applyNumberFormat="1" applyFont="1" applyFill="1" applyBorder="1" applyAlignment="1">
      <alignment horizontal="right"/>
      <protection/>
    </xf>
    <xf numFmtId="3" fontId="13" fillId="0" borderId="23" xfId="125" applyNumberFormat="1" applyFont="1" applyFill="1" applyBorder="1" applyAlignment="1">
      <alignment horizontal="center" vertical="center"/>
      <protection/>
    </xf>
    <xf numFmtId="3" fontId="12" fillId="0" borderId="21" xfId="0" applyNumberFormat="1" applyFont="1" applyFill="1" applyBorder="1" applyAlignment="1">
      <alignment horizontal="right" vertical="center" wrapText="1"/>
    </xf>
    <xf numFmtId="3" fontId="10" fillId="0" borderId="43" xfId="117" applyNumberFormat="1" applyFont="1" applyFill="1" applyBorder="1" applyAlignment="1">
      <alignment horizontal="center" vertical="top"/>
      <protection/>
    </xf>
    <xf numFmtId="3" fontId="13" fillId="0" borderId="130" xfId="119" applyNumberFormat="1" applyFont="1" applyFill="1" applyBorder="1" applyAlignment="1">
      <alignment horizontal="right" vertical="center" wrapText="1"/>
      <protection/>
    </xf>
    <xf numFmtId="3" fontId="13" fillId="0" borderId="99" xfId="119" applyNumberFormat="1" applyFont="1" applyFill="1" applyBorder="1" applyAlignment="1">
      <alignment horizontal="right" vertical="center" wrapText="1"/>
      <protection/>
    </xf>
    <xf numFmtId="0" fontId="10" fillId="0" borderId="132" xfId="127" applyFont="1" applyFill="1" applyBorder="1" applyAlignment="1">
      <alignment horizontal="center" vertical="center"/>
      <protection/>
    </xf>
    <xf numFmtId="0" fontId="10" fillId="0" borderId="133" xfId="127" applyFont="1" applyFill="1" applyBorder="1" applyAlignment="1">
      <alignment horizontal="center" vertical="top"/>
      <protection/>
    </xf>
    <xf numFmtId="3" fontId="10" fillId="0" borderId="180" xfId="127" applyNumberFormat="1" applyFont="1" applyFill="1" applyBorder="1" applyAlignment="1">
      <alignment horizontal="right" vertical="center"/>
      <protection/>
    </xf>
    <xf numFmtId="0" fontId="10" fillId="0" borderId="134" xfId="127" applyFont="1" applyFill="1" applyBorder="1" applyAlignment="1">
      <alignment horizontal="center" vertical="center" wrapText="1"/>
      <protection/>
    </xf>
    <xf numFmtId="0" fontId="2" fillId="0" borderId="109" xfId="119" applyFont="1" applyBorder="1" applyAlignment="1">
      <alignment vertical="center" wrapText="1"/>
      <protection/>
    </xf>
    <xf numFmtId="3" fontId="2" fillId="0" borderId="94" xfId="120" applyNumberFormat="1" applyFont="1" applyBorder="1" applyAlignment="1">
      <alignment horizontal="center" vertical="center" wrapText="1"/>
      <protection/>
    </xf>
    <xf numFmtId="3" fontId="13" fillId="0" borderId="93" xfId="127" applyNumberFormat="1" applyFont="1" applyFill="1" applyBorder="1" applyAlignment="1">
      <alignment horizontal="right" vertical="center"/>
      <protection/>
    </xf>
    <xf numFmtId="3" fontId="44" fillId="0" borderId="0" xfId="118" applyNumberFormat="1" applyFont="1" applyFill="1" applyAlignment="1">
      <alignment vertical="center"/>
      <protection/>
    </xf>
    <xf numFmtId="3" fontId="13" fillId="0" borderId="137" xfId="0" applyNumberFormat="1" applyFont="1" applyFill="1" applyBorder="1" applyAlignment="1">
      <alignment/>
    </xf>
    <xf numFmtId="0" fontId="10" fillId="0" borderId="22" xfId="127" applyFont="1" applyFill="1" applyBorder="1" applyAlignment="1">
      <alignment horizontal="center" vertical="top"/>
      <protection/>
    </xf>
    <xf numFmtId="3" fontId="2" fillId="0" borderId="20" xfId="117" applyNumberFormat="1" applyFont="1" applyFill="1" applyBorder="1" applyAlignment="1">
      <alignment vertical="center" wrapText="1"/>
      <protection/>
    </xf>
    <xf numFmtId="0" fontId="84" fillId="0" borderId="20" xfId="119" applyFont="1" applyFill="1" applyBorder="1" applyAlignment="1">
      <alignment horizontal="left"/>
      <protection/>
    </xf>
    <xf numFmtId="3" fontId="2" fillId="0" borderId="20" xfId="120" applyNumberFormat="1" applyFont="1" applyFill="1" applyBorder="1" applyAlignment="1">
      <alignment horizontal="left" vertical="center" wrapText="1"/>
      <protection/>
    </xf>
    <xf numFmtId="3" fontId="2" fillId="0" borderId="43" xfId="120" applyNumberFormat="1" applyFont="1" applyFill="1" applyBorder="1" applyAlignment="1">
      <alignment horizontal="right" vertical="center" wrapText="1"/>
      <protection/>
    </xf>
    <xf numFmtId="3" fontId="2" fillId="0" borderId="20" xfId="120" applyNumberFormat="1" applyFont="1" applyFill="1" applyBorder="1" applyAlignment="1">
      <alignment horizontal="right" vertical="center" wrapText="1"/>
      <protection/>
    </xf>
    <xf numFmtId="3" fontId="2" fillId="0" borderId="57" xfId="120" applyNumberFormat="1" applyFont="1" applyFill="1" applyBorder="1" applyAlignment="1">
      <alignment horizontal="right" vertical="center" wrapText="1"/>
      <protection/>
    </xf>
    <xf numFmtId="3" fontId="2" fillId="0" borderId="88" xfId="120" applyNumberFormat="1" applyFont="1" applyFill="1" applyBorder="1" applyAlignment="1">
      <alignment horizontal="right" vertical="center" wrapText="1"/>
      <protection/>
    </xf>
    <xf numFmtId="14" fontId="2" fillId="0" borderId="107" xfId="120" applyNumberFormat="1" applyFont="1" applyFill="1" applyBorder="1" applyAlignment="1">
      <alignment horizontal="center" vertical="center" wrapText="1"/>
      <protection/>
    </xf>
    <xf numFmtId="3" fontId="10" fillId="0" borderId="166" xfId="127" applyNumberFormat="1" applyFont="1" applyFill="1" applyBorder="1" applyAlignment="1">
      <alignment horizontal="right" vertical="center"/>
      <protection/>
    </xf>
    <xf numFmtId="3" fontId="12" fillId="0" borderId="93" xfId="125" applyNumberFormat="1" applyFont="1" applyFill="1" applyBorder="1" applyAlignment="1">
      <alignment wrapText="1"/>
      <protection/>
    </xf>
    <xf numFmtId="14" fontId="2" fillId="0" borderId="123" xfId="120" applyNumberFormat="1" applyFont="1" applyFill="1" applyBorder="1" applyAlignment="1">
      <alignment horizontal="center" vertical="center" wrapText="1"/>
      <protection/>
    </xf>
    <xf numFmtId="3" fontId="2" fillId="0" borderId="0" xfId="120" applyNumberFormat="1" applyFont="1" applyFill="1" applyBorder="1" applyAlignment="1">
      <alignment horizontal="right" vertical="center" wrapText="1"/>
      <protection/>
    </xf>
    <xf numFmtId="3" fontId="2" fillId="0" borderId="23" xfId="120" applyNumberFormat="1" applyFont="1" applyFill="1" applyBorder="1" applyAlignment="1">
      <alignment horizontal="right" vertical="center" wrapText="1"/>
      <protection/>
    </xf>
    <xf numFmtId="3" fontId="4" fillId="0" borderId="38" xfId="119" applyNumberFormat="1" applyFont="1" applyFill="1" applyBorder="1" applyAlignment="1">
      <alignment horizontal="right" wrapText="1"/>
      <protection/>
    </xf>
    <xf numFmtId="0" fontId="2" fillId="0" borderId="23" xfId="127" applyFont="1" applyFill="1" applyBorder="1" applyAlignment="1">
      <alignment wrapText="1"/>
      <protection/>
    </xf>
    <xf numFmtId="0" fontId="2" fillId="0" borderId="20" xfId="127" applyFont="1" applyFill="1" applyBorder="1" applyAlignment="1">
      <alignment wrapText="1"/>
      <protection/>
    </xf>
    <xf numFmtId="0" fontId="2" fillId="0" borderId="20" xfId="119" applyFont="1" applyFill="1" applyBorder="1" applyAlignment="1">
      <alignment shrinkToFit="1"/>
      <protection/>
    </xf>
    <xf numFmtId="0" fontId="10" fillId="0" borderId="22" xfId="127" applyFont="1" applyFill="1" applyBorder="1" applyAlignment="1">
      <alignment horizontal="center"/>
      <protection/>
    </xf>
    <xf numFmtId="3" fontId="2" fillId="0" borderId="135" xfId="120" applyNumberFormat="1" applyFont="1" applyBorder="1" applyAlignment="1">
      <alignment horizontal="center" wrapText="1"/>
      <protection/>
    </xf>
    <xf numFmtId="3" fontId="2" fillId="0" borderId="58" xfId="120" applyNumberFormat="1" applyFont="1" applyBorder="1" applyAlignment="1">
      <alignment horizontal="center" wrapText="1"/>
      <protection/>
    </xf>
    <xf numFmtId="3" fontId="2" fillId="0" borderId="91" xfId="120" applyNumberFormat="1" applyFont="1" applyBorder="1" applyAlignment="1">
      <alignment horizontal="center" wrapText="1"/>
      <protection/>
    </xf>
    <xf numFmtId="3" fontId="12" fillId="0" borderId="0" xfId="0" applyNumberFormat="1" applyFont="1" applyFill="1" applyAlignment="1">
      <alignment horizontal="right"/>
    </xf>
    <xf numFmtId="0" fontId="84" fillId="0" borderId="20" xfId="119" applyFont="1" applyFill="1" applyBorder="1" applyAlignment="1">
      <alignment horizontal="left"/>
      <protection/>
    </xf>
    <xf numFmtId="3" fontId="13" fillId="0" borderId="93" xfId="117" applyNumberFormat="1" applyFont="1" applyFill="1" applyBorder="1" applyAlignment="1">
      <alignment wrapText="1"/>
      <protection/>
    </xf>
    <xf numFmtId="0" fontId="5" fillId="0" borderId="20" xfId="0" applyFont="1" applyFill="1" applyBorder="1" applyAlignment="1">
      <alignment horizontal="left" wrapText="1" indent="2"/>
    </xf>
    <xf numFmtId="3" fontId="13" fillId="0" borderId="20" xfId="127" applyNumberFormat="1" applyFont="1" applyFill="1" applyBorder="1" applyAlignment="1">
      <alignment horizontal="right"/>
      <protection/>
    </xf>
    <xf numFmtId="3" fontId="10" fillId="0" borderId="105" xfId="127" applyNumberFormat="1" applyFont="1" applyFill="1" applyBorder="1" applyAlignment="1">
      <alignment horizontal="right"/>
      <protection/>
    </xf>
    <xf numFmtId="3" fontId="10" fillId="0" borderId="94" xfId="120" applyNumberFormat="1" applyFont="1" applyFill="1" applyBorder="1" applyAlignment="1">
      <alignment horizontal="left" vertical="center" wrapText="1"/>
      <protection/>
    </xf>
    <xf numFmtId="0" fontId="67" fillId="0" borderId="0" xfId="68" applyFont="1" applyFill="1">
      <alignment/>
      <protection/>
    </xf>
    <xf numFmtId="0" fontId="6" fillId="0" borderId="0" xfId="127" applyFont="1" applyFill="1" applyAlignment="1">
      <alignment horizontal="center" vertical="center"/>
      <protection/>
    </xf>
    <xf numFmtId="0" fontId="10" fillId="0" borderId="0" xfId="127" applyFont="1" applyFill="1">
      <alignment/>
      <protection/>
    </xf>
    <xf numFmtId="0" fontId="6" fillId="0" borderId="0" xfId="97" applyFont="1" applyFill="1" applyAlignment="1">
      <alignment horizontal="center" vertical="center"/>
      <protection/>
    </xf>
    <xf numFmtId="0" fontId="2" fillId="0" borderId="0" xfId="97" applyFont="1" applyFill="1">
      <alignment/>
      <protection/>
    </xf>
    <xf numFmtId="0" fontId="2" fillId="0" borderId="0" xfId="127" applyFont="1" applyFill="1">
      <alignment/>
      <protection/>
    </xf>
    <xf numFmtId="0" fontId="10" fillId="0" borderId="0" xfId="127" applyFont="1" applyFill="1" applyAlignment="1">
      <alignment horizontal="center" vertical="center"/>
      <protection/>
    </xf>
    <xf numFmtId="0" fontId="10" fillId="0" borderId="0" xfId="127" applyFont="1" applyFill="1" applyAlignment="1">
      <alignment horizontal="center" vertical="top"/>
      <protection/>
    </xf>
    <xf numFmtId="0" fontId="10" fillId="0" borderId="0" xfId="127" applyFont="1" applyFill="1" applyAlignment="1">
      <alignment wrapText="1"/>
      <protection/>
    </xf>
    <xf numFmtId="3" fontId="10" fillId="0" borderId="0" xfId="127" applyNumberFormat="1" applyFont="1" applyFill="1" applyAlignment="1">
      <alignment horizontal="right"/>
      <protection/>
    </xf>
    <xf numFmtId="3" fontId="10" fillId="0" borderId="0" xfId="127" applyNumberFormat="1" applyFont="1" applyFill="1" applyAlignment="1">
      <alignment horizontal="center" vertical="center" wrapText="1"/>
      <protection/>
    </xf>
    <xf numFmtId="3" fontId="12" fillId="0" borderId="0" xfId="127" applyNumberFormat="1" applyFont="1" applyFill="1" applyAlignment="1">
      <alignment horizontal="right"/>
      <protection/>
    </xf>
    <xf numFmtId="0" fontId="6" fillId="0" borderId="0" xfId="128" applyFont="1" applyFill="1" applyAlignment="1">
      <alignment horizontal="center" vertical="center" wrapText="1"/>
      <protection/>
    </xf>
    <xf numFmtId="3" fontId="6" fillId="0" borderId="0" xfId="128" applyNumberFormat="1" applyFont="1" applyFill="1" applyAlignment="1">
      <alignment horizontal="center" vertical="center"/>
      <protection/>
    </xf>
    <xf numFmtId="3" fontId="6" fillId="0" borderId="0" xfId="127" applyNumberFormat="1" applyFont="1" applyFill="1" applyAlignment="1">
      <alignment horizontal="center" vertical="center"/>
      <protection/>
    </xf>
    <xf numFmtId="0" fontId="10" fillId="0" borderId="91" xfId="127" applyFont="1" applyFill="1" applyBorder="1" applyAlignment="1">
      <alignment horizontal="center" vertical="center"/>
      <protection/>
    </xf>
    <xf numFmtId="3" fontId="10" fillId="0" borderId="109" xfId="127" applyNumberFormat="1" applyFont="1" applyFill="1" applyBorder="1" applyAlignment="1">
      <alignment horizontal="right" vertical="center"/>
      <protection/>
    </xf>
    <xf numFmtId="3" fontId="13" fillId="0" borderId="125" xfId="119" applyNumberFormat="1" applyFont="1" applyFill="1" applyBorder="1" applyAlignment="1">
      <alignment horizontal="right" vertical="center" wrapText="1"/>
      <protection/>
    </xf>
    <xf numFmtId="3" fontId="10" fillId="0" borderId="171" xfId="127" applyNumberFormat="1" applyFont="1" applyFill="1" applyBorder="1" applyAlignment="1">
      <alignment horizontal="right" vertical="center"/>
      <protection/>
    </xf>
    <xf numFmtId="0" fontId="10" fillId="0" borderId="109" xfId="127" applyFont="1" applyFill="1" applyBorder="1" applyAlignment="1">
      <alignment horizontal="center" vertical="center" wrapText="1"/>
      <protection/>
    </xf>
    <xf numFmtId="3" fontId="13" fillId="0" borderId="171" xfId="119" applyNumberFormat="1" applyFont="1" applyFill="1" applyBorder="1" applyAlignment="1">
      <alignment horizontal="right" vertical="center" wrapText="1"/>
      <protection/>
    </xf>
    <xf numFmtId="0" fontId="10" fillId="0" borderId="23" xfId="127" applyFont="1" applyFill="1" applyBorder="1" applyAlignment="1">
      <alignment horizontal="center" vertical="top"/>
      <protection/>
    </xf>
    <xf numFmtId="3" fontId="24" fillId="0" borderId="23" xfId="125" applyNumberFormat="1" applyFont="1" applyFill="1" applyBorder="1" applyAlignment="1" applyProtection="1">
      <alignment horizontal="left"/>
      <protection locked="0"/>
    </xf>
    <xf numFmtId="0" fontId="10" fillId="0" borderId="23" xfId="127" applyFont="1" applyFill="1" applyBorder="1" applyAlignment="1">
      <alignment horizontal="center"/>
      <protection/>
    </xf>
    <xf numFmtId="0" fontId="41" fillId="0" borderId="23" xfId="127" applyFont="1" applyFill="1" applyBorder="1" applyAlignment="1">
      <alignment wrapText="1"/>
      <protection/>
    </xf>
    <xf numFmtId="0" fontId="23" fillId="0" borderId="23" xfId="127" applyFont="1" applyFill="1" applyBorder="1" applyAlignment="1" applyProtection="1">
      <alignment horizontal="left" wrapText="1"/>
      <protection locked="0"/>
    </xf>
    <xf numFmtId="3" fontId="13" fillId="0" borderId="44" xfId="119" applyNumberFormat="1" applyFont="1" applyFill="1" applyBorder="1" applyAlignment="1">
      <alignment horizontal="right" vertical="center" wrapText="1"/>
      <protection/>
    </xf>
    <xf numFmtId="3" fontId="13" fillId="0" borderId="36" xfId="119" applyNumberFormat="1" applyFont="1" applyFill="1" applyBorder="1" applyAlignment="1">
      <alignment horizontal="right" vertical="center" wrapText="1"/>
      <protection/>
    </xf>
    <xf numFmtId="3" fontId="13" fillId="0" borderId="106" xfId="119" applyNumberFormat="1" applyFont="1" applyFill="1" applyBorder="1" applyAlignment="1">
      <alignment horizontal="right" vertical="center" wrapText="1"/>
      <protection/>
    </xf>
    <xf numFmtId="3" fontId="13" fillId="0" borderId="181" xfId="119" applyNumberFormat="1" applyFont="1" applyFill="1" applyBorder="1" applyAlignment="1">
      <alignment horizontal="right" vertical="center" wrapText="1"/>
      <protection/>
    </xf>
    <xf numFmtId="3" fontId="13" fillId="0" borderId="19" xfId="119" applyNumberFormat="1" applyFont="1" applyFill="1" applyBorder="1" applyAlignment="1">
      <alignment horizontal="center" vertical="center" wrapText="1"/>
      <protection/>
    </xf>
    <xf numFmtId="3" fontId="13" fillId="0" borderId="20" xfId="119" applyNumberFormat="1" applyFont="1" applyFill="1" applyBorder="1" applyAlignment="1">
      <alignment horizontal="center" vertical="center" wrapText="1"/>
      <protection/>
    </xf>
    <xf numFmtId="3" fontId="13" fillId="0" borderId="43" xfId="119" applyNumberFormat="1" applyFont="1" applyFill="1" applyBorder="1" applyAlignment="1">
      <alignment horizontal="right" vertical="center" wrapText="1"/>
      <protection/>
    </xf>
    <xf numFmtId="3" fontId="84" fillId="0" borderId="20" xfId="119" applyNumberFormat="1" applyFont="1" applyFill="1" applyBorder="1" applyAlignment="1">
      <alignment horizontal="right" vertical="center" wrapText="1"/>
      <protection/>
    </xf>
    <xf numFmtId="3" fontId="84" fillId="0" borderId="107" xfId="119" applyNumberFormat="1" applyFont="1" applyFill="1" applyBorder="1" applyAlignment="1">
      <alignment horizontal="right" vertical="center" wrapText="1"/>
      <protection/>
    </xf>
    <xf numFmtId="3" fontId="13" fillId="0" borderId="137" xfId="119" applyNumberFormat="1" applyFont="1" applyFill="1" applyBorder="1" applyAlignment="1">
      <alignment horizontal="right" vertical="center" wrapText="1"/>
      <protection/>
    </xf>
    <xf numFmtId="3" fontId="13" fillId="0" borderId="132" xfId="119" applyNumberFormat="1" applyFont="1" applyFill="1" applyBorder="1" applyAlignment="1">
      <alignment horizontal="center" vertical="center" wrapText="1"/>
      <protection/>
    </xf>
    <xf numFmtId="3" fontId="13" fillId="0" borderId="133" xfId="119" applyNumberFormat="1" applyFont="1" applyFill="1" applyBorder="1" applyAlignment="1">
      <alignment horizontal="center" vertical="center" wrapText="1"/>
      <protection/>
    </xf>
    <xf numFmtId="3" fontId="13" fillId="0" borderId="134" xfId="119" applyNumberFormat="1" applyFont="1" applyFill="1" applyBorder="1" applyAlignment="1">
      <alignment horizontal="right" vertical="center" wrapText="1"/>
      <protection/>
    </xf>
    <xf numFmtId="3" fontId="13" fillId="0" borderId="156" xfId="119" applyNumberFormat="1" applyFont="1" applyFill="1" applyBorder="1" applyAlignment="1">
      <alignment horizontal="right" vertical="center" wrapText="1"/>
      <protection/>
    </xf>
    <xf numFmtId="3" fontId="10" fillId="0" borderId="0" xfId="97" applyNumberFormat="1" applyFont="1" applyFill="1" applyAlignment="1">
      <alignment horizontal="left" vertical="top"/>
      <protection/>
    </xf>
    <xf numFmtId="3" fontId="10" fillId="0" borderId="0" xfId="128" applyNumberFormat="1" applyFont="1" applyFill="1" applyAlignment="1">
      <alignment horizontal="right"/>
      <protection/>
    </xf>
    <xf numFmtId="3" fontId="10" fillId="0" borderId="0" xfId="128" applyNumberFormat="1" applyFont="1" applyFill="1" applyAlignment="1">
      <alignment horizontal="right" wrapText="1"/>
      <protection/>
    </xf>
    <xf numFmtId="3" fontId="10" fillId="0" borderId="0" xfId="97" applyNumberFormat="1" applyFont="1" applyFill="1" applyAlignment="1">
      <alignment horizontal="center" vertical="center"/>
      <protection/>
    </xf>
    <xf numFmtId="3" fontId="10" fillId="0" borderId="0" xfId="127" applyNumberFormat="1" applyFont="1" applyFill="1" applyAlignment="1">
      <alignment horizontal="right" vertical="center"/>
      <protection/>
    </xf>
    <xf numFmtId="3" fontId="10" fillId="0" borderId="0" xfId="97" applyNumberFormat="1" applyFont="1" applyFill="1" applyAlignment="1">
      <alignment horizontal="right"/>
      <protection/>
    </xf>
    <xf numFmtId="3" fontId="4" fillId="0" borderId="94" xfId="127" applyNumberFormat="1" applyFont="1" applyFill="1" applyBorder="1" applyAlignment="1">
      <alignment horizontal="right"/>
      <protection/>
    </xf>
    <xf numFmtId="3" fontId="13" fillId="0" borderId="112" xfId="125" applyNumberFormat="1" applyFont="1" applyFill="1" applyBorder="1" applyAlignment="1">
      <alignment horizontal="left" wrapText="1"/>
      <protection/>
    </xf>
    <xf numFmtId="3" fontId="13" fillId="0" borderId="109" xfId="125" applyNumberFormat="1" applyFont="1" applyFill="1" applyBorder="1" applyAlignment="1">
      <alignment horizontal="left" wrapText="1"/>
      <protection/>
    </xf>
    <xf numFmtId="3" fontId="10" fillId="0" borderId="20" xfId="127" applyNumberFormat="1" applyFont="1" applyBorder="1" applyProtection="1">
      <alignment/>
      <protection locked="0"/>
    </xf>
    <xf numFmtId="3" fontId="12" fillId="0" borderId="113" xfId="125" applyNumberFormat="1" applyFont="1" applyFill="1" applyBorder="1" applyAlignment="1">
      <alignment/>
      <protection/>
    </xf>
    <xf numFmtId="3" fontId="12" fillId="0" borderId="113" xfId="0" applyNumberFormat="1" applyFont="1" applyFill="1" applyBorder="1" applyAlignment="1">
      <alignment vertical="center"/>
    </xf>
    <xf numFmtId="3" fontId="12" fillId="0" borderId="182" xfId="0" applyNumberFormat="1" applyFont="1" applyFill="1" applyBorder="1" applyAlignment="1">
      <alignment vertical="top"/>
    </xf>
    <xf numFmtId="3" fontId="12" fillId="0" borderId="182" xfId="0" applyNumberFormat="1" applyFont="1" applyFill="1" applyBorder="1" applyAlignment="1">
      <alignment vertical="center"/>
    </xf>
    <xf numFmtId="3" fontId="12" fillId="0" borderId="182" xfId="0" applyNumberFormat="1" applyFont="1" applyFill="1" applyBorder="1" applyAlignment="1">
      <alignment/>
    </xf>
    <xf numFmtId="3" fontId="84" fillId="0" borderId="113" xfId="0" applyNumberFormat="1" applyFont="1" applyFill="1" applyBorder="1" applyAlignment="1">
      <alignment horizontal="center" vertical="center"/>
    </xf>
    <xf numFmtId="3" fontId="84" fillId="0" borderId="159" xfId="0" applyNumberFormat="1" applyFont="1" applyFill="1" applyBorder="1" applyAlignment="1">
      <alignment horizontal="center" vertical="center"/>
    </xf>
    <xf numFmtId="3" fontId="12" fillId="0" borderId="159" xfId="125" applyNumberFormat="1" applyFont="1" applyFill="1" applyBorder="1" applyAlignment="1">
      <alignment/>
      <protection/>
    </xf>
    <xf numFmtId="3" fontId="84" fillId="0" borderId="113" xfId="0" applyNumberFormat="1" applyFont="1" applyFill="1" applyBorder="1" applyAlignment="1">
      <alignment vertical="center"/>
    </xf>
    <xf numFmtId="3" fontId="84" fillId="0" borderId="172" xfId="0" applyNumberFormat="1" applyFont="1" applyFill="1" applyBorder="1" applyAlignment="1">
      <alignment vertical="center"/>
    </xf>
    <xf numFmtId="3" fontId="12" fillId="0" borderId="158" xfId="0" applyNumberFormat="1" applyFont="1" applyFill="1" applyBorder="1" applyAlignment="1">
      <alignment/>
    </xf>
    <xf numFmtId="3" fontId="12" fillId="0" borderId="113" xfId="0" applyNumberFormat="1" applyFont="1" applyFill="1" applyBorder="1" applyAlignment="1">
      <alignment horizontal="right"/>
    </xf>
    <xf numFmtId="3" fontId="12" fillId="0" borderId="182" xfId="0" applyNumberFormat="1" applyFont="1" applyFill="1" applyBorder="1" applyAlignment="1">
      <alignment horizontal="right"/>
    </xf>
    <xf numFmtId="3" fontId="13" fillId="0" borderId="113" xfId="0" applyNumberFormat="1" applyFont="1" applyFill="1" applyBorder="1" applyAlignment="1">
      <alignment vertical="center"/>
    </xf>
    <xf numFmtId="3" fontId="13" fillId="0" borderId="159" xfId="0" applyNumberFormat="1" applyFont="1" applyFill="1" applyBorder="1" applyAlignment="1">
      <alignment horizontal="center" vertical="center"/>
    </xf>
    <xf numFmtId="3" fontId="12" fillId="0" borderId="183" xfId="117" applyNumberFormat="1" applyFont="1" applyFill="1" applyBorder="1" applyAlignment="1">
      <alignment horizontal="right"/>
      <protection/>
    </xf>
    <xf numFmtId="3" fontId="12" fillId="0" borderId="133" xfId="0" applyNumberFormat="1" applyFont="1" applyFill="1" applyBorder="1" applyAlignment="1">
      <alignment horizontal="right" wrapText="1"/>
    </xf>
    <xf numFmtId="3" fontId="12" fillId="0" borderId="184" xfId="0" applyNumberFormat="1" applyFont="1" applyFill="1" applyBorder="1" applyAlignment="1">
      <alignment horizontal="right" wrapText="1"/>
    </xf>
    <xf numFmtId="3" fontId="12" fillId="0" borderId="183" xfId="125" applyNumberFormat="1" applyFont="1" applyFill="1" applyBorder="1" applyAlignment="1">
      <alignment/>
      <protection/>
    </xf>
    <xf numFmtId="3" fontId="2" fillId="0" borderId="172" xfId="119" applyNumberFormat="1" applyFont="1" applyFill="1" applyBorder="1" applyAlignment="1">
      <alignment horizontal="right"/>
      <protection/>
    </xf>
    <xf numFmtId="0" fontId="4" fillId="0" borderId="158" xfId="127" applyFont="1" applyFill="1" applyBorder="1" applyAlignment="1">
      <alignment horizontal="center" wrapText="1"/>
      <protection/>
    </xf>
    <xf numFmtId="0" fontId="2" fillId="0" borderId="23" xfId="127" applyFont="1" applyFill="1" applyBorder="1" applyAlignment="1">
      <alignment horizontal="center" vertical="top"/>
      <protection/>
    </xf>
    <xf numFmtId="3" fontId="5" fillId="0" borderId="159" xfId="119" applyNumberFormat="1" applyFont="1" applyFill="1" applyBorder="1" applyAlignment="1">
      <alignment horizontal="right" wrapText="1"/>
      <protection/>
    </xf>
    <xf numFmtId="3" fontId="2" fillId="0" borderId="172" xfId="127" applyNumberFormat="1" applyFont="1" applyFill="1" applyBorder="1" applyAlignment="1">
      <alignment horizontal="right"/>
      <protection/>
    </xf>
    <xf numFmtId="3" fontId="4" fillId="0" borderId="88" xfId="119" applyNumberFormat="1" applyFont="1" applyFill="1" applyBorder="1" applyAlignment="1">
      <alignment horizontal="right" vertical="center" wrapText="1"/>
      <protection/>
    </xf>
    <xf numFmtId="3" fontId="12" fillId="0" borderId="133" xfId="125" applyNumberFormat="1" applyFont="1" applyFill="1" applyBorder="1" applyAlignment="1">
      <alignment/>
      <protection/>
    </xf>
    <xf numFmtId="3" fontId="2" fillId="0" borderId="185" xfId="127" applyNumberFormat="1" applyFont="1" applyFill="1" applyBorder="1" applyAlignment="1">
      <alignment horizontal="right"/>
      <protection/>
    </xf>
    <xf numFmtId="0" fontId="2" fillId="0" borderId="134" xfId="127" applyFont="1" applyFill="1" applyBorder="1" applyAlignment="1">
      <alignment horizontal="center" wrapText="1"/>
      <protection/>
    </xf>
    <xf numFmtId="3" fontId="2" fillId="0" borderId="166" xfId="127" applyNumberFormat="1" applyFont="1" applyFill="1" applyBorder="1" applyAlignment="1">
      <alignment horizontal="right"/>
      <protection/>
    </xf>
    <xf numFmtId="3" fontId="94" fillId="0" borderId="20" xfId="127" applyNumberFormat="1" applyFont="1" applyFill="1" applyBorder="1" applyAlignment="1">
      <alignment horizontal="right" vertical="center"/>
      <protection/>
    </xf>
    <xf numFmtId="3" fontId="95" fillId="0" borderId="20" xfId="0" applyNumberFormat="1" applyFont="1" applyFill="1" applyBorder="1" applyAlignment="1">
      <alignment vertical="center"/>
    </xf>
    <xf numFmtId="3" fontId="12" fillId="0" borderId="38" xfId="0" applyNumberFormat="1" applyFont="1" applyFill="1" applyBorder="1" applyAlignment="1">
      <alignment/>
    </xf>
    <xf numFmtId="3" fontId="17" fillId="0" borderId="186" xfId="0" applyNumberFormat="1" applyFont="1" applyFill="1" applyBorder="1" applyAlignment="1">
      <alignment horizontal="center" vertical="center" wrapText="1"/>
    </xf>
    <xf numFmtId="0" fontId="17" fillId="0" borderId="18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/>
    </xf>
    <xf numFmtId="0" fontId="2" fillId="0" borderId="68" xfId="0" applyFont="1" applyFill="1" applyBorder="1" applyAlignment="1">
      <alignment vertical="center"/>
    </xf>
    <xf numFmtId="0" fontId="2" fillId="0" borderId="188" xfId="0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/>
    </xf>
    <xf numFmtId="49" fontId="83" fillId="0" borderId="10" xfId="0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3" fontId="96" fillId="0" borderId="0" xfId="0" applyNumberFormat="1" applyFont="1" applyFill="1" applyBorder="1" applyAlignment="1">
      <alignment/>
    </xf>
    <xf numFmtId="3" fontId="96" fillId="0" borderId="64" xfId="0" applyNumberFormat="1" applyFont="1" applyFill="1" applyBorder="1" applyAlignment="1">
      <alignment horizontal="right"/>
    </xf>
    <xf numFmtId="3" fontId="96" fillId="0" borderId="0" xfId="0" applyNumberFormat="1" applyFont="1" applyFill="1" applyBorder="1" applyAlignment="1">
      <alignment horizontal="right"/>
    </xf>
    <xf numFmtId="3" fontId="2" fillId="0" borderId="40" xfId="117" applyNumberFormat="1" applyFont="1" applyFill="1" applyBorder="1" applyAlignment="1">
      <alignment vertical="center" wrapText="1"/>
      <protection/>
    </xf>
    <xf numFmtId="3" fontId="4" fillId="0" borderId="0" xfId="117" applyNumberFormat="1" applyFont="1" applyFill="1" applyBorder="1" applyAlignment="1">
      <alignment vertical="center"/>
      <protection/>
    </xf>
    <xf numFmtId="3" fontId="2" fillId="0" borderId="137" xfId="117" applyNumberFormat="1" applyFont="1" applyFill="1" applyBorder="1" applyAlignment="1">
      <alignment vertical="center" wrapText="1"/>
      <protection/>
    </xf>
    <xf numFmtId="3" fontId="4" fillId="0" borderId="16" xfId="120" applyNumberFormat="1" applyFont="1" applyBorder="1" applyAlignment="1">
      <alignment horizontal="right" vertical="center"/>
      <protection/>
    </xf>
    <xf numFmtId="3" fontId="2" fillId="0" borderId="189" xfId="120" applyNumberFormat="1" applyFont="1" applyBorder="1" applyAlignment="1">
      <alignment horizontal="center" vertical="center" wrapText="1"/>
      <protection/>
    </xf>
    <xf numFmtId="3" fontId="2" fillId="0" borderId="22" xfId="120" applyNumberFormat="1" applyFont="1" applyFill="1" applyBorder="1" applyAlignment="1">
      <alignment horizontal="right" vertical="center" wrapText="1"/>
      <protection/>
    </xf>
    <xf numFmtId="3" fontId="2" fillId="0" borderId="170" xfId="120" applyNumberFormat="1" applyFont="1" applyBorder="1" applyAlignment="1">
      <alignment horizontal="center" vertical="center" wrapText="1"/>
      <protection/>
    </xf>
    <xf numFmtId="3" fontId="2" fillId="0" borderId="170" xfId="120" applyNumberFormat="1" applyFont="1" applyFill="1" applyBorder="1" applyAlignment="1">
      <alignment horizontal="center" vertical="center" wrapText="1"/>
      <protection/>
    </xf>
    <xf numFmtId="3" fontId="17" fillId="34" borderId="120" xfId="120" applyNumberFormat="1" applyFont="1" applyFill="1" applyBorder="1" applyAlignment="1">
      <alignment horizontal="right" vertical="center"/>
      <protection/>
    </xf>
    <xf numFmtId="3" fontId="17" fillId="34" borderId="190" xfId="120" applyNumberFormat="1" applyFont="1" applyFill="1" applyBorder="1" applyAlignment="1">
      <alignment horizontal="right" vertical="center" wrapText="1"/>
      <protection/>
    </xf>
    <xf numFmtId="3" fontId="17" fillId="34" borderId="191" xfId="120" applyNumberFormat="1" applyFont="1" applyFill="1" applyBorder="1" applyAlignment="1">
      <alignment horizontal="right" vertical="center" wrapText="1"/>
      <protection/>
    </xf>
    <xf numFmtId="3" fontId="17" fillId="34" borderId="192" xfId="120" applyNumberFormat="1" applyFont="1" applyFill="1" applyBorder="1" applyAlignment="1">
      <alignment horizontal="right" vertical="center" wrapText="1"/>
      <protection/>
    </xf>
    <xf numFmtId="3" fontId="17" fillId="34" borderId="168" xfId="120" applyNumberFormat="1" applyFont="1" applyFill="1" applyBorder="1" applyAlignment="1">
      <alignment horizontal="right" vertical="center" wrapText="1"/>
      <protection/>
    </xf>
    <xf numFmtId="3" fontId="17" fillId="34" borderId="27" xfId="120" applyNumberFormat="1" applyFont="1" applyFill="1" applyBorder="1" applyAlignment="1">
      <alignment horizontal="right" vertical="center"/>
      <protection/>
    </xf>
    <xf numFmtId="3" fontId="17" fillId="34" borderId="193" xfId="120" applyNumberFormat="1" applyFont="1" applyFill="1" applyBorder="1">
      <alignment/>
      <protection/>
    </xf>
    <xf numFmtId="3" fontId="17" fillId="34" borderId="193" xfId="120" applyNumberFormat="1" applyFont="1" applyFill="1" applyBorder="1" applyAlignment="1">
      <alignment vertical="center"/>
      <protection/>
    </xf>
    <xf numFmtId="3" fontId="17" fillId="34" borderId="193" xfId="120" applyNumberFormat="1" applyFont="1" applyFill="1" applyBorder="1" applyAlignment="1">
      <alignment horizontal="right" vertical="center" wrapText="1"/>
      <protection/>
    </xf>
    <xf numFmtId="3" fontId="17" fillId="34" borderId="193" xfId="120" applyNumberFormat="1" applyFont="1" applyFill="1" applyBorder="1" applyAlignment="1">
      <alignment horizontal="right" vertical="center"/>
      <protection/>
    </xf>
    <xf numFmtId="3" fontId="17" fillId="34" borderId="68" xfId="120" applyNumberFormat="1" applyFont="1" applyFill="1" applyBorder="1" applyAlignment="1">
      <alignment horizontal="right" vertical="center"/>
      <protection/>
    </xf>
    <xf numFmtId="0" fontId="2" fillId="0" borderId="0" xfId="124" applyFont="1" applyAlignment="1">
      <alignment horizontal="center" vertical="center"/>
      <protection/>
    </xf>
    <xf numFmtId="0" fontId="2" fillId="0" borderId="0" xfId="121" applyFont="1" applyAlignment="1">
      <alignment horizontal="center"/>
      <protection/>
    </xf>
    <xf numFmtId="0" fontId="2" fillId="0" borderId="0" xfId="124" applyFont="1">
      <alignment/>
      <protection/>
    </xf>
    <xf numFmtId="0" fontId="2" fillId="0" borderId="0" xfId="124" applyFont="1" applyAlignment="1">
      <alignment vertical="center"/>
      <protection/>
    </xf>
    <xf numFmtId="0" fontId="2" fillId="0" borderId="0" xfId="121" applyFont="1" applyAlignment="1">
      <alignment horizontal="center" vertical="center"/>
      <protection/>
    </xf>
    <xf numFmtId="0" fontId="2" fillId="0" borderId="0" xfId="122" applyFont="1" applyAlignment="1">
      <alignment horizontal="center"/>
      <protection/>
    </xf>
    <xf numFmtId="0" fontId="2" fillId="0" borderId="0" xfId="124" applyFont="1" applyAlignment="1">
      <alignment horizontal="center"/>
      <protection/>
    </xf>
    <xf numFmtId="0" fontId="2" fillId="0" borderId="194" xfId="121" applyFont="1" applyBorder="1" applyAlignment="1">
      <alignment horizontal="center" vertical="center" wrapText="1"/>
      <protection/>
    </xf>
    <xf numFmtId="0" fontId="10" fillId="0" borderId="194" xfId="121" applyFont="1" applyBorder="1" applyAlignment="1">
      <alignment horizontal="center" vertical="center" wrapText="1"/>
      <protection/>
    </xf>
    <xf numFmtId="0" fontId="10" fillId="0" borderId="195" xfId="121" applyFont="1" applyBorder="1" applyAlignment="1">
      <alignment horizontal="center" vertical="center" wrapText="1"/>
      <protection/>
    </xf>
    <xf numFmtId="0" fontId="2" fillId="0" borderId="25" xfId="124" applyFont="1" applyBorder="1" applyAlignment="1">
      <alignment horizontal="center" vertical="top"/>
      <protection/>
    </xf>
    <xf numFmtId="0" fontId="2" fillId="0" borderId="23" xfId="124" applyFont="1" applyBorder="1" applyAlignment="1">
      <alignment vertical="center" wrapText="1"/>
      <protection/>
    </xf>
    <xf numFmtId="0" fontId="2" fillId="0" borderId="23" xfId="124" applyFont="1" applyBorder="1" applyAlignment="1">
      <alignment horizontal="center" vertical="center" wrapText="1"/>
      <protection/>
    </xf>
    <xf numFmtId="14" fontId="2" fillId="0" borderId="23" xfId="124" applyNumberFormat="1" applyFont="1" applyBorder="1" applyAlignment="1">
      <alignment horizontal="center" vertical="center" wrapText="1"/>
      <protection/>
    </xf>
    <xf numFmtId="14" fontId="2" fillId="0" borderId="23" xfId="124" applyNumberFormat="1" applyFont="1" applyBorder="1" applyAlignment="1">
      <alignment horizontal="center" vertical="center"/>
      <protection/>
    </xf>
    <xf numFmtId="3" fontId="2" fillId="0" borderId="23" xfId="123" applyNumberFormat="1" applyFont="1" applyBorder="1" applyAlignment="1">
      <alignment horizontal="right" vertical="center"/>
      <protection/>
    </xf>
    <xf numFmtId="3" fontId="2" fillId="0" borderId="28" xfId="123" applyNumberFormat="1" applyFont="1" applyBorder="1" applyAlignment="1">
      <alignment horizontal="right" vertical="center"/>
      <protection/>
    </xf>
    <xf numFmtId="0" fontId="2" fillId="0" borderId="19" xfId="124" applyFont="1" applyBorder="1" applyAlignment="1">
      <alignment horizontal="center" vertical="top"/>
      <protection/>
    </xf>
    <xf numFmtId="0" fontId="2" fillId="0" borderId="20" xfId="124" applyFont="1" applyBorder="1" applyAlignment="1">
      <alignment vertical="center" wrapText="1"/>
      <protection/>
    </xf>
    <xf numFmtId="0" fontId="2" fillId="0" borderId="20" xfId="124" applyFont="1" applyBorder="1" applyAlignment="1">
      <alignment horizontal="center" vertical="center" wrapText="1"/>
      <protection/>
    </xf>
    <xf numFmtId="14" fontId="2" fillId="0" borderId="20" xfId="124" applyNumberFormat="1" applyFont="1" applyBorder="1" applyAlignment="1">
      <alignment horizontal="center" vertical="center"/>
      <protection/>
    </xf>
    <xf numFmtId="3" fontId="2" fillId="0" borderId="20" xfId="55" applyNumberFormat="1" applyFont="1" applyFill="1" applyBorder="1" applyAlignment="1">
      <alignment horizontal="right" vertical="center"/>
    </xf>
    <xf numFmtId="3" fontId="2" fillId="0" borderId="21" xfId="55" applyNumberFormat="1" applyFont="1" applyFill="1" applyBorder="1" applyAlignment="1">
      <alignment horizontal="right" vertical="center"/>
    </xf>
    <xf numFmtId="0" fontId="2" fillId="0" borderId="38" xfId="124" applyFont="1" applyBorder="1" applyAlignment="1">
      <alignment vertical="center" wrapText="1"/>
      <protection/>
    </xf>
    <xf numFmtId="0" fontId="2" fillId="0" borderId="38" xfId="124" applyFont="1" applyBorder="1" applyAlignment="1">
      <alignment horizontal="center" vertical="center" wrapText="1"/>
      <protection/>
    </xf>
    <xf numFmtId="14" fontId="2" fillId="0" borderId="38" xfId="124" applyNumberFormat="1" applyFont="1" applyBorder="1" applyAlignment="1">
      <alignment horizontal="center" vertical="center"/>
      <protection/>
    </xf>
    <xf numFmtId="3" fontId="2" fillId="0" borderId="38" xfId="55" applyNumberFormat="1" applyFont="1" applyFill="1" applyBorder="1" applyAlignment="1">
      <alignment horizontal="right" vertical="center"/>
    </xf>
    <xf numFmtId="0" fontId="2" fillId="0" borderId="58" xfId="124" applyFont="1" applyBorder="1" applyAlignment="1">
      <alignment horizontal="center" vertical="top"/>
      <protection/>
    </xf>
    <xf numFmtId="14" fontId="2" fillId="35" borderId="38" xfId="124" applyNumberFormat="1" applyFont="1" applyFill="1" applyBorder="1" applyAlignment="1">
      <alignment horizontal="center" vertical="center"/>
      <protection/>
    </xf>
    <xf numFmtId="0" fontId="2" fillId="0" borderId="196" xfId="124" applyFont="1" applyBorder="1" applyAlignment="1">
      <alignment horizontal="center" vertical="top"/>
      <protection/>
    </xf>
    <xf numFmtId="0" fontId="2" fillId="0" borderId="113" xfId="124" applyFont="1" applyBorder="1" applyAlignment="1">
      <alignment vertical="center" wrapText="1"/>
      <protection/>
    </xf>
    <xf numFmtId="0" fontId="2" fillId="0" borderId="113" xfId="124" applyFont="1" applyBorder="1" applyAlignment="1">
      <alignment horizontal="center" vertical="center" wrapText="1"/>
      <protection/>
    </xf>
    <xf numFmtId="14" fontId="2" fillId="35" borderId="113" xfId="124" applyNumberFormat="1" applyFont="1" applyFill="1" applyBorder="1" applyAlignment="1">
      <alignment horizontal="center" vertical="center"/>
      <protection/>
    </xf>
    <xf numFmtId="3" fontId="2" fillId="0" borderId="113" xfId="55" applyNumberFormat="1" applyFont="1" applyFill="1" applyBorder="1" applyAlignment="1">
      <alignment horizontal="right" vertical="center"/>
    </xf>
    <xf numFmtId="3" fontId="2" fillId="0" borderId="182" xfId="55" applyNumberFormat="1" applyFont="1" applyFill="1" applyBorder="1" applyAlignment="1">
      <alignment horizontal="right" vertical="center"/>
    </xf>
    <xf numFmtId="0" fontId="2" fillId="0" borderId="41" xfId="124" applyFont="1" applyBorder="1" applyAlignment="1">
      <alignment horizontal="center" vertical="top"/>
      <protection/>
    </xf>
    <xf numFmtId="0" fontId="2" fillId="0" borderId="170" xfId="124" applyFont="1" applyBorder="1" applyAlignment="1">
      <alignment vertical="center" wrapText="1"/>
      <protection/>
    </xf>
    <xf numFmtId="0" fontId="2" fillId="0" borderId="0" xfId="124" applyFont="1" applyAlignment="1">
      <alignment horizontal="center" vertical="center" wrapText="1"/>
      <protection/>
    </xf>
    <xf numFmtId="14" fontId="2" fillId="0" borderId="0" xfId="124" applyNumberFormat="1" applyFont="1" applyAlignment="1">
      <alignment horizontal="center" vertical="center"/>
      <protection/>
    </xf>
    <xf numFmtId="3" fontId="2" fillId="0" borderId="128" xfId="55" applyNumberFormat="1" applyFont="1" applyFill="1" applyBorder="1" applyAlignment="1">
      <alignment horizontal="right" vertical="center"/>
    </xf>
    <xf numFmtId="3" fontId="2" fillId="0" borderId="99" xfId="55" applyNumberFormat="1" applyFont="1" applyFill="1" applyBorder="1" applyAlignment="1">
      <alignment horizontal="right" vertical="center"/>
    </xf>
    <xf numFmtId="3" fontId="2" fillId="0" borderId="40" xfId="55" applyNumberFormat="1" applyFont="1" applyFill="1" applyBorder="1" applyAlignment="1">
      <alignment horizontal="right" vertical="center"/>
    </xf>
    <xf numFmtId="0" fontId="4" fillId="0" borderId="197" xfId="121" applyFont="1" applyBorder="1" applyAlignment="1">
      <alignment horizontal="center" vertical="center"/>
      <protection/>
    </xf>
    <xf numFmtId="3" fontId="4" fillId="0" borderId="96" xfId="124" applyNumberFormat="1" applyFont="1" applyBorder="1" applyAlignment="1">
      <alignment vertical="center"/>
      <protection/>
    </xf>
    <xf numFmtId="3" fontId="4" fillId="0" borderId="198" xfId="124" applyNumberFormat="1" applyFont="1" applyBorder="1" applyAlignment="1">
      <alignment vertical="center"/>
      <protection/>
    </xf>
    <xf numFmtId="0" fontId="2" fillId="0" borderId="0" xfId="121" applyFont="1">
      <alignment/>
      <protection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93" xfId="125" applyNumberFormat="1" applyFont="1" applyFill="1" applyBorder="1" applyAlignment="1">
      <alignment horizontal="left"/>
      <protection/>
    </xf>
    <xf numFmtId="3" fontId="13" fillId="0" borderId="22" xfId="125" applyNumberFormat="1" applyFont="1" applyFill="1" applyBorder="1" applyAlignment="1">
      <alignment horizontal="left"/>
      <protection/>
    </xf>
    <xf numFmtId="3" fontId="13" fillId="0" borderId="88" xfId="125" applyNumberFormat="1" applyFont="1" applyFill="1" applyBorder="1" applyAlignment="1">
      <alignment horizontal="left"/>
      <protection/>
    </xf>
    <xf numFmtId="3" fontId="13" fillId="0" borderId="22" xfId="125" applyNumberFormat="1" applyFont="1" applyFill="1" applyBorder="1" applyAlignment="1">
      <alignment horizontal="left" wrapText="1"/>
      <protection/>
    </xf>
    <xf numFmtId="3" fontId="10" fillId="0" borderId="199" xfId="0" applyNumberFormat="1" applyFont="1" applyFill="1" applyBorder="1" applyAlignment="1">
      <alignment horizontal="center" vertical="center" wrapText="1"/>
    </xf>
    <xf numFmtId="3" fontId="13" fillId="0" borderId="59" xfId="125" applyNumberFormat="1" applyFont="1" applyFill="1" applyBorder="1" applyAlignment="1">
      <alignment horizontal="left"/>
      <protection/>
    </xf>
    <xf numFmtId="3" fontId="10" fillId="0" borderId="109" xfId="125" applyNumberFormat="1" applyFont="1" applyFill="1" applyBorder="1" applyAlignment="1">
      <alignment horizontal="left"/>
      <protection/>
    </xf>
    <xf numFmtId="3" fontId="10" fillId="0" borderId="109" xfId="125" applyNumberFormat="1" applyFont="1" applyFill="1" applyBorder="1" applyAlignment="1">
      <alignment horizontal="left" wrapText="1"/>
      <protection/>
    </xf>
    <xf numFmtId="3" fontId="10" fillId="0" borderId="200" xfId="127" applyNumberFormat="1" applyFont="1" applyFill="1" applyBorder="1" applyAlignment="1">
      <alignment horizontal="center" vertical="center" wrapText="1"/>
      <protection/>
    </xf>
    <xf numFmtId="0" fontId="84" fillId="0" borderId="20" xfId="119" applyFont="1" applyFill="1" applyBorder="1" applyAlignment="1">
      <alignment horizontal="left"/>
      <protection/>
    </xf>
    <xf numFmtId="3" fontId="12" fillId="0" borderId="23" xfId="0" applyNumberFormat="1" applyFont="1" applyFill="1" applyBorder="1" applyAlignment="1">
      <alignment horizontal="right" wrapText="1"/>
    </xf>
    <xf numFmtId="3" fontId="10" fillId="0" borderId="93" xfId="117" applyNumberFormat="1" applyFont="1" applyFill="1" applyBorder="1" applyAlignment="1">
      <alignment horizontal="right"/>
      <protection/>
    </xf>
    <xf numFmtId="3" fontId="12" fillId="0" borderId="28" xfId="0" applyNumberFormat="1" applyFont="1" applyFill="1" applyBorder="1" applyAlignment="1">
      <alignment horizontal="right" wrapText="1"/>
    </xf>
    <xf numFmtId="3" fontId="16" fillId="0" borderId="93" xfId="117" applyNumberFormat="1" applyFont="1" applyFill="1" applyBorder="1" applyAlignment="1">
      <alignment horizontal="right" vertical="center"/>
      <protection/>
    </xf>
    <xf numFmtId="3" fontId="12" fillId="0" borderId="20" xfId="0" applyNumberFormat="1" applyFont="1" applyFill="1" applyBorder="1" applyAlignment="1">
      <alignment horizontal="right" vertical="center" wrapText="1"/>
    </xf>
    <xf numFmtId="3" fontId="10" fillId="0" borderId="20" xfId="0" applyNumberFormat="1" applyFont="1" applyFill="1" applyBorder="1" applyAlignment="1">
      <alignment horizontal="right" vertical="center" wrapText="1"/>
    </xf>
    <xf numFmtId="3" fontId="16" fillId="0" borderId="93" xfId="0" applyNumberFormat="1" applyFont="1" applyFill="1" applyBorder="1" applyAlignment="1">
      <alignment vertical="center"/>
    </xf>
    <xf numFmtId="3" fontId="16" fillId="0" borderId="137" xfId="0" applyNumberFormat="1" applyFont="1" applyFill="1" applyBorder="1" applyAlignment="1">
      <alignment vertical="center"/>
    </xf>
    <xf numFmtId="3" fontId="12" fillId="0" borderId="20" xfId="119" applyNumberFormat="1" applyFont="1" applyFill="1" applyBorder="1" applyAlignment="1">
      <alignment horizontal="right" vertical="center" wrapText="1"/>
      <protection/>
    </xf>
    <xf numFmtId="3" fontId="12" fillId="0" borderId="93" xfId="127" applyNumberFormat="1" applyFont="1" applyFill="1" applyBorder="1" applyAlignment="1">
      <alignment horizontal="right" vertical="center"/>
      <protection/>
    </xf>
    <xf numFmtId="3" fontId="12" fillId="0" borderId="107" xfId="117" applyNumberFormat="1" applyFont="1" applyFill="1" applyBorder="1" applyAlignment="1">
      <alignment horizontal="right"/>
      <protection/>
    </xf>
    <xf numFmtId="3" fontId="12" fillId="0" borderId="171" xfId="117" applyNumberFormat="1" applyFont="1" applyFill="1" applyBorder="1" applyAlignment="1">
      <alignment horizontal="right"/>
      <protection/>
    </xf>
    <xf numFmtId="3" fontId="12" fillId="0" borderId="133" xfId="127" applyNumberFormat="1" applyFont="1" applyFill="1" applyBorder="1" applyAlignment="1">
      <alignment horizontal="right" vertical="center"/>
      <protection/>
    </xf>
    <xf numFmtId="3" fontId="12" fillId="0" borderId="185" xfId="117" applyNumberFormat="1" applyFont="1" applyFill="1" applyBorder="1" applyAlignment="1">
      <alignment horizontal="right"/>
      <protection/>
    </xf>
    <xf numFmtId="3" fontId="12" fillId="0" borderId="133" xfId="119" applyNumberFormat="1" applyFont="1" applyFill="1" applyBorder="1" applyAlignment="1">
      <alignment horizontal="right" wrapText="1"/>
      <protection/>
    </xf>
    <xf numFmtId="3" fontId="5" fillId="0" borderId="107" xfId="119" applyNumberFormat="1" applyFont="1" applyFill="1" applyBorder="1" applyAlignment="1">
      <alignment horizontal="right" wrapText="1"/>
      <protection/>
    </xf>
    <xf numFmtId="3" fontId="5" fillId="0" borderId="20" xfId="127" applyNumberFormat="1" applyFont="1" applyFill="1" applyBorder="1" applyAlignment="1">
      <alignment horizontal="right"/>
      <protection/>
    </xf>
    <xf numFmtId="3" fontId="5" fillId="0" borderId="93" xfId="127" applyNumberFormat="1" applyFont="1" applyFill="1" applyBorder="1" applyAlignment="1">
      <alignment horizontal="right"/>
      <protection/>
    </xf>
    <xf numFmtId="3" fontId="5" fillId="0" borderId="133" xfId="119" applyNumberFormat="1" applyFont="1" applyFill="1" applyBorder="1" applyAlignment="1">
      <alignment horizontal="right" vertical="center" wrapText="1"/>
      <protection/>
    </xf>
    <xf numFmtId="3" fontId="5" fillId="0" borderId="201" xfId="119" applyNumberFormat="1" applyFont="1" applyFill="1" applyBorder="1" applyAlignment="1">
      <alignment horizontal="right" vertical="center" wrapText="1"/>
      <protection/>
    </xf>
    <xf numFmtId="3" fontId="5" fillId="0" borderId="133" xfId="119" applyNumberFormat="1" applyFont="1" applyFill="1" applyBorder="1" applyAlignment="1">
      <alignment horizontal="right" wrapText="1"/>
      <protection/>
    </xf>
    <xf numFmtId="3" fontId="5" fillId="0" borderId="201" xfId="119" applyNumberFormat="1" applyFont="1" applyFill="1" applyBorder="1" applyAlignment="1">
      <alignment horizontal="right" wrapText="1"/>
      <protection/>
    </xf>
    <xf numFmtId="3" fontId="5" fillId="0" borderId="183" xfId="119" applyNumberFormat="1" applyFont="1" applyFill="1" applyBorder="1" applyAlignment="1">
      <alignment horizontal="right" wrapText="1"/>
      <protection/>
    </xf>
    <xf numFmtId="3" fontId="5" fillId="0" borderId="162" xfId="119" applyNumberFormat="1" applyFont="1" applyFill="1" applyBorder="1" applyAlignment="1">
      <alignment horizontal="right" wrapText="1"/>
      <protection/>
    </xf>
    <xf numFmtId="3" fontId="5" fillId="0" borderId="113" xfId="119" applyNumberFormat="1" applyFont="1" applyFill="1" applyBorder="1" applyAlignment="1">
      <alignment horizontal="right" wrapText="1"/>
      <protection/>
    </xf>
    <xf numFmtId="3" fontId="5" fillId="0" borderId="113" xfId="127" applyNumberFormat="1" applyFont="1" applyFill="1" applyBorder="1" applyAlignment="1">
      <alignment horizontal="right"/>
      <protection/>
    </xf>
    <xf numFmtId="3" fontId="5" fillId="0" borderId="162" xfId="127" applyNumberFormat="1" applyFont="1" applyFill="1" applyBorder="1" applyAlignment="1">
      <alignment horizontal="right"/>
      <protection/>
    </xf>
    <xf numFmtId="3" fontId="5" fillId="0" borderId="38" xfId="127" applyNumberFormat="1" applyFont="1" applyFill="1" applyBorder="1" applyAlignment="1">
      <alignment horizontal="right"/>
      <protection/>
    </xf>
    <xf numFmtId="3" fontId="4" fillId="0" borderId="160" xfId="127" applyNumberFormat="1" applyFont="1" applyFill="1" applyBorder="1" applyAlignment="1">
      <alignment horizontal="right"/>
      <protection/>
    </xf>
    <xf numFmtId="3" fontId="5" fillId="0" borderId="202" xfId="116" applyNumberFormat="1" applyFont="1" applyFill="1" applyBorder="1" applyAlignment="1">
      <alignment horizontal="center" vertical="center"/>
      <protection/>
    </xf>
    <xf numFmtId="3" fontId="17" fillId="0" borderId="203" xfId="116" applyNumberFormat="1" applyFont="1" applyFill="1" applyBorder="1">
      <alignment/>
      <protection/>
    </xf>
    <xf numFmtId="3" fontId="5" fillId="0" borderId="126" xfId="116" applyNumberFormat="1" applyFont="1" applyFill="1" applyBorder="1">
      <alignment/>
      <protection/>
    </xf>
    <xf numFmtId="3" fontId="17" fillId="0" borderId="204" xfId="116" applyNumberFormat="1" applyFont="1" applyFill="1" applyBorder="1">
      <alignment/>
      <protection/>
    </xf>
    <xf numFmtId="3" fontId="17" fillId="0" borderId="126" xfId="116" applyNumberFormat="1" applyFont="1" applyFill="1" applyBorder="1">
      <alignment/>
      <protection/>
    </xf>
    <xf numFmtId="3" fontId="5" fillId="0" borderId="126" xfId="116" applyNumberFormat="1" applyFont="1" applyFill="1" applyBorder="1" applyAlignment="1">
      <alignment vertical="center"/>
      <protection/>
    </xf>
    <xf numFmtId="3" fontId="5" fillId="0" borderId="126" xfId="116" applyNumberFormat="1" applyFont="1" applyFill="1" applyBorder="1" applyAlignment="1">
      <alignment/>
      <protection/>
    </xf>
    <xf numFmtId="3" fontId="17" fillId="0" borderId="178" xfId="116" applyNumberFormat="1" applyFont="1" applyFill="1" applyBorder="1" applyAlignment="1">
      <alignment vertical="center"/>
      <protection/>
    </xf>
    <xf numFmtId="3" fontId="5" fillId="0" borderId="126" xfId="116" applyNumberFormat="1" applyFont="1" applyFill="1" applyBorder="1" applyAlignment="1">
      <alignment vertical="top"/>
      <protection/>
    </xf>
    <xf numFmtId="3" fontId="84" fillId="0" borderId="132" xfId="0" applyNumberFormat="1" applyFont="1" applyFill="1" applyBorder="1" applyAlignment="1">
      <alignment horizontal="center" vertical="center"/>
    </xf>
    <xf numFmtId="3" fontId="84" fillId="0" borderId="133" xfId="0" applyNumberFormat="1" applyFont="1" applyFill="1" applyBorder="1" applyAlignment="1">
      <alignment horizontal="center"/>
    </xf>
    <xf numFmtId="3" fontId="84" fillId="0" borderId="180" xfId="0" applyNumberFormat="1" applyFont="1" applyFill="1" applyBorder="1" applyAlignment="1">
      <alignment horizontal="center"/>
    </xf>
    <xf numFmtId="3" fontId="12" fillId="0" borderId="133" xfId="0" applyNumberFormat="1" applyFont="1" applyFill="1" applyBorder="1" applyAlignment="1">
      <alignment vertical="center"/>
    </xf>
    <xf numFmtId="3" fontId="12" fillId="0" borderId="184" xfId="0" applyNumberFormat="1" applyFont="1" applyFill="1" applyBorder="1" applyAlignment="1">
      <alignment vertical="center"/>
    </xf>
    <xf numFmtId="3" fontId="85" fillId="0" borderId="132" xfId="0" applyNumberFormat="1" applyFont="1" applyFill="1" applyBorder="1" applyAlignment="1">
      <alignment horizontal="left" vertical="center" wrapText="1"/>
    </xf>
    <xf numFmtId="3" fontId="85" fillId="0" borderId="133" xfId="0" applyNumberFormat="1" applyFont="1" applyFill="1" applyBorder="1" applyAlignment="1">
      <alignment horizontal="left" vertical="center" wrapText="1"/>
    </xf>
    <xf numFmtId="3" fontId="85" fillId="0" borderId="133" xfId="0" applyNumberFormat="1" applyFont="1" applyFill="1" applyBorder="1" applyAlignment="1">
      <alignment horizontal="right" vertical="center"/>
    </xf>
    <xf numFmtId="3" fontId="85" fillId="0" borderId="180" xfId="0" applyNumberFormat="1" applyFont="1" applyFill="1" applyBorder="1" applyAlignment="1">
      <alignment horizontal="right" vertical="center"/>
    </xf>
    <xf numFmtId="3" fontId="12" fillId="0" borderId="134" xfId="0" applyNumberFormat="1" applyFont="1" applyFill="1" applyBorder="1" applyAlignment="1">
      <alignment/>
    </xf>
    <xf numFmtId="3" fontId="12" fillId="0" borderId="133" xfId="0" applyNumberFormat="1" applyFont="1" applyFill="1" applyBorder="1" applyAlignment="1">
      <alignment horizontal="right" vertical="center"/>
    </xf>
    <xf numFmtId="3" fontId="12" fillId="0" borderId="184" xfId="0" applyNumberFormat="1" applyFont="1" applyFill="1" applyBorder="1" applyAlignment="1">
      <alignment horizontal="right" vertical="center"/>
    </xf>
    <xf numFmtId="3" fontId="12" fillId="0" borderId="40" xfId="127" applyNumberFormat="1" applyFont="1" applyBorder="1" applyAlignment="1" applyProtection="1">
      <alignment horizontal="left"/>
      <protection locked="0"/>
    </xf>
    <xf numFmtId="3" fontId="12" fillId="0" borderId="21" xfId="127" applyNumberFormat="1" applyFont="1" applyBorder="1" applyProtection="1">
      <alignment/>
      <protection locked="0"/>
    </xf>
    <xf numFmtId="3" fontId="12" fillId="0" borderId="21" xfId="127" applyNumberFormat="1" applyFont="1" applyBorder="1" applyAlignment="1" applyProtection="1">
      <alignment horizontal="left"/>
      <protection locked="0"/>
    </xf>
    <xf numFmtId="3" fontId="12" fillId="0" borderId="21" xfId="127" applyNumberFormat="1" applyFont="1" applyBorder="1" applyAlignment="1" applyProtection="1">
      <alignment vertical="top"/>
      <protection locked="0"/>
    </xf>
    <xf numFmtId="0" fontId="10" fillId="0" borderId="0" xfId="127" applyFont="1" applyBorder="1" applyAlignment="1" applyProtection="1">
      <alignment horizontal="center"/>
      <protection locked="0"/>
    </xf>
    <xf numFmtId="3" fontId="12" fillId="0" borderId="40" xfId="127" applyNumberFormat="1" applyFont="1" applyBorder="1" applyProtection="1">
      <alignment/>
      <protection locked="0"/>
    </xf>
    <xf numFmtId="3" fontId="16" fillId="0" borderId="42" xfId="127" applyNumberFormat="1" applyFont="1" applyFill="1" applyBorder="1" applyAlignment="1" applyProtection="1">
      <alignment horizontal="right" vertical="center"/>
      <protection locked="0"/>
    </xf>
    <xf numFmtId="3" fontId="12" fillId="0" borderId="21" xfId="127" applyNumberFormat="1" applyFont="1" applyFill="1" applyBorder="1" applyAlignment="1" applyProtection="1">
      <alignment vertical="top"/>
      <protection locked="0"/>
    </xf>
    <xf numFmtId="3" fontId="16" fillId="0" borderId="27" xfId="127" applyNumberFormat="1" applyFont="1" applyFill="1" applyBorder="1" applyAlignment="1" applyProtection="1">
      <alignment horizontal="right" vertical="center"/>
      <protection locked="0"/>
    </xf>
    <xf numFmtId="3" fontId="12" fillId="0" borderId="107" xfId="119" applyNumberFormat="1" applyFont="1" applyFill="1" applyBorder="1" applyAlignment="1">
      <alignment horizontal="right" vertical="center" wrapText="1"/>
      <protection/>
    </xf>
    <xf numFmtId="3" fontId="12" fillId="0" borderId="133" xfId="119" applyNumberFormat="1" applyFont="1" applyFill="1" applyBorder="1" applyAlignment="1">
      <alignment horizontal="right" vertical="center" wrapText="1"/>
      <protection/>
    </xf>
    <xf numFmtId="3" fontId="12" fillId="0" borderId="201" xfId="119" applyNumberFormat="1" applyFont="1" applyFill="1" applyBorder="1" applyAlignment="1">
      <alignment horizontal="right" vertical="center" wrapText="1"/>
      <protection/>
    </xf>
    <xf numFmtId="10" fontId="97" fillId="0" borderId="18" xfId="0" applyNumberFormat="1" applyFont="1" applyFill="1" applyBorder="1" applyAlignment="1">
      <alignment vertical="center"/>
    </xf>
    <xf numFmtId="10" fontId="94" fillId="0" borderId="23" xfId="0" applyNumberFormat="1" applyFont="1" applyFill="1" applyBorder="1" applyAlignment="1">
      <alignment/>
    </xf>
    <xf numFmtId="10" fontId="95" fillId="0" borderId="3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17" fillId="0" borderId="203" xfId="116" applyNumberFormat="1" applyFont="1" applyFill="1" applyBorder="1" applyAlignment="1">
      <alignment horizontal="right" wrapText="1"/>
      <protection/>
    </xf>
    <xf numFmtId="3" fontId="17" fillId="0" borderId="126" xfId="116" applyNumberFormat="1" applyFont="1" applyFill="1" applyBorder="1" applyAlignment="1">
      <alignment horizontal="right" wrapText="1"/>
      <protection/>
    </xf>
    <xf numFmtId="3" fontId="17" fillId="0" borderId="126" xfId="0" applyNumberFormat="1" applyFont="1" applyFill="1" applyBorder="1" applyAlignment="1">
      <alignment horizontal="right"/>
    </xf>
    <xf numFmtId="3" fontId="5" fillId="0" borderId="126" xfId="0" applyNumberFormat="1" applyFont="1" applyFill="1" applyBorder="1" applyAlignment="1">
      <alignment/>
    </xf>
    <xf numFmtId="3" fontId="17" fillId="0" borderId="126" xfId="0" applyNumberFormat="1" applyFont="1" applyFill="1" applyBorder="1" applyAlignment="1">
      <alignment/>
    </xf>
    <xf numFmtId="0" fontId="5" fillId="0" borderId="126" xfId="0" applyFont="1" applyFill="1" applyBorder="1" applyAlignment="1">
      <alignment/>
    </xf>
    <xf numFmtId="3" fontId="5" fillId="0" borderId="126" xfId="0" applyNumberFormat="1" applyFont="1" applyFill="1" applyBorder="1" applyAlignment="1">
      <alignment horizontal="right"/>
    </xf>
    <xf numFmtId="3" fontId="17" fillId="0" borderId="126" xfId="0" applyNumberFormat="1" applyFont="1" applyFill="1" applyBorder="1" applyAlignment="1">
      <alignment/>
    </xf>
    <xf numFmtId="3" fontId="5" fillId="0" borderId="126" xfId="0" applyNumberFormat="1" applyFont="1" applyFill="1" applyBorder="1" applyAlignment="1">
      <alignment/>
    </xf>
    <xf numFmtId="3" fontId="17" fillId="0" borderId="204" xfId="116" applyNumberFormat="1" applyFont="1" applyFill="1" applyBorder="1" applyAlignment="1">
      <alignment horizontal="right" wrapText="1"/>
      <protection/>
    </xf>
    <xf numFmtId="3" fontId="17" fillId="0" borderId="204" xfId="0" applyNumberFormat="1" applyFont="1" applyFill="1" applyBorder="1" applyAlignment="1">
      <alignment horizontal="right" vertical="center"/>
    </xf>
    <xf numFmtId="3" fontId="17" fillId="0" borderId="205" xfId="0" applyNumberFormat="1" applyFont="1" applyFill="1" applyBorder="1" applyAlignment="1">
      <alignment horizontal="right" vertical="center"/>
    </xf>
    <xf numFmtId="3" fontId="17" fillId="0" borderId="206" xfId="0" applyNumberFormat="1" applyFont="1" applyFill="1" applyBorder="1" applyAlignment="1">
      <alignment horizontal="right" vertical="center"/>
    </xf>
    <xf numFmtId="3" fontId="17" fillId="0" borderId="126" xfId="0" applyNumberFormat="1" applyFont="1" applyFill="1" applyBorder="1" applyAlignment="1">
      <alignment horizontal="right" vertical="center"/>
    </xf>
    <xf numFmtId="3" fontId="17" fillId="0" borderId="126" xfId="0" applyNumberFormat="1" applyFont="1" applyFill="1" applyBorder="1" applyAlignment="1">
      <alignment vertical="center"/>
    </xf>
    <xf numFmtId="0" fontId="17" fillId="0" borderId="126" xfId="0" applyFont="1" applyFill="1" applyBorder="1" applyAlignment="1">
      <alignment/>
    </xf>
    <xf numFmtId="3" fontId="17" fillId="0" borderId="207" xfId="0" applyNumberFormat="1" applyFont="1" applyFill="1" applyBorder="1" applyAlignment="1">
      <alignment horizontal="right" vertical="center"/>
    </xf>
    <xf numFmtId="3" fontId="12" fillId="0" borderId="21" xfId="127" applyNumberFormat="1" applyFont="1" applyFill="1" applyBorder="1" applyProtection="1">
      <alignment/>
      <protection locked="0"/>
    </xf>
    <xf numFmtId="3" fontId="13" fillId="0" borderId="22" xfId="125" applyNumberFormat="1" applyFont="1" applyFill="1" applyBorder="1" applyAlignment="1">
      <alignment horizontal="left" wrapText="1"/>
      <protection/>
    </xf>
    <xf numFmtId="3" fontId="17" fillId="34" borderId="208" xfId="120" applyNumberFormat="1" applyFont="1" applyFill="1" applyBorder="1" applyAlignment="1">
      <alignment horizontal="center" vertical="center" wrapText="1"/>
      <protection/>
    </xf>
    <xf numFmtId="3" fontId="17" fillId="34" borderId="168" xfId="120" applyNumberFormat="1" applyFont="1" applyFill="1" applyBorder="1" applyAlignment="1">
      <alignment horizontal="center" vertical="center" wrapText="1"/>
      <protection/>
    </xf>
    <xf numFmtId="3" fontId="17" fillId="34" borderId="68" xfId="12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09" xfId="0" applyFont="1" applyBorder="1" applyAlignment="1">
      <alignment horizontal="center" vertical="center" wrapText="1"/>
    </xf>
    <xf numFmtId="0" fontId="4" fillId="0" borderId="210" xfId="0" applyFont="1" applyBorder="1" applyAlignment="1">
      <alignment horizontal="center" vertical="center" wrapText="1"/>
    </xf>
    <xf numFmtId="3" fontId="4" fillId="0" borderId="211" xfId="0" applyNumberFormat="1" applyFont="1" applyBorder="1" applyAlignment="1">
      <alignment horizontal="center" vertical="center"/>
    </xf>
    <xf numFmtId="3" fontId="4" fillId="0" borderId="199" xfId="0" applyNumberFormat="1" applyFont="1" applyBorder="1" applyAlignment="1">
      <alignment horizontal="center" vertical="center"/>
    </xf>
    <xf numFmtId="3" fontId="5" fillId="0" borderId="211" xfId="0" applyNumberFormat="1" applyFont="1" applyBorder="1" applyAlignment="1">
      <alignment horizontal="center" vertical="center"/>
    </xf>
    <xf numFmtId="3" fontId="5" fillId="0" borderId="199" xfId="0" applyNumberFormat="1" applyFont="1" applyBorder="1" applyAlignment="1">
      <alignment horizontal="center" vertical="center"/>
    </xf>
    <xf numFmtId="3" fontId="4" fillId="0" borderId="211" xfId="0" applyNumberFormat="1" applyFont="1" applyBorder="1" applyAlignment="1">
      <alignment horizontal="center" vertical="center" wrapText="1"/>
    </xf>
    <xf numFmtId="3" fontId="4" fillId="0" borderId="199" xfId="0" applyNumberFormat="1" applyFont="1" applyBorder="1" applyAlignment="1">
      <alignment horizontal="center" vertical="center" wrapText="1"/>
    </xf>
    <xf numFmtId="0" fontId="4" fillId="0" borderId="0" xfId="118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118" applyNumberFormat="1" applyFont="1" applyAlignment="1">
      <alignment horizontal="right" vertical="center"/>
      <protection/>
    </xf>
    <xf numFmtId="0" fontId="4" fillId="0" borderId="0" xfId="118" applyFont="1" applyAlignment="1">
      <alignment horizontal="center"/>
      <protection/>
    </xf>
    <xf numFmtId="0" fontId="4" fillId="0" borderId="0" xfId="0" applyFont="1" applyAlignment="1">
      <alignment horizontal="center"/>
    </xf>
    <xf numFmtId="3" fontId="2" fillId="0" borderId="0" xfId="116" applyNumberFormat="1" applyFont="1" applyFill="1" applyAlignment="1">
      <alignment horizontal="left"/>
      <protection/>
    </xf>
    <xf numFmtId="3" fontId="4" fillId="0" borderId="0" xfId="116" applyNumberFormat="1" applyFont="1" applyFill="1" applyAlignment="1">
      <alignment horizontal="center" vertical="center"/>
      <protection/>
    </xf>
    <xf numFmtId="3" fontId="13" fillId="0" borderId="212" xfId="0" applyNumberFormat="1" applyFont="1" applyFill="1" applyBorder="1" applyAlignment="1">
      <alignment horizontal="center" vertical="center"/>
    </xf>
    <xf numFmtId="3" fontId="13" fillId="0" borderId="176" xfId="0" applyNumberFormat="1" applyFont="1" applyFill="1" applyBorder="1" applyAlignment="1">
      <alignment horizontal="center" vertical="center"/>
    </xf>
    <xf numFmtId="3" fontId="13" fillId="0" borderId="95" xfId="0" applyNumberFormat="1" applyFont="1" applyFill="1" applyBorder="1" applyAlignment="1">
      <alignment horizontal="center" vertical="center"/>
    </xf>
    <xf numFmtId="3" fontId="13" fillId="0" borderId="22" xfId="125" applyNumberFormat="1" applyFont="1" applyFill="1" applyBorder="1" applyAlignment="1">
      <alignment horizontal="left"/>
      <protection/>
    </xf>
    <xf numFmtId="3" fontId="13" fillId="0" borderId="93" xfId="125" applyNumberFormat="1" applyFont="1" applyFill="1" applyBorder="1" applyAlignment="1">
      <alignment horizontal="left"/>
      <protection/>
    </xf>
    <xf numFmtId="3" fontId="10" fillId="0" borderId="22" xfId="125" applyNumberFormat="1" applyFont="1" applyFill="1" applyBorder="1" applyAlignment="1">
      <alignment horizontal="left"/>
      <protection/>
    </xf>
    <xf numFmtId="3" fontId="10" fillId="0" borderId="93" xfId="125" applyNumberFormat="1" applyFont="1" applyFill="1" applyBorder="1" applyAlignment="1">
      <alignment horizontal="left"/>
      <protection/>
    </xf>
    <xf numFmtId="3" fontId="13" fillId="0" borderId="24" xfId="125" applyNumberFormat="1" applyFont="1" applyFill="1" applyBorder="1" applyAlignment="1">
      <alignment horizontal="left"/>
      <protection/>
    </xf>
    <xf numFmtId="3" fontId="13" fillId="0" borderId="88" xfId="125" applyNumberFormat="1" applyFont="1" applyFill="1" applyBorder="1" applyAlignment="1">
      <alignment horizontal="left"/>
      <protection/>
    </xf>
    <xf numFmtId="3" fontId="16" fillId="0" borderId="102" xfId="0" applyNumberFormat="1" applyFont="1" applyFill="1" applyBorder="1" applyAlignment="1">
      <alignment horizontal="left" vertical="center"/>
    </xf>
    <xf numFmtId="3" fontId="16" fillId="0" borderId="213" xfId="0" applyNumberFormat="1" applyFont="1" applyFill="1" applyBorder="1" applyAlignment="1">
      <alignment horizontal="left" vertical="center"/>
    </xf>
    <xf numFmtId="3" fontId="16" fillId="0" borderId="103" xfId="0" applyNumberFormat="1" applyFont="1" applyFill="1" applyBorder="1" applyAlignment="1">
      <alignment horizontal="left" vertical="center"/>
    </xf>
    <xf numFmtId="3" fontId="10" fillId="0" borderId="22" xfId="125" applyNumberFormat="1" applyFont="1" applyFill="1" applyBorder="1" applyAlignment="1">
      <alignment horizontal="left" wrapText="1"/>
      <protection/>
    </xf>
    <xf numFmtId="3" fontId="10" fillId="0" borderId="93" xfId="125" applyNumberFormat="1" applyFont="1" applyFill="1" applyBorder="1" applyAlignment="1">
      <alignment horizontal="left" wrapText="1"/>
      <protection/>
    </xf>
    <xf numFmtId="3" fontId="13" fillId="0" borderId="22" xfId="125" applyNumberFormat="1" applyFont="1" applyFill="1" applyBorder="1" applyAlignment="1">
      <alignment horizontal="left" wrapText="1"/>
      <protection/>
    </xf>
    <xf numFmtId="3" fontId="10" fillId="0" borderId="214" xfId="0" applyNumberFormat="1" applyFont="1" applyFill="1" applyBorder="1" applyAlignment="1">
      <alignment horizontal="center" vertical="center" wrapText="1"/>
    </xf>
    <xf numFmtId="3" fontId="13" fillId="0" borderId="177" xfId="0" applyNumberFormat="1" applyFont="1" applyFill="1" applyBorder="1" applyAlignment="1">
      <alignment horizontal="center" vertical="center" wrapText="1"/>
    </xf>
    <xf numFmtId="3" fontId="13" fillId="0" borderId="8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3" fontId="6" fillId="0" borderId="54" xfId="0" applyNumberFormat="1" applyFont="1" applyFill="1" applyBorder="1" applyAlignment="1">
      <alignment horizontal="center" vertical="center"/>
    </xf>
    <xf numFmtId="3" fontId="13" fillId="0" borderId="212" xfId="125" applyNumberFormat="1" applyFont="1" applyFill="1" applyBorder="1" applyAlignment="1">
      <alignment horizontal="center" vertical="center"/>
      <protection/>
    </xf>
    <xf numFmtId="3" fontId="13" fillId="0" borderId="176" xfId="125" applyNumberFormat="1" applyFont="1" applyFill="1" applyBorder="1" applyAlignment="1">
      <alignment horizontal="center" vertical="center"/>
      <protection/>
    </xf>
    <xf numFmtId="3" fontId="13" fillId="0" borderId="95" xfId="125" applyNumberFormat="1" applyFont="1" applyFill="1" applyBorder="1" applyAlignment="1">
      <alignment horizontal="center" vertical="center"/>
      <protection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209" xfId="0" applyNumberFormat="1" applyFont="1" applyFill="1" applyBorder="1" applyAlignment="1">
      <alignment horizontal="center" vertical="center" textRotation="90"/>
    </xf>
    <xf numFmtId="3" fontId="10" fillId="0" borderId="210" xfId="0" applyNumberFormat="1" applyFont="1" applyFill="1" applyBorder="1" applyAlignment="1">
      <alignment horizontal="center" vertical="center" textRotation="90"/>
    </xf>
    <xf numFmtId="3" fontId="10" fillId="0" borderId="215" xfId="0" applyNumberFormat="1" applyFont="1" applyFill="1" applyBorder="1" applyAlignment="1">
      <alignment horizontal="center" vertical="center" textRotation="90"/>
    </xf>
    <xf numFmtId="0" fontId="0" fillId="0" borderId="84" xfId="0" applyFont="1" applyFill="1" applyBorder="1" applyAlignment="1">
      <alignment horizontal="center" vertical="center"/>
    </xf>
    <xf numFmtId="3" fontId="13" fillId="0" borderId="215" xfId="0" applyNumberFormat="1" applyFont="1" applyFill="1" applyBorder="1" applyAlignment="1">
      <alignment horizontal="center" vertical="center"/>
    </xf>
    <xf numFmtId="3" fontId="13" fillId="0" borderId="216" xfId="0" applyNumberFormat="1" applyFont="1" applyFill="1" applyBorder="1" applyAlignment="1">
      <alignment horizontal="center" vertical="center"/>
    </xf>
    <xf numFmtId="3" fontId="13" fillId="0" borderId="84" xfId="0" applyNumberFormat="1" applyFont="1" applyFill="1" applyBorder="1" applyAlignment="1">
      <alignment horizontal="center" vertical="center"/>
    </xf>
    <xf numFmtId="3" fontId="13" fillId="0" borderId="121" xfId="0" applyNumberFormat="1" applyFont="1" applyFill="1" applyBorder="1" applyAlignment="1">
      <alignment horizontal="center" vertical="center"/>
    </xf>
    <xf numFmtId="3" fontId="10" fillId="0" borderId="2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3" fontId="10" fillId="0" borderId="211" xfId="0" applyNumberFormat="1" applyFont="1" applyFill="1" applyBorder="1" applyAlignment="1">
      <alignment horizontal="center" vertical="center" wrapText="1"/>
    </xf>
    <xf numFmtId="3" fontId="10" fillId="0" borderId="199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115" xfId="0" applyNumberFormat="1" applyFont="1" applyFill="1" applyBorder="1" applyAlignment="1">
      <alignment horizontal="center" vertical="center"/>
    </xf>
    <xf numFmtId="3" fontId="13" fillId="0" borderId="50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/>
    </xf>
    <xf numFmtId="3" fontId="13" fillId="0" borderId="217" xfId="0" applyNumberFormat="1" applyFont="1" applyFill="1" applyBorder="1" applyAlignment="1">
      <alignment horizontal="center" vertical="center"/>
    </xf>
    <xf numFmtId="3" fontId="10" fillId="0" borderId="211" xfId="0" applyNumberFormat="1" applyFont="1" applyFill="1" applyBorder="1" applyAlignment="1">
      <alignment horizontal="center" vertical="center" textRotation="90"/>
    </xf>
    <xf numFmtId="0" fontId="0" fillId="0" borderId="199" xfId="0" applyFont="1" applyFill="1" applyBorder="1" applyAlignment="1">
      <alignment horizontal="center" vertical="center"/>
    </xf>
    <xf numFmtId="3" fontId="13" fillId="0" borderId="211" xfId="0" applyNumberFormat="1" applyFont="1" applyFill="1" applyBorder="1" applyAlignment="1">
      <alignment horizontal="center" vertical="center"/>
    </xf>
    <xf numFmtId="3" fontId="13" fillId="0" borderId="199" xfId="0" applyNumberFormat="1" applyFont="1" applyFill="1" applyBorder="1" applyAlignment="1">
      <alignment horizontal="center" vertical="center"/>
    </xf>
    <xf numFmtId="3" fontId="10" fillId="0" borderId="215" xfId="0" applyNumberFormat="1" applyFont="1" applyFill="1" applyBorder="1" applyAlignment="1">
      <alignment horizontal="center" vertical="center" wrapText="1"/>
    </xf>
    <xf numFmtId="3" fontId="10" fillId="0" borderId="84" xfId="0" applyNumberFormat="1" applyFont="1" applyFill="1" applyBorder="1" applyAlignment="1">
      <alignment horizontal="center" vertical="center" wrapText="1"/>
    </xf>
    <xf numFmtId="3" fontId="10" fillId="0" borderId="172" xfId="125" applyNumberFormat="1" applyFont="1" applyFill="1" applyBorder="1" applyAlignment="1">
      <alignment horizontal="left"/>
      <protection/>
    </xf>
    <xf numFmtId="3" fontId="10" fillId="0" borderId="159" xfId="125" applyNumberFormat="1" applyFont="1" applyFill="1" applyBorder="1" applyAlignment="1">
      <alignment horizontal="left"/>
      <protection/>
    </xf>
    <xf numFmtId="3" fontId="13" fillId="0" borderId="24" xfId="0" applyNumberFormat="1" applyFont="1" applyFill="1" applyBorder="1" applyAlignment="1">
      <alignment horizontal="left"/>
    </xf>
    <xf numFmtId="3" fontId="13" fillId="0" borderId="88" xfId="0" applyNumberFormat="1" applyFont="1" applyFill="1" applyBorder="1" applyAlignment="1">
      <alignment horizontal="left"/>
    </xf>
    <xf numFmtId="3" fontId="13" fillId="0" borderId="59" xfId="0" applyNumberFormat="1" applyFont="1" applyFill="1" applyBorder="1" applyAlignment="1">
      <alignment horizontal="left"/>
    </xf>
    <xf numFmtId="3" fontId="13" fillId="0" borderId="95" xfId="0" applyNumberFormat="1" applyFont="1" applyFill="1" applyBorder="1" applyAlignment="1">
      <alignment horizontal="left"/>
    </xf>
    <xf numFmtId="3" fontId="16" fillId="0" borderId="22" xfId="125" applyNumberFormat="1" applyFont="1" applyFill="1" applyBorder="1" applyAlignment="1">
      <alignment horizontal="left"/>
      <protection/>
    </xf>
    <xf numFmtId="3" fontId="16" fillId="0" borderId="93" xfId="125" applyNumberFormat="1" applyFont="1" applyFill="1" applyBorder="1" applyAlignment="1">
      <alignment horizontal="left"/>
      <protection/>
    </xf>
    <xf numFmtId="3" fontId="10" fillId="0" borderId="109" xfId="125" applyNumberFormat="1" applyFont="1" applyFill="1" applyBorder="1" applyAlignment="1">
      <alignment horizontal="left"/>
      <protection/>
    </xf>
    <xf numFmtId="3" fontId="10" fillId="0" borderId="218" xfId="125" applyNumberFormat="1" applyFont="1" applyFill="1" applyBorder="1" applyAlignment="1">
      <alignment horizontal="left"/>
      <protection/>
    </xf>
    <xf numFmtId="3" fontId="10" fillId="0" borderId="109" xfId="125" applyNumberFormat="1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left"/>
    </xf>
    <xf numFmtId="3" fontId="12" fillId="0" borderId="19" xfId="0" applyNumberFormat="1" applyFont="1" applyFill="1" applyBorder="1" applyAlignment="1">
      <alignment horizontal="left" vertical="center" wrapText="1"/>
    </xf>
    <xf numFmtId="3" fontId="12" fillId="0" borderId="93" xfId="0" applyNumberFormat="1" applyFont="1" applyFill="1" applyBorder="1" applyAlignment="1">
      <alignment horizontal="left" vertical="center" wrapText="1"/>
    </xf>
    <xf numFmtId="3" fontId="12" fillId="0" borderId="20" xfId="0" applyNumberFormat="1" applyFont="1" applyFill="1" applyBorder="1" applyAlignment="1">
      <alignment horizontal="left" vertical="center" wrapText="1"/>
    </xf>
    <xf numFmtId="3" fontId="12" fillId="0" borderId="19" xfId="0" applyNumberFormat="1" applyFont="1" applyFill="1" applyBorder="1" applyAlignment="1">
      <alignment horizontal="left" vertical="top" wrapText="1"/>
    </xf>
    <xf numFmtId="3" fontId="12" fillId="0" borderId="93" xfId="0" applyNumberFormat="1" applyFont="1" applyFill="1" applyBorder="1" applyAlignment="1">
      <alignment horizontal="left" vertical="top" wrapText="1"/>
    </xf>
    <xf numFmtId="3" fontId="12" fillId="0" borderId="20" xfId="0" applyNumberFormat="1" applyFont="1" applyFill="1" applyBorder="1" applyAlignment="1">
      <alignment horizontal="left" vertical="top" wrapText="1"/>
    </xf>
    <xf numFmtId="3" fontId="16" fillId="0" borderId="102" xfId="125" applyNumberFormat="1" applyFont="1" applyFill="1" applyBorder="1" applyAlignment="1">
      <alignment horizontal="left" vertical="center"/>
      <protection/>
    </xf>
    <xf numFmtId="3" fontId="16" fillId="0" borderId="213" xfId="125" applyNumberFormat="1" applyFont="1" applyFill="1" applyBorder="1" applyAlignment="1">
      <alignment horizontal="left" vertical="center"/>
      <protection/>
    </xf>
    <xf numFmtId="3" fontId="16" fillId="0" borderId="103" xfId="125" applyNumberFormat="1" applyFont="1" applyFill="1" applyBorder="1" applyAlignment="1">
      <alignment horizontal="left" vertical="center"/>
      <protection/>
    </xf>
    <xf numFmtId="3" fontId="12" fillId="0" borderId="35" xfId="0" applyNumberFormat="1" applyFont="1" applyFill="1" applyBorder="1" applyAlignment="1">
      <alignment horizontal="left" vertical="center"/>
    </xf>
    <xf numFmtId="3" fontId="12" fillId="0" borderId="95" xfId="0" applyNumberFormat="1" applyFont="1" applyFill="1" applyBorder="1" applyAlignment="1">
      <alignment horizontal="left" vertical="center"/>
    </xf>
    <xf numFmtId="3" fontId="12" fillId="0" borderId="36" xfId="0" applyNumberFormat="1" applyFont="1" applyFill="1" applyBorder="1" applyAlignment="1">
      <alignment horizontal="left" vertical="center"/>
    </xf>
    <xf numFmtId="3" fontId="10" fillId="0" borderId="22" xfId="125" applyNumberFormat="1" applyFont="1" applyFill="1" applyBorder="1" applyAlignment="1">
      <alignment horizontal="left" vertical="top" wrapText="1"/>
      <protection/>
    </xf>
    <xf numFmtId="3" fontId="10" fillId="0" borderId="93" xfId="125" applyNumberFormat="1" applyFont="1" applyFill="1" applyBorder="1" applyAlignment="1">
      <alignment horizontal="left" vertical="top" wrapText="1"/>
      <protection/>
    </xf>
    <xf numFmtId="0" fontId="2" fillId="0" borderId="22" xfId="119" applyFont="1" applyFill="1" applyBorder="1" applyAlignment="1">
      <alignment horizontal="left" vertical="top" wrapText="1"/>
      <protection/>
    </xf>
    <xf numFmtId="0" fontId="2" fillId="0" borderId="109" xfId="119" applyFont="1" applyFill="1" applyBorder="1" applyAlignment="1">
      <alignment horizontal="left" vertical="top" wrapText="1"/>
      <protection/>
    </xf>
    <xf numFmtId="0" fontId="2" fillId="0" borderId="93" xfId="119" applyFont="1" applyFill="1" applyBorder="1" applyAlignment="1">
      <alignment horizontal="left" vertical="top" wrapText="1"/>
      <protection/>
    </xf>
    <xf numFmtId="3" fontId="10" fillId="0" borderId="171" xfId="125" applyNumberFormat="1" applyFont="1" applyFill="1" applyBorder="1" applyAlignment="1">
      <alignment horizontal="left"/>
      <protection/>
    </xf>
    <xf numFmtId="3" fontId="12" fillId="0" borderId="0" xfId="0" applyNumberFormat="1" applyFont="1" applyFill="1" applyAlignment="1">
      <alignment horizontal="right"/>
    </xf>
    <xf numFmtId="3" fontId="10" fillId="0" borderId="214" xfId="116" applyNumberFormat="1" applyFont="1" applyFill="1" applyBorder="1" applyAlignment="1">
      <alignment horizontal="center" vertical="center" wrapText="1"/>
      <protection/>
    </xf>
    <xf numFmtId="3" fontId="13" fillId="0" borderId="219" xfId="0" applyNumberFormat="1" applyFont="1" applyFill="1" applyBorder="1" applyAlignment="1">
      <alignment horizontal="center" vertical="center"/>
    </xf>
    <xf numFmtId="3" fontId="13" fillId="0" borderId="220" xfId="0" applyNumberFormat="1" applyFont="1" applyFill="1" applyBorder="1" applyAlignment="1">
      <alignment horizontal="center" vertical="center"/>
    </xf>
    <xf numFmtId="3" fontId="10" fillId="0" borderId="211" xfId="0" applyNumberFormat="1" applyFont="1" applyFill="1" applyBorder="1" applyAlignment="1">
      <alignment horizontal="center" vertical="center" textRotation="90" wrapText="1"/>
    </xf>
    <xf numFmtId="0" fontId="0" fillId="0" borderId="199" xfId="0" applyFont="1" applyFill="1" applyBorder="1" applyAlignment="1">
      <alignment horizontal="center" vertical="center" textRotation="90" wrapText="1"/>
    </xf>
    <xf numFmtId="3" fontId="10" fillId="0" borderId="208" xfId="0" applyNumberFormat="1" applyFont="1" applyFill="1" applyBorder="1" applyAlignment="1">
      <alignment horizontal="center" vertical="center" wrapText="1"/>
    </xf>
    <xf numFmtId="3" fontId="10" fillId="0" borderId="221" xfId="0" applyNumberFormat="1" applyFont="1" applyFill="1" applyBorder="1" applyAlignment="1">
      <alignment horizontal="center" vertical="center" wrapText="1"/>
    </xf>
    <xf numFmtId="3" fontId="13" fillId="0" borderId="222" xfId="0" applyNumberFormat="1" applyFont="1" applyFill="1" applyBorder="1" applyAlignment="1">
      <alignment horizontal="center" vertical="center" wrapText="1"/>
    </xf>
    <xf numFmtId="3" fontId="13" fillId="0" borderId="223" xfId="0" applyNumberFormat="1" applyFont="1" applyFill="1" applyBorder="1" applyAlignment="1">
      <alignment horizontal="center" vertical="center" wrapText="1"/>
    </xf>
    <xf numFmtId="3" fontId="10" fillId="0" borderId="199" xfId="0" applyNumberFormat="1" applyFont="1" applyFill="1" applyBorder="1" applyAlignment="1">
      <alignment horizontal="center" vertical="center" textRotation="90"/>
    </xf>
    <xf numFmtId="3" fontId="10" fillId="0" borderId="224" xfId="0" applyNumberFormat="1" applyFont="1" applyFill="1" applyBorder="1" applyAlignment="1">
      <alignment horizontal="center" vertical="center"/>
    </xf>
    <xf numFmtId="3" fontId="10" fillId="0" borderId="87" xfId="0" applyNumberFormat="1" applyFont="1" applyFill="1" applyBorder="1" applyAlignment="1">
      <alignment horizontal="center" vertical="center"/>
    </xf>
    <xf numFmtId="3" fontId="10" fillId="0" borderId="216" xfId="0" applyNumberFormat="1" applyFont="1" applyFill="1" applyBorder="1" applyAlignment="1">
      <alignment horizontal="center" vertical="center"/>
    </xf>
    <xf numFmtId="3" fontId="13" fillId="0" borderId="59" xfId="125" applyNumberFormat="1" applyFont="1" applyFill="1" applyBorder="1" applyAlignment="1">
      <alignment horizontal="left"/>
      <protection/>
    </xf>
    <xf numFmtId="3" fontId="13" fillId="0" borderId="95" xfId="125" applyNumberFormat="1" applyFont="1" applyFill="1" applyBorder="1" applyAlignment="1">
      <alignment horizontal="left"/>
      <protection/>
    </xf>
    <xf numFmtId="0" fontId="10" fillId="0" borderId="211" xfId="127" applyFont="1" applyFill="1" applyBorder="1" applyAlignment="1" applyProtection="1">
      <alignment horizontal="center" vertical="center" textRotation="90" wrapText="1"/>
      <protection locked="0"/>
    </xf>
    <xf numFmtId="0" fontId="10" fillId="0" borderId="199" xfId="127" applyFont="1" applyFill="1" applyBorder="1" applyAlignment="1" applyProtection="1">
      <alignment horizontal="center" vertical="center" textRotation="90" wrapText="1"/>
      <protection locked="0"/>
    </xf>
    <xf numFmtId="3" fontId="10" fillId="0" borderId="211" xfId="127" applyNumberFormat="1" applyFont="1" applyFill="1" applyBorder="1" applyAlignment="1" applyProtection="1">
      <alignment horizontal="center" vertical="center" wrapText="1"/>
      <protection locked="0"/>
    </xf>
    <xf numFmtId="3" fontId="10" fillId="0" borderId="199" xfId="127" applyNumberFormat="1" applyFont="1" applyFill="1" applyBorder="1" applyAlignment="1" applyProtection="1">
      <alignment horizontal="center" vertical="center" wrapText="1"/>
      <protection locked="0"/>
    </xf>
    <xf numFmtId="3" fontId="10" fillId="0" borderId="215" xfId="127" applyNumberFormat="1" applyFont="1" applyFill="1" applyBorder="1" applyAlignment="1" applyProtection="1">
      <alignment horizontal="center" vertical="center" wrapText="1"/>
      <protection locked="0"/>
    </xf>
    <xf numFmtId="3" fontId="10" fillId="0" borderId="84" xfId="127" applyNumberFormat="1" applyFont="1" applyFill="1" applyBorder="1" applyAlignment="1" applyProtection="1">
      <alignment horizontal="center" vertical="center" wrapText="1"/>
      <protection locked="0"/>
    </xf>
    <xf numFmtId="0" fontId="12" fillId="0" borderId="177" xfId="127" applyFont="1" applyFill="1" applyBorder="1" applyAlignment="1" applyProtection="1">
      <alignment horizontal="center" vertical="center"/>
      <protection locked="0"/>
    </xf>
    <xf numFmtId="0" fontId="12" fillId="0" borderId="86" xfId="127" applyFont="1" applyFill="1" applyBorder="1" applyAlignment="1" applyProtection="1">
      <alignment horizontal="center" vertical="center"/>
      <protection locked="0"/>
    </xf>
    <xf numFmtId="0" fontId="4" fillId="0" borderId="0" xfId="128" applyFont="1" applyFill="1" applyBorder="1" applyAlignment="1" applyProtection="1">
      <alignment horizontal="center" vertical="center"/>
      <protection locked="0"/>
    </xf>
    <xf numFmtId="0" fontId="4" fillId="0" borderId="0" xfId="127" applyFont="1" applyFill="1" applyBorder="1" applyAlignment="1" applyProtection="1">
      <alignment horizontal="center"/>
      <protection locked="0"/>
    </xf>
    <xf numFmtId="3" fontId="13" fillId="0" borderId="225" xfId="127" applyNumberFormat="1" applyFont="1" applyFill="1" applyBorder="1" applyAlignment="1" applyProtection="1">
      <alignment horizontal="center" vertical="center" wrapText="1"/>
      <protection locked="0"/>
    </xf>
    <xf numFmtId="3" fontId="13" fillId="0" borderId="80" xfId="127" applyNumberFormat="1" applyFont="1" applyFill="1" applyBorder="1" applyAlignment="1" applyProtection="1">
      <alignment horizontal="center" vertical="center" wrapText="1"/>
      <protection locked="0"/>
    </xf>
    <xf numFmtId="3" fontId="13" fillId="0" borderId="211" xfId="127" applyNumberFormat="1" applyFont="1" applyFill="1" applyBorder="1" applyAlignment="1" applyProtection="1">
      <alignment horizontal="center" vertical="center" wrapText="1"/>
      <protection locked="0"/>
    </xf>
    <xf numFmtId="3" fontId="13" fillId="0" borderId="199" xfId="127" applyNumberFormat="1" applyFont="1" applyFill="1" applyBorder="1" applyAlignment="1" applyProtection="1">
      <alignment horizontal="center" vertical="center" wrapText="1"/>
      <protection locked="0"/>
    </xf>
    <xf numFmtId="0" fontId="13" fillId="0" borderId="50" xfId="128" applyFont="1" applyFill="1" applyBorder="1" applyAlignment="1" applyProtection="1">
      <alignment horizontal="center" vertical="center"/>
      <protection locked="0"/>
    </xf>
    <xf numFmtId="0" fontId="13" fillId="0" borderId="30" xfId="128" applyFont="1" applyFill="1" applyBorder="1" applyAlignment="1" applyProtection="1">
      <alignment horizontal="center" vertical="center"/>
      <protection locked="0"/>
    </xf>
    <xf numFmtId="0" fontId="13" fillId="0" borderId="217" xfId="128" applyFont="1" applyFill="1" applyBorder="1" applyAlignment="1" applyProtection="1">
      <alignment horizontal="center" vertical="center"/>
      <protection locked="0"/>
    </xf>
    <xf numFmtId="0" fontId="13" fillId="0" borderId="15" xfId="128" applyFont="1" applyFill="1" applyBorder="1" applyAlignment="1" applyProtection="1">
      <alignment horizontal="center" vertical="center"/>
      <protection locked="0"/>
    </xf>
    <xf numFmtId="0" fontId="13" fillId="0" borderId="16" xfId="128" applyFont="1" applyFill="1" applyBorder="1" applyAlignment="1" applyProtection="1">
      <alignment horizontal="center" vertical="center"/>
      <protection locked="0"/>
    </xf>
    <xf numFmtId="0" fontId="13" fillId="0" borderId="115" xfId="128" applyFont="1" applyFill="1" applyBorder="1" applyAlignment="1" applyProtection="1">
      <alignment horizontal="center" vertical="center"/>
      <protection locked="0"/>
    </xf>
    <xf numFmtId="0" fontId="2" fillId="0" borderId="0" xfId="128" applyFont="1" applyFill="1" applyBorder="1" applyAlignment="1" applyProtection="1">
      <alignment horizontal="left" vertical="center"/>
      <protection locked="0"/>
    </xf>
    <xf numFmtId="3" fontId="10" fillId="0" borderId="209" xfId="117" applyNumberFormat="1" applyFont="1" applyFill="1" applyBorder="1" applyAlignment="1" applyProtection="1">
      <alignment horizontal="center" vertical="center" textRotation="90"/>
      <protection locked="0"/>
    </xf>
    <xf numFmtId="3" fontId="10" fillId="0" borderId="210" xfId="117" applyNumberFormat="1" applyFont="1" applyFill="1" applyBorder="1" applyAlignment="1" applyProtection="1">
      <alignment horizontal="center" vertical="center" textRotation="90"/>
      <protection locked="0"/>
    </xf>
    <xf numFmtId="3" fontId="10" fillId="0" borderId="211" xfId="117" applyNumberFormat="1" applyFont="1" applyFill="1" applyBorder="1" applyAlignment="1" applyProtection="1">
      <alignment horizontal="center" vertical="center" textRotation="90"/>
      <protection locked="0"/>
    </xf>
    <xf numFmtId="3" fontId="10" fillId="0" borderId="199" xfId="117" applyNumberFormat="1" applyFont="1" applyFill="1" applyBorder="1" applyAlignment="1" applyProtection="1">
      <alignment horizontal="center" vertical="center" textRotation="90"/>
      <protection locked="0"/>
    </xf>
    <xf numFmtId="0" fontId="13" fillId="0" borderId="211" xfId="127" applyFont="1" applyFill="1" applyBorder="1" applyAlignment="1" applyProtection="1">
      <alignment horizontal="center" vertical="center" wrapText="1"/>
      <protection locked="0"/>
    </xf>
    <xf numFmtId="0" fontId="13" fillId="0" borderId="199" xfId="127" applyFont="1" applyFill="1" applyBorder="1" applyAlignment="1" applyProtection="1">
      <alignment horizontal="center" vertical="center" wrapText="1"/>
      <protection locked="0"/>
    </xf>
    <xf numFmtId="3" fontId="12" fillId="0" borderId="22" xfId="125" applyNumberFormat="1" applyFont="1" applyFill="1" applyBorder="1" applyAlignment="1">
      <alignment horizontal="left"/>
      <protection/>
    </xf>
    <xf numFmtId="3" fontId="12" fillId="0" borderId="109" xfId="125" applyNumberFormat="1" applyFont="1" applyFill="1" applyBorder="1" applyAlignment="1">
      <alignment horizontal="left"/>
      <protection/>
    </xf>
    <xf numFmtId="3" fontId="12" fillId="0" borderId="171" xfId="125" applyNumberFormat="1" applyFont="1" applyFill="1" applyBorder="1" applyAlignment="1">
      <alignment horizontal="left"/>
      <protection/>
    </xf>
    <xf numFmtId="3" fontId="12" fillId="0" borderId="180" xfId="125" applyNumberFormat="1" applyFont="1" applyFill="1" applyBorder="1" applyAlignment="1">
      <alignment horizontal="left"/>
      <protection/>
    </xf>
    <xf numFmtId="3" fontId="12" fillId="0" borderId="152" xfId="125" applyNumberFormat="1" applyFont="1" applyFill="1" applyBorder="1" applyAlignment="1">
      <alignment horizontal="left"/>
      <protection/>
    </xf>
    <xf numFmtId="3" fontId="12" fillId="0" borderId="185" xfId="125" applyNumberFormat="1" applyFont="1" applyFill="1" applyBorder="1" applyAlignment="1">
      <alignment horizontal="left"/>
      <protection/>
    </xf>
    <xf numFmtId="3" fontId="84" fillId="0" borderId="22" xfId="117" applyNumberFormat="1" applyFont="1" applyFill="1" applyBorder="1" applyAlignment="1">
      <alignment horizontal="left" wrapText="1"/>
      <protection/>
    </xf>
    <xf numFmtId="0" fontId="0" fillId="0" borderId="109" xfId="0" applyBorder="1" applyAlignment="1">
      <alignment horizontal="left" wrapText="1"/>
    </xf>
    <xf numFmtId="0" fontId="0" fillId="0" borderId="171" xfId="0" applyBorder="1" applyAlignment="1">
      <alignment horizontal="left" wrapText="1"/>
    </xf>
    <xf numFmtId="3" fontId="2" fillId="0" borderId="0" xfId="117" applyNumberFormat="1" applyFont="1" applyFill="1" applyAlignment="1">
      <alignment horizontal="left"/>
      <protection/>
    </xf>
    <xf numFmtId="3" fontId="2" fillId="0" borderId="0" xfId="117" applyNumberFormat="1" applyFont="1" applyFill="1" applyAlignment="1">
      <alignment horizontal="right"/>
      <protection/>
    </xf>
    <xf numFmtId="3" fontId="4" fillId="0" borderId="0" xfId="117" applyNumberFormat="1" applyFont="1" applyFill="1" applyAlignment="1">
      <alignment horizontal="center"/>
      <protection/>
    </xf>
    <xf numFmtId="3" fontId="4" fillId="0" borderId="0" xfId="117" applyNumberFormat="1" applyFont="1" applyFill="1" applyAlignment="1">
      <alignment horizontal="center" vertical="center"/>
      <protection/>
    </xf>
    <xf numFmtId="3" fontId="12" fillId="0" borderId="0" xfId="117" applyNumberFormat="1" applyFont="1" applyFill="1" applyAlignment="1">
      <alignment horizontal="right"/>
      <protection/>
    </xf>
    <xf numFmtId="3" fontId="13" fillId="0" borderId="22" xfId="117" applyNumberFormat="1" applyFont="1" applyFill="1" applyBorder="1" applyAlignment="1">
      <alignment horizontal="left" wrapText="1"/>
      <protection/>
    </xf>
    <xf numFmtId="3" fontId="13" fillId="0" borderId="109" xfId="117" applyNumberFormat="1" applyFont="1" applyFill="1" applyBorder="1" applyAlignment="1">
      <alignment horizontal="left" wrapText="1"/>
      <protection/>
    </xf>
    <xf numFmtId="3" fontId="13" fillId="0" borderId="171" xfId="117" applyNumberFormat="1" applyFont="1" applyFill="1" applyBorder="1" applyAlignment="1">
      <alignment horizontal="left" wrapText="1"/>
      <protection/>
    </xf>
    <xf numFmtId="3" fontId="6" fillId="0" borderId="0" xfId="0" applyNumberFormat="1" applyFont="1" applyFill="1" applyBorder="1" applyAlignment="1">
      <alignment horizontal="left" vertical="top"/>
    </xf>
    <xf numFmtId="3" fontId="13" fillId="0" borderId="226" xfId="117" applyNumberFormat="1" applyFont="1" applyFill="1" applyBorder="1" applyAlignment="1">
      <alignment horizontal="center" vertical="center" wrapText="1"/>
      <protection/>
    </xf>
    <xf numFmtId="3" fontId="13" fillId="0" borderId="227" xfId="117" applyNumberFormat="1" applyFont="1" applyFill="1" applyBorder="1" applyAlignment="1">
      <alignment horizontal="center" vertical="center" wrapText="1"/>
      <protection/>
    </xf>
    <xf numFmtId="3" fontId="10" fillId="0" borderId="228" xfId="0" applyNumberFormat="1" applyFont="1" applyFill="1" applyBorder="1" applyAlignment="1">
      <alignment horizontal="center" vertical="center"/>
    </xf>
    <xf numFmtId="3" fontId="10" fillId="0" borderId="229" xfId="0" applyNumberFormat="1" applyFont="1" applyFill="1" applyBorder="1" applyAlignment="1">
      <alignment horizontal="center" vertical="center"/>
    </xf>
    <xf numFmtId="3" fontId="10" fillId="0" borderId="226" xfId="117" applyNumberFormat="1" applyFont="1" applyFill="1" applyBorder="1" applyAlignment="1">
      <alignment horizontal="center" vertical="center" wrapText="1"/>
      <protection/>
    </xf>
    <xf numFmtId="3" fontId="10" fillId="0" borderId="227" xfId="117" applyNumberFormat="1" applyFont="1" applyFill="1" applyBorder="1" applyAlignment="1">
      <alignment horizontal="center" vertical="center" wrapText="1"/>
      <protection/>
    </xf>
    <xf numFmtId="3" fontId="10" fillId="0" borderId="230" xfId="117" applyNumberFormat="1" applyFont="1" applyFill="1" applyBorder="1" applyAlignment="1">
      <alignment horizontal="center" vertical="center" textRotation="90"/>
      <protection/>
    </xf>
    <xf numFmtId="3" fontId="10" fillId="0" borderId="231" xfId="117" applyNumberFormat="1" applyFont="1" applyFill="1" applyBorder="1" applyAlignment="1">
      <alignment horizontal="center" vertical="center" textRotation="90"/>
      <protection/>
    </xf>
    <xf numFmtId="3" fontId="10" fillId="0" borderId="226" xfId="117" applyNumberFormat="1" applyFont="1" applyFill="1" applyBorder="1" applyAlignment="1">
      <alignment horizontal="center" vertical="center" textRotation="90"/>
      <protection/>
    </xf>
    <xf numFmtId="3" fontId="10" fillId="0" borderId="227" xfId="117" applyNumberFormat="1" applyFont="1" applyFill="1" applyBorder="1" applyAlignment="1">
      <alignment horizontal="center" vertical="center" textRotation="90"/>
      <protection/>
    </xf>
    <xf numFmtId="3" fontId="10" fillId="0" borderId="232" xfId="117" applyNumberFormat="1" applyFont="1" applyFill="1" applyBorder="1" applyAlignment="1">
      <alignment horizontal="center" vertical="center" wrapText="1"/>
      <protection/>
    </xf>
    <xf numFmtId="3" fontId="10" fillId="0" borderId="233" xfId="117" applyNumberFormat="1" applyFont="1" applyFill="1" applyBorder="1" applyAlignment="1">
      <alignment horizontal="center" vertical="center" wrapText="1"/>
      <protection/>
    </xf>
    <xf numFmtId="0" fontId="13" fillId="0" borderId="226" xfId="117" applyFont="1" applyFill="1" applyBorder="1" applyAlignment="1">
      <alignment horizontal="center" vertical="center" wrapText="1"/>
      <protection/>
    </xf>
    <xf numFmtId="0" fontId="13" fillId="0" borderId="227" xfId="117" applyFont="1" applyFill="1" applyBorder="1" applyAlignment="1">
      <alignment horizontal="center" vertical="center" wrapText="1"/>
      <protection/>
    </xf>
    <xf numFmtId="3" fontId="13" fillId="0" borderId="173" xfId="117" applyNumberFormat="1" applyFont="1" applyFill="1" applyBorder="1" applyAlignment="1">
      <alignment horizontal="center" vertical="center" wrapText="1"/>
      <protection/>
    </xf>
    <xf numFmtId="3" fontId="13" fillId="0" borderId="75" xfId="117" applyNumberFormat="1" applyFont="1" applyFill="1" applyBorder="1" applyAlignment="1">
      <alignment horizontal="center" vertical="center" wrapText="1"/>
      <protection/>
    </xf>
    <xf numFmtId="3" fontId="13" fillId="0" borderId="234" xfId="117" applyNumberFormat="1" applyFont="1" applyFill="1" applyBorder="1" applyAlignment="1">
      <alignment horizontal="center" vertical="center" wrapText="1"/>
      <protection/>
    </xf>
    <xf numFmtId="3" fontId="10" fillId="0" borderId="219" xfId="0" applyNumberFormat="1" applyFont="1" applyFill="1" applyBorder="1" applyAlignment="1">
      <alignment horizontal="center" vertical="center" textRotation="90" wrapText="1"/>
    </xf>
    <xf numFmtId="0" fontId="10" fillId="0" borderId="220" xfId="0" applyFont="1" applyFill="1" applyBorder="1" applyAlignment="1">
      <alignment horizontal="center" vertical="center" textRotation="90" wrapText="1"/>
    </xf>
    <xf numFmtId="3" fontId="12" fillId="0" borderId="102" xfId="0" applyNumberFormat="1" applyFont="1" applyFill="1" applyBorder="1" applyAlignment="1">
      <alignment horizontal="left" wrapText="1"/>
    </xf>
    <xf numFmtId="3" fontId="12" fillId="0" borderId="213" xfId="0" applyNumberFormat="1" applyFont="1" applyFill="1" applyBorder="1" applyAlignment="1">
      <alignment horizontal="left" wrapText="1"/>
    </xf>
    <xf numFmtId="3" fontId="12" fillId="0" borderId="235" xfId="0" applyNumberFormat="1" applyFont="1" applyFill="1" applyBorder="1" applyAlignment="1">
      <alignment horizontal="left" wrapText="1"/>
    </xf>
    <xf numFmtId="3" fontId="12" fillId="0" borderId="22" xfId="0" applyNumberFormat="1" applyFont="1" applyFill="1" applyBorder="1" applyAlignment="1">
      <alignment horizontal="left" wrapText="1"/>
    </xf>
    <xf numFmtId="3" fontId="13" fillId="0" borderId="0" xfId="117" applyNumberFormat="1" applyFont="1" applyFill="1" applyAlignment="1">
      <alignment horizontal="center" vertical="center" wrapText="1"/>
      <protection/>
    </xf>
    <xf numFmtId="0" fontId="12" fillId="0" borderId="0" xfId="117" applyFont="1" applyFill="1" applyBorder="1" applyAlignment="1">
      <alignment horizontal="right" wrapText="1"/>
      <protection/>
    </xf>
    <xf numFmtId="0" fontId="4" fillId="0" borderId="236" xfId="117" applyFont="1" applyFill="1" applyBorder="1" applyAlignment="1">
      <alignment horizontal="center" vertical="center" wrapText="1"/>
      <protection/>
    </xf>
    <xf numFmtId="0" fontId="4" fillId="0" borderId="237" xfId="117" applyFont="1" applyFill="1" applyBorder="1" applyAlignment="1">
      <alignment horizontal="center" vertical="center" wrapText="1"/>
      <protection/>
    </xf>
    <xf numFmtId="3" fontId="2" fillId="0" borderId="238" xfId="0" applyNumberFormat="1" applyFont="1" applyFill="1" applyBorder="1" applyAlignment="1">
      <alignment horizontal="center" vertical="center" wrapText="1"/>
    </xf>
    <xf numFmtId="3" fontId="2" fillId="0" borderId="239" xfId="0" applyNumberFormat="1" applyFont="1" applyFill="1" applyBorder="1" applyAlignment="1">
      <alignment horizontal="center" vertical="center" wrapText="1"/>
    </xf>
    <xf numFmtId="3" fontId="10" fillId="0" borderId="240" xfId="127" applyNumberFormat="1" applyFont="1" applyFill="1" applyBorder="1" applyAlignment="1">
      <alignment horizontal="center" vertical="center" wrapText="1"/>
      <protection/>
    </xf>
    <xf numFmtId="3" fontId="10" fillId="0" borderId="241" xfId="127" applyNumberFormat="1" applyFont="1" applyFill="1" applyBorder="1" applyAlignment="1">
      <alignment horizontal="center" vertical="center" wrapText="1"/>
      <protection/>
    </xf>
    <xf numFmtId="3" fontId="10" fillId="0" borderId="45" xfId="127" applyNumberFormat="1" applyFont="1" applyFill="1" applyBorder="1" applyAlignment="1">
      <alignment horizontal="center" vertical="center" wrapText="1"/>
      <protection/>
    </xf>
    <xf numFmtId="3" fontId="2" fillId="0" borderId="0" xfId="127" applyNumberFormat="1" applyFont="1" applyFill="1" applyBorder="1" applyAlignment="1">
      <alignment horizontal="right"/>
      <protection/>
    </xf>
    <xf numFmtId="3" fontId="84" fillId="0" borderId="109" xfId="125" applyNumberFormat="1" applyFont="1" applyFill="1" applyBorder="1" applyAlignment="1">
      <alignment horizontal="left"/>
      <protection/>
    </xf>
    <xf numFmtId="3" fontId="84" fillId="0" borderId="171" xfId="125" applyNumberFormat="1" applyFont="1" applyFill="1" applyBorder="1" applyAlignment="1">
      <alignment horizontal="left"/>
      <protection/>
    </xf>
    <xf numFmtId="3" fontId="13" fillId="0" borderId="109" xfId="125" applyNumberFormat="1" applyFont="1" applyFill="1" applyBorder="1" applyAlignment="1">
      <alignment horizontal="left"/>
      <protection/>
    </xf>
    <xf numFmtId="3" fontId="13" fillId="0" borderId="171" xfId="125" applyNumberFormat="1" applyFont="1" applyFill="1" applyBorder="1" applyAlignment="1">
      <alignment horizontal="left"/>
      <protection/>
    </xf>
    <xf numFmtId="0" fontId="2" fillId="0" borderId="0" xfId="128" applyFont="1" applyFill="1" applyBorder="1" applyAlignment="1">
      <alignment horizontal="left" vertical="center"/>
      <protection/>
    </xf>
    <xf numFmtId="3" fontId="13" fillId="0" borderId="10" xfId="119" applyNumberFormat="1" applyFont="1" applyFill="1" applyBorder="1" applyAlignment="1">
      <alignment horizontal="center" vertical="center" wrapText="1"/>
      <protection/>
    </xf>
    <xf numFmtId="3" fontId="13" fillId="0" borderId="0" xfId="119" applyNumberFormat="1" applyFont="1" applyFill="1" applyBorder="1" applyAlignment="1">
      <alignment horizontal="center" vertical="center" wrapText="1"/>
      <protection/>
    </xf>
    <xf numFmtId="3" fontId="13" fillId="0" borderId="155" xfId="119" applyNumberFormat="1" applyFont="1" applyFill="1" applyBorder="1" applyAlignment="1">
      <alignment horizontal="center" vertical="center" wrapText="1"/>
      <protection/>
    </xf>
    <xf numFmtId="0" fontId="4" fillId="0" borderId="0" xfId="127" applyFont="1" applyFill="1" applyBorder="1" applyAlignment="1">
      <alignment horizontal="center"/>
      <protection/>
    </xf>
    <xf numFmtId="0" fontId="4" fillId="0" borderId="0" xfId="128" applyFont="1" applyFill="1" applyBorder="1" applyAlignment="1">
      <alignment horizontal="center" vertical="center"/>
      <protection/>
    </xf>
    <xf numFmtId="3" fontId="13" fillId="0" borderId="219" xfId="127" applyNumberFormat="1" applyFont="1" applyFill="1" applyBorder="1" applyAlignment="1">
      <alignment horizontal="center" vertical="center" wrapText="1"/>
      <protection/>
    </xf>
    <xf numFmtId="3" fontId="13" fillId="0" borderId="211" xfId="127" applyNumberFormat="1" applyFont="1" applyFill="1" applyBorder="1" applyAlignment="1">
      <alignment horizontal="center" vertical="center" wrapText="1"/>
      <protection/>
    </xf>
    <xf numFmtId="3" fontId="13" fillId="0" borderId="208" xfId="127" applyNumberFormat="1" applyFont="1" applyFill="1" applyBorder="1" applyAlignment="1">
      <alignment horizontal="center" vertical="center" wrapText="1"/>
      <protection/>
    </xf>
    <xf numFmtId="3" fontId="10" fillId="0" borderId="203" xfId="127" applyNumberFormat="1" applyFont="1" applyFill="1" applyBorder="1" applyAlignment="1">
      <alignment horizontal="center" vertical="center" wrapText="1"/>
      <protection/>
    </xf>
    <xf numFmtId="3" fontId="10" fillId="0" borderId="204" xfId="127" applyNumberFormat="1" applyFont="1" applyFill="1" applyBorder="1" applyAlignment="1">
      <alignment horizontal="center" vertical="center" wrapText="1"/>
      <protection/>
    </xf>
    <xf numFmtId="3" fontId="10" fillId="0" borderId="207" xfId="127" applyNumberFormat="1" applyFont="1" applyFill="1" applyBorder="1" applyAlignment="1">
      <alignment horizontal="center" vertical="center" wrapText="1"/>
      <protection/>
    </xf>
    <xf numFmtId="3" fontId="10" fillId="0" borderId="242" xfId="117" applyNumberFormat="1" applyFont="1" applyFill="1" applyBorder="1" applyAlignment="1">
      <alignment horizontal="center" vertical="center" textRotation="90"/>
      <protection/>
    </xf>
    <xf numFmtId="3" fontId="10" fillId="0" borderId="243" xfId="117" applyNumberFormat="1" applyFont="1" applyFill="1" applyBorder="1" applyAlignment="1">
      <alignment horizontal="center" vertical="center" textRotation="90"/>
      <protection/>
    </xf>
    <xf numFmtId="3" fontId="10" fillId="0" borderId="244" xfId="117" applyNumberFormat="1" applyFont="1" applyFill="1" applyBorder="1" applyAlignment="1">
      <alignment horizontal="center" vertical="center" textRotation="90"/>
      <protection/>
    </xf>
    <xf numFmtId="3" fontId="10" fillId="0" borderId="240" xfId="117" applyNumberFormat="1" applyFont="1" applyFill="1" applyBorder="1" applyAlignment="1">
      <alignment horizontal="center" vertical="center" textRotation="90"/>
      <protection/>
    </xf>
    <xf numFmtId="3" fontId="10" fillId="0" borderId="241" xfId="117" applyNumberFormat="1" applyFont="1" applyFill="1" applyBorder="1" applyAlignment="1">
      <alignment horizontal="center" vertical="center" textRotation="90"/>
      <protection/>
    </xf>
    <xf numFmtId="3" fontId="10" fillId="0" borderId="45" xfId="117" applyNumberFormat="1" applyFont="1" applyFill="1" applyBorder="1" applyAlignment="1">
      <alignment horizontal="center" vertical="center" textRotation="90"/>
      <protection/>
    </xf>
    <xf numFmtId="0" fontId="13" fillId="0" borderId="211" xfId="127" applyFont="1" applyFill="1" applyBorder="1" applyAlignment="1">
      <alignment horizontal="center" vertical="center" wrapText="1"/>
      <protection/>
    </xf>
    <xf numFmtId="0" fontId="13" fillId="0" borderId="245" xfId="127" applyFont="1" applyFill="1" applyBorder="1" applyAlignment="1">
      <alignment horizontal="center" vertical="center" wrapText="1"/>
      <protection/>
    </xf>
    <xf numFmtId="0" fontId="13" fillId="0" borderId="199" xfId="127" applyFont="1" applyFill="1" applyBorder="1" applyAlignment="1">
      <alignment horizontal="center" vertical="center" wrapText="1"/>
      <protection/>
    </xf>
    <xf numFmtId="3" fontId="10" fillId="0" borderId="200" xfId="127" applyNumberFormat="1" applyFont="1" applyFill="1" applyBorder="1" applyAlignment="1">
      <alignment horizontal="center" vertical="center" wrapText="1"/>
      <protection/>
    </xf>
    <xf numFmtId="3" fontId="13" fillId="0" borderId="246" xfId="127" applyNumberFormat="1" applyFont="1" applyFill="1" applyBorder="1" applyAlignment="1">
      <alignment horizontal="center" vertical="center" wrapText="1"/>
      <protection/>
    </xf>
    <xf numFmtId="3" fontId="13" fillId="0" borderId="247" xfId="127" applyNumberFormat="1" applyFont="1" applyFill="1" applyBorder="1" applyAlignment="1">
      <alignment horizontal="center" vertical="center" wrapText="1"/>
      <protection/>
    </xf>
    <xf numFmtId="0" fontId="10" fillId="0" borderId="248" xfId="127" applyFont="1" applyFill="1" applyBorder="1" applyAlignment="1">
      <alignment horizontal="center" vertical="center" textRotation="90" wrapText="1"/>
      <protection/>
    </xf>
    <xf numFmtId="0" fontId="10" fillId="0" borderId="249" xfId="127" applyFont="1" applyFill="1" applyBorder="1" applyAlignment="1">
      <alignment horizontal="center" vertical="center" textRotation="90" wrapText="1"/>
      <protection/>
    </xf>
    <xf numFmtId="0" fontId="10" fillId="0" borderId="46" xfId="127" applyFont="1" applyFill="1" applyBorder="1" applyAlignment="1">
      <alignment horizontal="center" vertical="center" textRotation="90" wrapText="1"/>
      <protection/>
    </xf>
    <xf numFmtId="3" fontId="10" fillId="0" borderId="61" xfId="127" applyNumberFormat="1" applyFont="1" applyFill="1" applyBorder="1" applyAlignment="1">
      <alignment horizontal="center" vertical="center" wrapText="1"/>
      <protection/>
    </xf>
    <xf numFmtId="3" fontId="10" fillId="0" borderId="65" xfId="127" applyNumberFormat="1" applyFont="1" applyFill="1" applyBorder="1" applyAlignment="1">
      <alignment horizontal="center" vertical="center" wrapText="1"/>
      <protection/>
    </xf>
    <xf numFmtId="3" fontId="10" fillId="0" borderId="250" xfId="127" applyNumberFormat="1" applyFont="1" applyFill="1" applyBorder="1" applyAlignment="1">
      <alignment horizontal="center" vertical="center" wrapText="1"/>
      <protection/>
    </xf>
    <xf numFmtId="0" fontId="4" fillId="0" borderId="0" xfId="127" applyFont="1" applyFill="1" applyAlignment="1">
      <alignment horizontal="center"/>
      <protection/>
    </xf>
    <xf numFmtId="0" fontId="4" fillId="0" borderId="0" xfId="128" applyFont="1" applyFill="1" applyAlignment="1">
      <alignment horizontal="center" vertical="center"/>
      <protection/>
    </xf>
    <xf numFmtId="3" fontId="12" fillId="0" borderId="133" xfId="125" applyNumberFormat="1" applyFont="1" applyFill="1" applyBorder="1" applyAlignment="1">
      <alignment horizontal="left"/>
      <protection/>
    </xf>
    <xf numFmtId="0" fontId="0" fillId="0" borderId="133" xfId="0" applyFill="1" applyBorder="1" applyAlignment="1">
      <alignment horizontal="left"/>
    </xf>
    <xf numFmtId="0" fontId="0" fillId="0" borderId="180" xfId="0" applyFill="1" applyBorder="1" applyAlignment="1">
      <alignment horizontal="left"/>
    </xf>
    <xf numFmtId="3" fontId="13" fillId="0" borderId="87" xfId="127" applyNumberFormat="1" applyFont="1" applyFill="1" applyBorder="1" applyAlignment="1">
      <alignment horizontal="center" vertical="center" wrapText="1"/>
      <protection/>
    </xf>
    <xf numFmtId="3" fontId="13" fillId="0" borderId="251" xfId="127" applyNumberFormat="1" applyFont="1" applyFill="1" applyBorder="1" applyAlignment="1">
      <alignment horizontal="center" vertical="center" wrapText="1"/>
      <protection/>
    </xf>
    <xf numFmtId="3" fontId="13" fillId="0" borderId="35" xfId="119" applyNumberFormat="1" applyFont="1" applyFill="1" applyBorder="1" applyAlignment="1">
      <alignment horizontal="center" vertical="center" wrapText="1"/>
      <protection/>
    </xf>
    <xf numFmtId="3" fontId="13" fillId="0" borderId="36" xfId="119" applyNumberFormat="1" applyFont="1" applyFill="1" applyBorder="1" applyAlignment="1">
      <alignment horizontal="center" vertical="center" wrapText="1"/>
      <protection/>
    </xf>
    <xf numFmtId="3" fontId="13" fillId="0" borderId="59" xfId="119" applyNumberFormat="1" applyFont="1" applyFill="1" applyBorder="1" applyAlignment="1">
      <alignment horizontal="center" vertical="center" wrapText="1"/>
      <protection/>
    </xf>
    <xf numFmtId="0" fontId="84" fillId="0" borderId="20" xfId="119" applyFont="1" applyFill="1" applyBorder="1" applyAlignment="1">
      <alignment horizontal="left"/>
      <protection/>
    </xf>
    <xf numFmtId="0" fontId="84" fillId="0" borderId="22" xfId="119" applyFont="1" applyFill="1" applyBorder="1" applyAlignment="1">
      <alignment horizontal="left"/>
      <protection/>
    </xf>
    <xf numFmtId="3" fontId="4" fillId="0" borderId="212" xfId="119" applyNumberFormat="1" applyFont="1" applyFill="1" applyBorder="1" applyAlignment="1">
      <alignment horizontal="center" vertical="center" wrapText="1"/>
      <protection/>
    </xf>
    <xf numFmtId="3" fontId="4" fillId="0" borderId="176" xfId="119" applyNumberFormat="1" applyFont="1" applyFill="1" applyBorder="1" applyAlignment="1">
      <alignment horizontal="center" vertical="center" wrapText="1"/>
      <protection/>
    </xf>
    <xf numFmtId="3" fontId="4" fillId="0" borderId="252" xfId="119" applyNumberFormat="1" applyFont="1" applyFill="1" applyBorder="1" applyAlignment="1">
      <alignment horizontal="center" vertical="center" wrapText="1"/>
      <protection/>
    </xf>
    <xf numFmtId="3" fontId="2" fillId="0" borderId="240" xfId="117" applyNumberFormat="1" applyFont="1" applyFill="1" applyBorder="1" applyAlignment="1">
      <alignment horizontal="center" vertical="center" textRotation="90"/>
      <protection/>
    </xf>
    <xf numFmtId="3" fontId="2" fillId="0" borderId="241" xfId="117" applyNumberFormat="1" applyFont="1" applyFill="1" applyBorder="1" applyAlignment="1">
      <alignment horizontal="center" vertical="center" textRotation="90"/>
      <protection/>
    </xf>
    <xf numFmtId="3" fontId="2" fillId="0" borderId="45" xfId="117" applyNumberFormat="1" applyFont="1" applyFill="1" applyBorder="1" applyAlignment="1">
      <alignment horizontal="center" vertical="center" textRotation="90"/>
      <protection/>
    </xf>
    <xf numFmtId="0" fontId="88" fillId="0" borderId="24" xfId="119" applyFont="1" applyFill="1" applyBorder="1" applyAlignment="1">
      <alignment horizontal="left"/>
      <protection/>
    </xf>
    <xf numFmtId="0" fontId="88" fillId="0" borderId="94" xfId="119" applyFont="1" applyFill="1" applyBorder="1" applyAlignment="1">
      <alignment horizontal="left"/>
      <protection/>
    </xf>
    <xf numFmtId="0" fontId="88" fillId="0" borderId="253" xfId="119" applyFont="1" applyFill="1" applyBorder="1" applyAlignment="1">
      <alignment horizontal="left"/>
      <protection/>
    </xf>
    <xf numFmtId="3" fontId="5" fillId="0" borderId="180" xfId="125" applyNumberFormat="1" applyFont="1" applyFill="1" applyBorder="1" applyAlignment="1">
      <alignment horizontal="left"/>
      <protection/>
    </xf>
    <xf numFmtId="3" fontId="5" fillId="0" borderId="152" xfId="125" applyNumberFormat="1" applyFont="1" applyFill="1" applyBorder="1" applyAlignment="1">
      <alignment horizontal="left"/>
      <protection/>
    </xf>
    <xf numFmtId="3" fontId="5" fillId="0" borderId="185" xfId="125" applyNumberFormat="1" applyFont="1" applyFill="1" applyBorder="1" applyAlignment="1">
      <alignment horizontal="left"/>
      <protection/>
    </xf>
    <xf numFmtId="0" fontId="2" fillId="0" borderId="0" xfId="127" applyFont="1" applyFill="1" applyBorder="1" applyAlignment="1">
      <alignment horizontal="center"/>
      <protection/>
    </xf>
    <xf numFmtId="3" fontId="2" fillId="0" borderId="242" xfId="117" applyNumberFormat="1" applyFont="1" applyFill="1" applyBorder="1" applyAlignment="1">
      <alignment horizontal="center" vertical="center" textRotation="90"/>
      <protection/>
    </xf>
    <xf numFmtId="3" fontId="2" fillId="0" borderId="243" xfId="117" applyNumberFormat="1" applyFont="1" applyFill="1" applyBorder="1" applyAlignment="1">
      <alignment horizontal="center" vertical="center" textRotation="90"/>
      <protection/>
    </xf>
    <xf numFmtId="3" fontId="2" fillId="0" borderId="244" xfId="117" applyNumberFormat="1" applyFont="1" applyFill="1" applyBorder="1" applyAlignment="1">
      <alignment horizontal="center" vertical="center" textRotation="90"/>
      <protection/>
    </xf>
    <xf numFmtId="3" fontId="2" fillId="0" borderId="240" xfId="127" applyNumberFormat="1" applyFont="1" applyFill="1" applyBorder="1" applyAlignment="1">
      <alignment horizontal="center" vertical="center" wrapText="1"/>
      <protection/>
    </xf>
    <xf numFmtId="3" fontId="2" fillId="0" borderId="241" xfId="127" applyNumberFormat="1" applyFont="1" applyFill="1" applyBorder="1" applyAlignment="1">
      <alignment horizontal="center" vertical="center" wrapText="1"/>
      <protection/>
    </xf>
    <xf numFmtId="3" fontId="2" fillId="0" borderId="45" xfId="127" applyNumberFormat="1" applyFont="1" applyFill="1" applyBorder="1" applyAlignment="1">
      <alignment horizontal="center" vertical="center" wrapText="1"/>
      <protection/>
    </xf>
    <xf numFmtId="0" fontId="4" fillId="0" borderId="0" xfId="128" applyFont="1" applyFill="1" applyBorder="1" applyAlignment="1">
      <alignment horizontal="center"/>
      <protection/>
    </xf>
    <xf numFmtId="0" fontId="2" fillId="0" borderId="211" xfId="127" applyFont="1" applyFill="1" applyBorder="1" applyAlignment="1">
      <alignment horizontal="center" vertical="center"/>
      <protection/>
    </xf>
    <xf numFmtId="0" fontId="2" fillId="0" borderId="245" xfId="127" applyFont="1" applyFill="1" applyBorder="1" applyAlignment="1">
      <alignment horizontal="center" vertical="center"/>
      <protection/>
    </xf>
    <xf numFmtId="0" fontId="2" fillId="0" borderId="199" xfId="127" applyFont="1" applyFill="1" applyBorder="1" applyAlignment="1">
      <alignment horizontal="center" vertical="center"/>
      <protection/>
    </xf>
    <xf numFmtId="3" fontId="2" fillId="0" borderId="61" xfId="127" applyNumberFormat="1" applyFont="1" applyFill="1" applyBorder="1" applyAlignment="1">
      <alignment horizontal="center" vertical="center" wrapText="1"/>
      <protection/>
    </xf>
    <xf numFmtId="3" fontId="2" fillId="0" borderId="65" xfId="127" applyNumberFormat="1" applyFont="1" applyFill="1" applyBorder="1" applyAlignment="1">
      <alignment horizontal="center" vertical="center" wrapText="1"/>
      <protection/>
    </xf>
    <xf numFmtId="3" fontId="2" fillId="0" borderId="250" xfId="127" applyNumberFormat="1" applyFont="1" applyFill="1" applyBorder="1" applyAlignment="1">
      <alignment horizontal="center" vertical="center" wrapText="1"/>
      <protection/>
    </xf>
    <xf numFmtId="3" fontId="2" fillId="0" borderId="60" xfId="127" applyNumberFormat="1" applyFont="1" applyFill="1" applyBorder="1" applyAlignment="1">
      <alignment horizontal="center" vertical="center" wrapText="1"/>
      <protection/>
    </xf>
    <xf numFmtId="3" fontId="2" fillId="0" borderId="186" xfId="127" applyNumberFormat="1" applyFont="1" applyFill="1" applyBorder="1" applyAlignment="1">
      <alignment horizontal="center" vertical="center" wrapText="1"/>
      <protection/>
    </xf>
    <xf numFmtId="3" fontId="2" fillId="0" borderId="203" xfId="127" applyNumberFormat="1" applyFont="1" applyFill="1" applyBorder="1" applyAlignment="1">
      <alignment horizontal="center" vertical="center" wrapText="1"/>
      <protection/>
    </xf>
    <xf numFmtId="3" fontId="2" fillId="0" borderId="204" xfId="127" applyNumberFormat="1" applyFont="1" applyFill="1" applyBorder="1" applyAlignment="1">
      <alignment horizontal="center" vertical="center" wrapText="1"/>
      <protection/>
    </xf>
    <xf numFmtId="3" fontId="2" fillId="0" borderId="207" xfId="127" applyNumberFormat="1" applyFont="1" applyFill="1" applyBorder="1" applyAlignment="1">
      <alignment horizontal="center" vertical="center" wrapText="1"/>
      <protection/>
    </xf>
    <xf numFmtId="3" fontId="2" fillId="0" borderId="254" xfId="127" applyNumberFormat="1" applyFont="1" applyFill="1" applyBorder="1" applyAlignment="1">
      <alignment horizontal="center" vertical="center" wrapText="1"/>
      <protection/>
    </xf>
    <xf numFmtId="3" fontId="2" fillId="0" borderId="255" xfId="127" applyNumberFormat="1" applyFont="1" applyFill="1" applyBorder="1" applyAlignment="1">
      <alignment horizontal="center" vertical="center" wrapText="1"/>
      <protection/>
    </xf>
    <xf numFmtId="3" fontId="2" fillId="0" borderId="256" xfId="127" applyNumberFormat="1" applyFont="1" applyFill="1" applyBorder="1" applyAlignment="1">
      <alignment horizontal="center" vertical="center" wrapText="1"/>
      <protection/>
    </xf>
    <xf numFmtId="3" fontId="2" fillId="0" borderId="257" xfId="127" applyNumberFormat="1" applyFont="1" applyFill="1" applyBorder="1" applyAlignment="1">
      <alignment horizontal="center" vertical="center" wrapText="1"/>
      <protection/>
    </xf>
    <xf numFmtId="3" fontId="4" fillId="0" borderId="89" xfId="127" applyNumberFormat="1" applyFont="1" applyFill="1" applyBorder="1" applyAlignment="1">
      <alignment horizontal="center" vertical="center" wrapText="1"/>
      <protection/>
    </xf>
    <xf numFmtId="3" fontId="4" fillId="0" borderId="247" xfId="127" applyNumberFormat="1" applyFont="1" applyFill="1" applyBorder="1" applyAlignment="1">
      <alignment horizontal="center" vertical="center" wrapText="1"/>
      <protection/>
    </xf>
    <xf numFmtId="0" fontId="84" fillId="0" borderId="24" xfId="119" applyFont="1" applyFill="1" applyBorder="1" applyAlignment="1">
      <alignment horizontal="left"/>
      <protection/>
    </xf>
    <xf numFmtId="0" fontId="84" fillId="0" borderId="94" xfId="119" applyFont="1" applyFill="1" applyBorder="1" applyAlignment="1">
      <alignment horizontal="left"/>
      <protection/>
    </xf>
    <xf numFmtId="0" fontId="84" fillId="0" borderId="253" xfId="119" applyFont="1" applyFill="1" applyBorder="1" applyAlignment="1">
      <alignment horizontal="left"/>
      <protection/>
    </xf>
    <xf numFmtId="3" fontId="4" fillId="0" borderId="94" xfId="119" applyNumberFormat="1" applyFont="1" applyFill="1" applyBorder="1" applyAlignment="1">
      <alignment horizontal="center" vertical="center" wrapText="1"/>
      <protection/>
    </xf>
    <xf numFmtId="3" fontId="4" fillId="0" borderId="253" xfId="119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258" xfId="121" applyFont="1" applyBorder="1" applyAlignment="1">
      <alignment horizontal="center" vertical="center" wrapText="1"/>
      <protection/>
    </xf>
    <xf numFmtId="0" fontId="2" fillId="0" borderId="259" xfId="121" applyFont="1" applyBorder="1" applyAlignment="1">
      <alignment horizontal="center" vertical="center" wrapText="1"/>
      <protection/>
    </xf>
    <xf numFmtId="0" fontId="4" fillId="0" borderId="116" xfId="121" applyFont="1" applyBorder="1" applyAlignment="1">
      <alignment horizontal="center" vertical="center"/>
      <protection/>
    </xf>
    <xf numFmtId="0" fontId="4" fillId="0" borderId="54" xfId="121" applyFont="1" applyBorder="1" applyAlignment="1">
      <alignment horizontal="center" vertical="center"/>
      <protection/>
    </xf>
    <xf numFmtId="0" fontId="4" fillId="0" borderId="260" xfId="121" applyFont="1" applyBorder="1" applyAlignment="1">
      <alignment horizontal="center" vertical="center"/>
      <protection/>
    </xf>
    <xf numFmtId="3" fontId="2" fillId="0" borderId="0" xfId="116" applyNumberFormat="1" applyFont="1" applyAlignment="1">
      <alignment horizontal="left"/>
      <protection/>
    </xf>
    <xf numFmtId="0" fontId="4" fillId="0" borderId="0" xfId="121" applyFont="1" applyAlignment="1">
      <alignment horizontal="center" vertical="center"/>
      <protection/>
    </xf>
    <xf numFmtId="0" fontId="5" fillId="0" borderId="0" xfId="124" applyFont="1" applyAlignment="1">
      <alignment horizontal="right"/>
      <protection/>
    </xf>
    <xf numFmtId="0" fontId="2" fillId="0" borderId="54" xfId="122" applyFont="1" applyBorder="1" applyAlignment="1">
      <alignment horizontal="center"/>
      <protection/>
    </xf>
    <xf numFmtId="0" fontId="2" fillId="0" borderId="0" xfId="0" applyFont="1" applyFill="1" applyBorder="1" applyAlignment="1">
      <alignment horizontal="left" vertical="top"/>
    </xf>
    <xf numFmtId="3" fontId="2" fillId="0" borderId="61" xfId="120" applyNumberFormat="1" applyFont="1" applyBorder="1" applyAlignment="1">
      <alignment horizontal="center" vertical="center" wrapText="1"/>
      <protection/>
    </xf>
    <xf numFmtId="3" fontId="2" fillId="0" borderId="65" xfId="120" applyNumberFormat="1" applyFont="1" applyBorder="1" applyAlignment="1">
      <alignment horizontal="center" vertical="center" wrapText="1"/>
      <protection/>
    </xf>
    <xf numFmtId="3" fontId="2" fillId="0" borderId="250" xfId="120" applyNumberFormat="1" applyFont="1" applyBorder="1" applyAlignment="1">
      <alignment horizontal="center" vertical="center" wrapText="1"/>
      <protection/>
    </xf>
    <xf numFmtId="3" fontId="2" fillId="0" borderId="261" xfId="120" applyNumberFormat="1" applyFont="1" applyBorder="1" applyAlignment="1">
      <alignment horizontal="center" vertical="center" wrapText="1"/>
      <protection/>
    </xf>
    <xf numFmtId="3" fontId="2" fillId="0" borderId="262" xfId="120" applyNumberFormat="1" applyFont="1" applyBorder="1" applyAlignment="1">
      <alignment horizontal="center" vertical="center" wrapText="1"/>
      <protection/>
    </xf>
    <xf numFmtId="3" fontId="2" fillId="0" borderId="255" xfId="120" applyNumberFormat="1" applyFont="1" applyFill="1" applyBorder="1" applyAlignment="1">
      <alignment horizontal="center" vertical="center" wrapText="1"/>
      <protection/>
    </xf>
    <xf numFmtId="3" fontId="2" fillId="0" borderId="199" xfId="120" applyNumberFormat="1" applyFont="1" applyFill="1" applyBorder="1" applyAlignment="1">
      <alignment horizontal="center" vertical="center" wrapText="1"/>
      <protection/>
    </xf>
    <xf numFmtId="0" fontId="2" fillId="0" borderId="241" xfId="120" applyNumberFormat="1" applyFont="1" applyBorder="1" applyAlignment="1">
      <alignment horizontal="center" vertical="center" wrapText="1"/>
      <protection/>
    </xf>
    <xf numFmtId="3" fontId="2" fillId="0" borderId="209" xfId="120" applyNumberFormat="1" applyFont="1" applyBorder="1" applyAlignment="1">
      <alignment horizontal="center" vertical="center" textRotation="90" wrapText="1"/>
      <protection/>
    </xf>
    <xf numFmtId="3" fontId="2" fillId="0" borderId="263" xfId="120" applyNumberFormat="1" applyFont="1" applyBorder="1" applyAlignment="1">
      <alignment horizontal="center" vertical="center" textRotation="90" wrapText="1"/>
      <protection/>
    </xf>
    <xf numFmtId="3" fontId="2" fillId="0" borderId="210" xfId="120" applyNumberFormat="1" applyFont="1" applyBorder="1" applyAlignment="1">
      <alignment horizontal="center" vertical="center" textRotation="90" wrapText="1"/>
      <protection/>
    </xf>
    <xf numFmtId="3" fontId="2" fillId="0" borderId="211" xfId="120" applyNumberFormat="1" applyFont="1" applyBorder="1" applyAlignment="1">
      <alignment horizontal="center" vertical="center" textRotation="90" wrapText="1"/>
      <protection/>
    </xf>
    <xf numFmtId="3" fontId="2" fillId="0" borderId="245" xfId="120" applyNumberFormat="1" applyFont="1" applyBorder="1" applyAlignment="1">
      <alignment horizontal="center" vertical="center" textRotation="90" wrapText="1"/>
      <protection/>
    </xf>
    <xf numFmtId="3" fontId="2" fillId="0" borderId="199" xfId="120" applyNumberFormat="1" applyFont="1" applyBorder="1" applyAlignment="1">
      <alignment horizontal="center" vertical="center" textRotation="90" wrapText="1"/>
      <protection/>
    </xf>
    <xf numFmtId="3" fontId="2" fillId="0" borderId="219" xfId="120" applyNumberFormat="1" applyFont="1" applyBorder="1" applyAlignment="1">
      <alignment horizontal="center" vertical="center" wrapText="1"/>
      <protection/>
    </xf>
    <xf numFmtId="3" fontId="2" fillId="0" borderId="76" xfId="120" applyNumberFormat="1" applyFont="1" applyBorder="1" applyAlignment="1">
      <alignment horizontal="center" vertical="center" wrapText="1"/>
      <protection/>
    </xf>
    <xf numFmtId="3" fontId="2" fillId="0" borderId="220" xfId="120" applyNumberFormat="1" applyFont="1" applyBorder="1" applyAlignment="1">
      <alignment horizontal="center" vertical="center" wrapText="1"/>
      <protection/>
    </xf>
    <xf numFmtId="14" fontId="2" fillId="0" borderId="215" xfId="120" applyNumberFormat="1" applyFont="1" applyBorder="1" applyAlignment="1">
      <alignment horizontal="center" vertical="center" wrapText="1"/>
      <protection/>
    </xf>
    <xf numFmtId="14" fontId="2" fillId="0" borderId="63" xfId="120" applyNumberFormat="1" applyFont="1" applyBorder="1" applyAlignment="1">
      <alignment horizontal="center" vertical="center" wrapText="1"/>
      <protection/>
    </xf>
    <xf numFmtId="14" fontId="2" fillId="0" borderId="84" xfId="120" applyNumberFormat="1" applyFont="1" applyBorder="1" applyAlignment="1">
      <alignment horizontal="center" vertical="center" wrapText="1"/>
      <protection/>
    </xf>
    <xf numFmtId="3" fontId="2" fillId="0" borderId="60" xfId="120" applyNumberFormat="1" applyFont="1" applyBorder="1" applyAlignment="1">
      <alignment horizontal="center" vertical="center" wrapText="1"/>
      <protection/>
    </xf>
    <xf numFmtId="3" fontId="2" fillId="0" borderId="240" xfId="120" applyNumberFormat="1" applyFont="1" applyBorder="1" applyAlignment="1">
      <alignment horizontal="center" vertical="center" wrapText="1"/>
      <protection/>
    </xf>
    <xf numFmtId="3" fontId="2" fillId="0" borderId="248" xfId="120" applyNumberFormat="1" applyFont="1" applyBorder="1" applyAlignment="1">
      <alignment horizontal="center" vertical="center" wrapText="1"/>
      <protection/>
    </xf>
    <xf numFmtId="3" fontId="2" fillId="0" borderId="249" xfId="120" applyNumberFormat="1" applyFont="1" applyBorder="1" applyAlignment="1">
      <alignment horizontal="center" vertical="center" wrapText="1"/>
      <protection/>
    </xf>
    <xf numFmtId="3" fontId="2" fillId="0" borderId="241" xfId="120" applyNumberFormat="1" applyFont="1" applyBorder="1" applyAlignment="1">
      <alignment horizontal="center" vertical="center" wrapText="1"/>
      <protection/>
    </xf>
    <xf numFmtId="3" fontId="12" fillId="0" borderId="0" xfId="120" applyNumberFormat="1" applyFont="1" applyBorder="1" applyAlignment="1">
      <alignment horizontal="right"/>
      <protection/>
    </xf>
    <xf numFmtId="3" fontId="17" fillId="34" borderId="208" xfId="120" applyNumberFormat="1" applyFont="1" applyFill="1" applyBorder="1" applyAlignment="1">
      <alignment horizontal="center" vertical="center" wrapText="1"/>
      <protection/>
    </xf>
    <xf numFmtId="3" fontId="17" fillId="34" borderId="168" xfId="120" applyNumberFormat="1" applyFont="1" applyFill="1" applyBorder="1" applyAlignment="1">
      <alignment horizontal="center" vertical="center" wrapText="1"/>
      <protection/>
    </xf>
    <xf numFmtId="3" fontId="17" fillId="34" borderId="221" xfId="120" applyNumberFormat="1" applyFont="1" applyFill="1" applyBorder="1" applyAlignment="1">
      <alignment horizontal="center" vertical="center" wrapText="1"/>
      <protection/>
    </xf>
    <xf numFmtId="3" fontId="17" fillId="34" borderId="177" xfId="120" applyNumberFormat="1" applyFont="1" applyFill="1" applyBorder="1" applyAlignment="1">
      <alignment horizontal="center" vertical="center" wrapText="1"/>
      <protection/>
    </xf>
    <xf numFmtId="3" fontId="17" fillId="34" borderId="68" xfId="120" applyNumberFormat="1" applyFont="1" applyFill="1" applyBorder="1" applyAlignment="1">
      <alignment horizontal="center" vertical="center" wrapText="1"/>
      <protection/>
    </xf>
    <xf numFmtId="3" fontId="17" fillId="34" borderId="86" xfId="120" applyNumberFormat="1" applyFont="1" applyFill="1" applyBorder="1" applyAlignment="1">
      <alignment horizontal="center" vertical="center" wrapText="1"/>
      <protection/>
    </xf>
    <xf numFmtId="3" fontId="4" fillId="0" borderId="0" xfId="120" applyNumberFormat="1" applyFont="1" applyAlignment="1">
      <alignment horizontal="center"/>
      <protection/>
    </xf>
    <xf numFmtId="3" fontId="2" fillId="0" borderId="0" xfId="120" applyNumberFormat="1" applyFont="1" applyAlignment="1">
      <alignment horizontal="left" wrapText="1"/>
      <protection/>
    </xf>
    <xf numFmtId="3" fontId="4" fillId="0" borderId="15" xfId="120" applyNumberFormat="1" applyFont="1" applyBorder="1" applyAlignment="1">
      <alignment horizontal="center" vertical="center"/>
      <protection/>
    </xf>
    <xf numFmtId="3" fontId="4" fillId="0" borderId="16" xfId="120" applyNumberFormat="1" applyFont="1" applyBorder="1" applyAlignment="1">
      <alignment horizontal="center" vertical="center"/>
      <protection/>
    </xf>
    <xf numFmtId="3" fontId="2" fillId="0" borderId="0" xfId="120" applyNumberFormat="1" applyFont="1" applyBorder="1" applyAlignment="1">
      <alignment horizontal="left" wrapText="1"/>
      <protection/>
    </xf>
  </cellXfs>
  <cellStyles count="12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Ezres 4 2 2" xfId="52"/>
    <cellStyle name="Ezres 4 3" xfId="53"/>
    <cellStyle name="Ezres 4 3 2" xfId="54"/>
    <cellStyle name="Ezres 4 3 2 2" xfId="55"/>
    <cellStyle name="Ezres 4 4" xfId="56"/>
    <cellStyle name="Ezres 5" xfId="57"/>
    <cellStyle name="Figyelmeztetés" xfId="58"/>
    <cellStyle name="Hivatkozott cella" xfId="59"/>
    <cellStyle name="Jegyzet" xfId="60"/>
    <cellStyle name="Jó" xfId="61"/>
    <cellStyle name="Kimenet" xfId="62"/>
    <cellStyle name="Magyarázó szöveg" xfId="63"/>
    <cellStyle name="Normál 10" xfId="64"/>
    <cellStyle name="Normál 10 2" xfId="65"/>
    <cellStyle name="Normál 10 3" xfId="66"/>
    <cellStyle name="Normál 11" xfId="67"/>
    <cellStyle name="Normál 11 2" xfId="68"/>
    <cellStyle name="Normál 11 3" xfId="69"/>
    <cellStyle name="Normál 12" xfId="70"/>
    <cellStyle name="Normál 13" xfId="71"/>
    <cellStyle name="Normál 14" xfId="72"/>
    <cellStyle name="Normál 14 2" xfId="73"/>
    <cellStyle name="Normál 15" xfId="74"/>
    <cellStyle name="Normál 15 2" xfId="75"/>
    <cellStyle name="Normál 2" xfId="76"/>
    <cellStyle name="Normál 3" xfId="77"/>
    <cellStyle name="Normál 4" xfId="78"/>
    <cellStyle name="Normál 5" xfId="79"/>
    <cellStyle name="Normál 5 2" xfId="80"/>
    <cellStyle name="Normál 6" xfId="81"/>
    <cellStyle name="Normál 6 2" xfId="82"/>
    <cellStyle name="Normál 6 2 2" xfId="83"/>
    <cellStyle name="Normál 6 3" xfId="84"/>
    <cellStyle name="Normál 6 3 2" xfId="85"/>
    <cellStyle name="Normál 6 3 2 2" xfId="86"/>
    <cellStyle name="Normál 6 3 2 2 2" xfId="87"/>
    <cellStyle name="Normál 6 3 2 3" xfId="88"/>
    <cellStyle name="Normál 6 3 2 3 2" xfId="89"/>
    <cellStyle name="Normál 6 3 2 3 2 2" xfId="90"/>
    <cellStyle name="Normál 6 3 2 3 2 3" xfId="91"/>
    <cellStyle name="Normál 6 3 2 3 3" xfId="92"/>
    <cellStyle name="Normál 6 3 2 4" xfId="93"/>
    <cellStyle name="Normál 6 3 2 4 2" xfId="94"/>
    <cellStyle name="Normál 6 3 2 5" xfId="95"/>
    <cellStyle name="Normál 6 3 2 5 2" xfId="96"/>
    <cellStyle name="Normál 6 3 2 6" xfId="97"/>
    <cellStyle name="Normál 6 3 2 7" xfId="98"/>
    <cellStyle name="Normál 6 3 3" xfId="99"/>
    <cellStyle name="Normál 6 4" xfId="100"/>
    <cellStyle name="Normál 7" xfId="101"/>
    <cellStyle name="Normál 8" xfId="102"/>
    <cellStyle name="Normál 8 2" xfId="103"/>
    <cellStyle name="Normál 8 2 2" xfId="104"/>
    <cellStyle name="Normál 8 2 2 2" xfId="105"/>
    <cellStyle name="Normál 8 2 3" xfId="106"/>
    <cellStyle name="Normál 8 2 3 2" xfId="107"/>
    <cellStyle name="Normál 8 2 4" xfId="108"/>
    <cellStyle name="Normál 8 3" xfId="109"/>
    <cellStyle name="Normál 9" xfId="110"/>
    <cellStyle name="Normál 9 2" xfId="111"/>
    <cellStyle name="Normál 9 2 2" xfId="112"/>
    <cellStyle name="Normál 9 3" xfId="113"/>
    <cellStyle name="Normál 9 3 2" xfId="114"/>
    <cellStyle name="Normál 9 4" xfId="115"/>
    <cellStyle name="Normál_2007.évi konc. összefoglaló bevétel" xfId="116"/>
    <cellStyle name="Normál_2007.évi konc. összefoglaló bevétel 2" xfId="117"/>
    <cellStyle name="Normál_2011koltsegvetes (2) 2" xfId="118"/>
    <cellStyle name="Normál_Beruházási tábla 2007" xfId="119"/>
    <cellStyle name="Normál_EU-s tábla kv-hez_EU projektek tábla" xfId="120"/>
    <cellStyle name="Normál_Hitel tábla 2012 terv" xfId="121"/>
    <cellStyle name="Normál_Hitel tábla 2012 terv (2)" xfId="122"/>
    <cellStyle name="Normál_hitelállomány07_12" xfId="123"/>
    <cellStyle name="Normál_hiteltörl költségvetés 2014" xfId="124"/>
    <cellStyle name="Normál_Intézményi bevétel-kiadás" xfId="125"/>
    <cellStyle name="Normál_Intézményi bevétel-kiadás 2" xfId="126"/>
    <cellStyle name="Normál_Városfejlesztési Iroda - 2008. kv. tervezés" xfId="127"/>
    <cellStyle name="Normál_Városfejlesztési Iroda - 2008. kv. tervezés_2014.évi eredeti előirányzat 2" xfId="128"/>
    <cellStyle name="Normál_Városfejlesztési Iroda - 2008. kv. tervezés_Koltsegvetes_modositas_aprilis_tablazatai" xfId="129"/>
    <cellStyle name="Összesen" xfId="130"/>
    <cellStyle name="Currency" xfId="131"/>
    <cellStyle name="Currency [0]" xfId="132"/>
    <cellStyle name="Rossz" xfId="133"/>
    <cellStyle name="Semleges" xfId="134"/>
    <cellStyle name="Számítás" xfId="135"/>
    <cellStyle name="Percent" xfId="136"/>
    <cellStyle name="Százalék 2" xfId="137"/>
    <cellStyle name="Százalék 3" xfId="138"/>
    <cellStyle name="Százalék 3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view="pageBreakPreview" zoomScaleSheetLayoutView="100" zoomScalePageLayoutView="0" workbookViewId="0" topLeftCell="A1">
      <selection activeCell="M48" sqref="M48"/>
    </sheetView>
  </sheetViews>
  <sheetFormatPr defaultColWidth="9.125" defaultRowHeight="12.75"/>
  <cols>
    <col min="1" max="1" width="3.75390625" style="100" customWidth="1"/>
    <col min="2" max="5" width="5.75390625" style="191" customWidth="1"/>
    <col min="6" max="6" width="59.75390625" style="105" customWidth="1"/>
    <col min="7" max="9" width="13.75390625" style="44" customWidth="1"/>
    <col min="10" max="11" width="15.75390625" style="216" customWidth="1"/>
    <col min="12" max="12" width="15.75390625" style="1077" customWidth="1"/>
    <col min="13" max="13" width="11.25390625" style="105" bestFit="1" customWidth="1"/>
    <col min="14" max="16384" width="9.125" style="105" customWidth="1"/>
  </cols>
  <sheetData>
    <row r="1" spans="2:12" ht="17.25">
      <c r="B1" s="1799" t="s">
        <v>953</v>
      </c>
      <c r="C1" s="1799"/>
      <c r="D1" s="1799"/>
      <c r="E1" s="1799"/>
      <c r="F1" s="1799"/>
      <c r="G1" s="1799"/>
      <c r="H1" s="1799"/>
      <c r="I1" s="1799"/>
      <c r="J1" s="1799"/>
      <c r="K1" s="1799"/>
      <c r="L1" s="1799"/>
    </row>
    <row r="2" spans="2:11" ht="17.25">
      <c r="B2" s="1796"/>
      <c r="C2" s="1796"/>
      <c r="D2" s="1796"/>
      <c r="E2" s="1796"/>
      <c r="F2" s="1796"/>
      <c r="G2" s="96"/>
      <c r="H2" s="96"/>
      <c r="I2" s="96"/>
      <c r="J2" s="215"/>
      <c r="K2" s="215"/>
    </row>
    <row r="3" spans="1:12" s="19" customFormat="1" ht="24.75" customHeight="1">
      <c r="A3" s="100"/>
      <c r="B3" s="1798" t="s">
        <v>156</v>
      </c>
      <c r="C3" s="1798"/>
      <c r="D3" s="1798"/>
      <c r="E3" s="1798"/>
      <c r="F3" s="1798"/>
      <c r="G3" s="1798"/>
      <c r="H3" s="1798"/>
      <c r="I3" s="1798"/>
      <c r="J3" s="1798"/>
      <c r="K3" s="1798"/>
      <c r="L3" s="1798"/>
    </row>
    <row r="4" spans="1:12" s="19" customFormat="1" ht="24.75" customHeight="1">
      <c r="A4" s="100"/>
      <c r="B4" s="1797" t="s">
        <v>890</v>
      </c>
      <c r="C4" s="1797"/>
      <c r="D4" s="1797"/>
      <c r="E4" s="1797"/>
      <c r="F4" s="1797"/>
      <c r="G4" s="1797"/>
      <c r="H4" s="1797"/>
      <c r="I4" s="1797"/>
      <c r="J4" s="1797"/>
      <c r="K4" s="1797"/>
      <c r="L4" s="1797"/>
    </row>
    <row r="5" spans="1:12" s="580" customFormat="1" ht="15">
      <c r="A5" s="100"/>
      <c r="B5" s="579"/>
      <c r="C5" s="579"/>
      <c r="D5" s="579"/>
      <c r="E5" s="579"/>
      <c r="F5" s="579"/>
      <c r="G5" s="349"/>
      <c r="H5" s="349"/>
      <c r="I5" s="200"/>
      <c r="L5" s="203" t="s">
        <v>0</v>
      </c>
    </row>
    <row r="6" spans="1:12" s="583" customFormat="1" ht="15" thickBot="1">
      <c r="A6" s="100"/>
      <c r="B6" s="581" t="s">
        <v>1</v>
      </c>
      <c r="C6" s="581" t="s">
        <v>3</v>
      </c>
      <c r="D6" s="581" t="s">
        <v>2</v>
      </c>
      <c r="E6" s="581" t="s">
        <v>4</v>
      </c>
      <c r="F6" s="581" t="s">
        <v>5</v>
      </c>
      <c r="G6" s="582" t="s">
        <v>15</v>
      </c>
      <c r="H6" s="582" t="s">
        <v>16</v>
      </c>
      <c r="I6" s="582" t="s">
        <v>17</v>
      </c>
      <c r="J6" s="582" t="s">
        <v>33</v>
      </c>
      <c r="K6" s="443" t="s">
        <v>29</v>
      </c>
      <c r="L6" s="99" t="s">
        <v>22</v>
      </c>
    </row>
    <row r="7" spans="1:20" s="45" customFormat="1" ht="79.5" customHeight="1" thickBot="1">
      <c r="A7" s="669"/>
      <c r="B7" s="309" t="s">
        <v>18</v>
      </c>
      <c r="C7" s="310" t="s">
        <v>19</v>
      </c>
      <c r="D7" s="308" t="s">
        <v>428</v>
      </c>
      <c r="E7" s="308" t="s">
        <v>429</v>
      </c>
      <c r="F7" s="311" t="s">
        <v>6</v>
      </c>
      <c r="G7" s="312" t="s">
        <v>534</v>
      </c>
      <c r="H7" s="217" t="s">
        <v>535</v>
      </c>
      <c r="I7" s="1304" t="s">
        <v>613</v>
      </c>
      <c r="J7" s="1065" t="s">
        <v>671</v>
      </c>
      <c r="K7" s="311" t="s">
        <v>756</v>
      </c>
      <c r="L7" s="1737" t="s">
        <v>891</v>
      </c>
      <c r="M7" s="57"/>
      <c r="N7" s="57"/>
      <c r="O7" s="57"/>
      <c r="P7" s="57"/>
      <c r="Q7" s="57"/>
      <c r="R7" s="57"/>
      <c r="S7" s="57"/>
      <c r="T7" s="57"/>
    </row>
    <row r="8" spans="1:20" s="162" customFormat="1" ht="36" customHeight="1">
      <c r="A8" s="669">
        <v>1</v>
      </c>
      <c r="B8" s="294"/>
      <c r="C8" s="158"/>
      <c r="D8" s="159">
        <v>1</v>
      </c>
      <c r="E8" s="159"/>
      <c r="F8" s="160" t="s">
        <v>128</v>
      </c>
      <c r="G8" s="313">
        <f aca="true" t="shared" si="0" ref="G8:L8">SUM(G9,G16,G27,G33,G35,G15,G32)</f>
        <v>14853364</v>
      </c>
      <c r="H8" s="313">
        <f t="shared" si="0"/>
        <v>15115259</v>
      </c>
      <c r="I8" s="313">
        <f t="shared" si="0"/>
        <v>17277678</v>
      </c>
      <c r="J8" s="1066">
        <f t="shared" si="0"/>
        <v>14802459</v>
      </c>
      <c r="K8" s="313">
        <f t="shared" si="0"/>
        <v>15394121</v>
      </c>
      <c r="L8" s="1774">
        <f t="shared" si="0"/>
        <v>9381294</v>
      </c>
      <c r="M8" s="161"/>
      <c r="N8" s="161"/>
      <c r="O8" s="161"/>
      <c r="P8" s="161"/>
      <c r="Q8" s="161"/>
      <c r="R8" s="161"/>
      <c r="S8" s="161"/>
      <c r="T8" s="161"/>
    </row>
    <row r="9" spans="1:20" s="162" customFormat="1" ht="36" customHeight="1">
      <c r="A9" s="669">
        <v>2</v>
      </c>
      <c r="B9" s="295">
        <v>18</v>
      </c>
      <c r="C9" s="163"/>
      <c r="D9" s="164"/>
      <c r="E9" s="164">
        <v>1</v>
      </c>
      <c r="F9" s="163" t="s">
        <v>157</v>
      </c>
      <c r="G9" s="38">
        <f>SUM(G10,G13:G13)</f>
        <v>4483032</v>
      </c>
      <c r="H9" s="38">
        <f>SUM(H10,H13:H13)</f>
        <v>4404208</v>
      </c>
      <c r="I9" s="38">
        <f>SUM(I10,I13:I13)</f>
        <v>6718637</v>
      </c>
      <c r="J9" s="1067">
        <f>SUM(J10,J13:J13)</f>
        <v>6578954</v>
      </c>
      <c r="K9" s="38">
        <f>SUM(K10,K13:K13)</f>
        <v>6378105</v>
      </c>
      <c r="L9" s="1775">
        <f>SUM(L10,L13:L13)</f>
        <v>4018009</v>
      </c>
      <c r="M9" s="161"/>
      <c r="N9" s="161"/>
      <c r="O9" s="161"/>
      <c r="P9" s="161"/>
      <c r="Q9" s="161"/>
      <c r="R9" s="161"/>
      <c r="S9" s="161"/>
      <c r="T9" s="161"/>
    </row>
    <row r="10" spans="1:12" s="166" customFormat="1" ht="17.25">
      <c r="A10" s="669">
        <v>3</v>
      </c>
      <c r="B10" s="95"/>
      <c r="C10" s="141"/>
      <c r="D10" s="104"/>
      <c r="E10" s="104"/>
      <c r="F10" s="165" t="s">
        <v>158</v>
      </c>
      <c r="G10" s="10">
        <f>SUM(G11:G12)</f>
        <v>3563207</v>
      </c>
      <c r="H10" s="10">
        <f>SUM(H11:H12)</f>
        <v>3066627</v>
      </c>
      <c r="I10" s="10">
        <f>SUM(I11:I12)</f>
        <v>4955542</v>
      </c>
      <c r="J10" s="1068">
        <f>SUM(J11:J12)</f>
        <v>4544959</v>
      </c>
      <c r="K10" s="1362">
        <f>SUM(K11:K12)</f>
        <v>4707339</v>
      </c>
      <c r="L10" s="1776">
        <f>SUM(L11:L12)</f>
        <v>2504447</v>
      </c>
    </row>
    <row r="11" spans="1:12" ht="33" customHeight="1">
      <c r="A11" s="671">
        <v>4</v>
      </c>
      <c r="B11" s="97"/>
      <c r="C11" s="167"/>
      <c r="D11" s="167"/>
      <c r="E11" s="167"/>
      <c r="F11" s="40" t="s">
        <v>273</v>
      </c>
      <c r="G11" s="2">
        <v>3533067</v>
      </c>
      <c r="H11" s="2">
        <v>3066627</v>
      </c>
      <c r="I11" s="2">
        <v>3388864</v>
      </c>
      <c r="J11" s="1069">
        <v>4544959</v>
      </c>
      <c r="K11" s="1363">
        <v>4700403</v>
      </c>
      <c r="L11" s="1777">
        <f>2504447-6936</f>
        <v>2497511</v>
      </c>
    </row>
    <row r="12" spans="1:12" ht="33.75">
      <c r="A12" s="671">
        <v>5</v>
      </c>
      <c r="B12" s="95"/>
      <c r="C12" s="167"/>
      <c r="D12" s="167"/>
      <c r="E12" s="167"/>
      <c r="F12" s="40" t="s">
        <v>159</v>
      </c>
      <c r="G12" s="2">
        <v>30140</v>
      </c>
      <c r="H12" s="2"/>
      <c r="I12" s="2">
        <v>1566678</v>
      </c>
      <c r="J12" s="1069"/>
      <c r="K12" s="1363">
        <v>6936</v>
      </c>
      <c r="L12" s="1777">
        <v>6936</v>
      </c>
    </row>
    <row r="13" spans="1:12" s="166" customFormat="1" ht="17.25">
      <c r="A13" s="669">
        <v>6</v>
      </c>
      <c r="B13" s="95"/>
      <c r="C13" s="168"/>
      <c r="D13" s="167"/>
      <c r="E13" s="167"/>
      <c r="F13" s="39" t="s">
        <v>160</v>
      </c>
      <c r="G13" s="10">
        <v>919825</v>
      </c>
      <c r="H13" s="10">
        <v>1337581</v>
      </c>
      <c r="I13" s="10">
        <v>1763095</v>
      </c>
      <c r="J13" s="1068">
        <v>2033995</v>
      </c>
      <c r="K13" s="1362">
        <v>1670766</v>
      </c>
      <c r="L13" s="1776">
        <v>1513562</v>
      </c>
    </row>
    <row r="14" spans="1:12" ht="16.5" customHeight="1">
      <c r="A14" s="669">
        <v>7</v>
      </c>
      <c r="B14" s="95"/>
      <c r="C14" s="167"/>
      <c r="D14" s="167"/>
      <c r="E14" s="167"/>
      <c r="F14" s="40" t="s">
        <v>161</v>
      </c>
      <c r="G14" s="2">
        <v>160234</v>
      </c>
      <c r="H14" s="2">
        <v>180000</v>
      </c>
      <c r="I14" s="2">
        <v>222056</v>
      </c>
      <c r="J14" s="1069">
        <v>201000</v>
      </c>
      <c r="K14" s="1363">
        <v>201000</v>
      </c>
      <c r="L14" s="1777">
        <v>117938</v>
      </c>
    </row>
    <row r="15" spans="1:12" ht="36" customHeight="1">
      <c r="A15" s="668">
        <v>8</v>
      </c>
      <c r="B15" s="296" t="s">
        <v>379</v>
      </c>
      <c r="C15" s="167"/>
      <c r="D15" s="167"/>
      <c r="E15" s="218">
        <v>2</v>
      </c>
      <c r="F15" s="163" t="s">
        <v>162</v>
      </c>
      <c r="G15" s="10">
        <v>317352</v>
      </c>
      <c r="H15" s="10">
        <f>192858+43191</f>
        <v>236049</v>
      </c>
      <c r="I15" s="10">
        <v>214615</v>
      </c>
      <c r="J15" s="1068">
        <f>+'3.Inbe '!G130</f>
        <v>167470</v>
      </c>
      <c r="K15" s="1362">
        <v>295156</v>
      </c>
      <c r="L15" s="1778">
        <f>'3.Inbe '!G132</f>
        <v>165302</v>
      </c>
    </row>
    <row r="16" spans="1:12" s="107" customFormat="1" ht="36" customHeight="1">
      <c r="A16" s="669">
        <v>9</v>
      </c>
      <c r="B16" s="95">
        <v>18</v>
      </c>
      <c r="C16" s="141"/>
      <c r="D16" s="104"/>
      <c r="E16" s="104">
        <v>3</v>
      </c>
      <c r="F16" s="142" t="s">
        <v>163</v>
      </c>
      <c r="G16" s="41">
        <f>SUM(G17,G25:G25)</f>
        <v>8108452</v>
      </c>
      <c r="H16" s="41">
        <f>SUM(H17,H25:H25)</f>
        <v>7945120</v>
      </c>
      <c r="I16" s="41">
        <f>SUM(I17,I25:I25)</f>
        <v>8663683</v>
      </c>
      <c r="J16" s="1068">
        <f>SUM(J17,J25:J25)</f>
        <v>6242200</v>
      </c>
      <c r="K16" s="1362">
        <f>SUM(K17,K25:K25)</f>
        <v>6220200</v>
      </c>
      <c r="L16" s="1776">
        <f>SUM(L17,L25:L25)+L26</f>
        <v>4066422</v>
      </c>
    </row>
    <row r="17" spans="1:12" s="166" customFormat="1" ht="17.25">
      <c r="A17" s="669">
        <v>10</v>
      </c>
      <c r="B17" s="95"/>
      <c r="C17" s="141"/>
      <c r="D17" s="104"/>
      <c r="E17" s="104"/>
      <c r="F17" s="39" t="s">
        <v>164</v>
      </c>
      <c r="G17" s="10">
        <f>SUM(G18:G24)</f>
        <v>8100342</v>
      </c>
      <c r="H17" s="10">
        <f>SUM(H18:H24)</f>
        <v>7940000</v>
      </c>
      <c r="I17" s="10">
        <f>SUM(I18:I24)</f>
        <v>8656603</v>
      </c>
      <c r="J17" s="1068">
        <f>SUM(J18:J24)</f>
        <v>6237000</v>
      </c>
      <c r="K17" s="1362">
        <f>SUM(K18:K24)</f>
        <v>6215000</v>
      </c>
      <c r="L17" s="1776">
        <f>SUM(L18:L24)</f>
        <v>4056518</v>
      </c>
    </row>
    <row r="18" spans="1:12" ht="17.25">
      <c r="A18" s="669">
        <v>11</v>
      </c>
      <c r="B18" s="95"/>
      <c r="C18" s="104"/>
      <c r="D18" s="104"/>
      <c r="E18" s="104"/>
      <c r="F18" s="40" t="s">
        <v>118</v>
      </c>
      <c r="G18" s="2">
        <v>1353716</v>
      </c>
      <c r="H18" s="2">
        <v>1320000</v>
      </c>
      <c r="I18" s="2">
        <v>1301931</v>
      </c>
      <c r="J18" s="1069">
        <v>1300000</v>
      </c>
      <c r="K18" s="1363">
        <v>1300000</v>
      </c>
      <c r="L18" s="1777">
        <v>707795</v>
      </c>
    </row>
    <row r="19" spans="1:12" ht="17.25">
      <c r="A19" s="669">
        <v>12</v>
      </c>
      <c r="B19" s="95"/>
      <c r="C19" s="104"/>
      <c r="D19" s="104"/>
      <c r="E19" s="104"/>
      <c r="F19" s="40" t="s">
        <v>121</v>
      </c>
      <c r="G19" s="2">
        <v>45085</v>
      </c>
      <c r="H19" s="2">
        <v>55000</v>
      </c>
      <c r="I19" s="2">
        <v>11646</v>
      </c>
      <c r="J19" s="1069">
        <v>42000</v>
      </c>
      <c r="K19" s="1363">
        <v>20000</v>
      </c>
      <c r="L19" s="1777">
        <v>155</v>
      </c>
    </row>
    <row r="20" spans="1:12" ht="17.25">
      <c r="A20" s="669">
        <v>13</v>
      </c>
      <c r="B20" s="95"/>
      <c r="C20" s="104"/>
      <c r="D20" s="104"/>
      <c r="E20" s="104"/>
      <c r="F20" s="40" t="s">
        <v>120</v>
      </c>
      <c r="G20" s="2">
        <v>142925</v>
      </c>
      <c r="H20" s="2">
        <v>143000</v>
      </c>
      <c r="I20" s="2">
        <v>141440</v>
      </c>
      <c r="J20" s="1069">
        <v>143000</v>
      </c>
      <c r="K20" s="1363">
        <v>143000</v>
      </c>
      <c r="L20" s="1777">
        <v>72544</v>
      </c>
    </row>
    <row r="21" spans="1:12" ht="17.25">
      <c r="A21" s="669">
        <v>14</v>
      </c>
      <c r="B21" s="95"/>
      <c r="C21" s="104"/>
      <c r="D21" s="104"/>
      <c r="E21" s="104"/>
      <c r="F21" s="40" t="s">
        <v>119</v>
      </c>
      <c r="G21" s="2">
        <v>91186</v>
      </c>
      <c r="H21" s="2">
        <v>92000</v>
      </c>
      <c r="I21" s="2">
        <v>96484</v>
      </c>
      <c r="J21" s="1069">
        <v>92000</v>
      </c>
      <c r="K21" s="1363">
        <v>92000</v>
      </c>
      <c r="L21" s="1777">
        <v>51648</v>
      </c>
    </row>
    <row r="22" spans="1:12" ht="17.25">
      <c r="A22" s="669">
        <v>15</v>
      </c>
      <c r="B22" s="95"/>
      <c r="C22" s="104"/>
      <c r="D22" s="104"/>
      <c r="E22" s="104"/>
      <c r="F22" s="40" t="s">
        <v>117</v>
      </c>
      <c r="G22" s="2">
        <v>6222920</v>
      </c>
      <c r="H22" s="2">
        <v>6100000</v>
      </c>
      <c r="I22" s="2">
        <v>7090255</v>
      </c>
      <c r="J22" s="1069">
        <v>4650000</v>
      </c>
      <c r="K22" s="1363">
        <v>4650000</v>
      </c>
      <c r="L22" s="1777">
        <v>3213476</v>
      </c>
    </row>
    <row r="23" spans="1:12" ht="17.25">
      <c r="A23" s="669">
        <v>16</v>
      </c>
      <c r="B23" s="95"/>
      <c r="C23" s="104"/>
      <c r="D23" s="104"/>
      <c r="E23" s="104"/>
      <c r="F23" s="40" t="s">
        <v>122</v>
      </c>
      <c r="G23" s="2">
        <v>230151</v>
      </c>
      <c r="H23" s="2">
        <v>220000</v>
      </c>
      <c r="I23" s="2"/>
      <c r="J23" s="1069"/>
      <c r="K23" s="1363"/>
      <c r="L23" s="1779"/>
    </row>
    <row r="24" spans="1:12" ht="17.25">
      <c r="A24" s="669">
        <v>17</v>
      </c>
      <c r="B24" s="95"/>
      <c r="C24" s="104"/>
      <c r="D24" s="104"/>
      <c r="E24" s="104"/>
      <c r="F24" s="40" t="s">
        <v>165</v>
      </c>
      <c r="G24" s="2">
        <v>14359</v>
      </c>
      <c r="H24" s="2">
        <v>10000</v>
      </c>
      <c r="I24" s="2">
        <v>14847</v>
      </c>
      <c r="J24" s="1069">
        <v>10000</v>
      </c>
      <c r="K24" s="1363">
        <v>10000</v>
      </c>
      <c r="L24" s="1777">
        <v>10900</v>
      </c>
    </row>
    <row r="25" spans="1:12" s="166" customFormat="1" ht="34.5">
      <c r="A25" s="671">
        <v>18</v>
      </c>
      <c r="B25" s="95"/>
      <c r="C25" s="141"/>
      <c r="D25" s="104"/>
      <c r="E25" s="104"/>
      <c r="F25" s="39" t="s">
        <v>166</v>
      </c>
      <c r="G25" s="10">
        <v>8110</v>
      </c>
      <c r="H25" s="10">
        <v>5120</v>
      </c>
      <c r="I25" s="10">
        <v>7080</v>
      </c>
      <c r="J25" s="1068">
        <v>5200</v>
      </c>
      <c r="K25" s="1362">
        <v>5200</v>
      </c>
      <c r="L25" s="1778">
        <v>9889</v>
      </c>
    </row>
    <row r="26" spans="1:12" s="107" customFormat="1" ht="18" customHeight="1">
      <c r="A26" s="669"/>
      <c r="B26" s="1626"/>
      <c r="C26" s="1627"/>
      <c r="D26" s="1628"/>
      <c r="E26" s="1628"/>
      <c r="F26" s="39" t="s">
        <v>903</v>
      </c>
      <c r="G26" s="1629"/>
      <c r="H26" s="1629"/>
      <c r="I26" s="1629"/>
      <c r="J26" s="1630"/>
      <c r="K26" s="1631"/>
      <c r="L26" s="1776">
        <v>15</v>
      </c>
    </row>
    <row r="27" spans="1:12" s="107" customFormat="1" ht="36" customHeight="1">
      <c r="A27" s="669">
        <v>19</v>
      </c>
      <c r="B27" s="95">
        <v>18</v>
      </c>
      <c r="C27" s="141"/>
      <c r="D27" s="104"/>
      <c r="E27" s="104">
        <v>4</v>
      </c>
      <c r="F27" s="142" t="s">
        <v>131</v>
      </c>
      <c r="G27" s="41">
        <f>SUM(G28:G31)</f>
        <v>818620</v>
      </c>
      <c r="H27" s="41">
        <f>SUM(H28:H31)</f>
        <v>1501270</v>
      </c>
      <c r="I27" s="41">
        <f>SUM(I28:I31)</f>
        <v>846221</v>
      </c>
      <c r="J27" s="1068">
        <f>SUM(J28:J31)</f>
        <v>951251</v>
      </c>
      <c r="K27" s="1362">
        <f>SUM(K28:K31)</f>
        <v>951341</v>
      </c>
      <c r="L27" s="1776">
        <f>SUM(L28:L31)</f>
        <v>225446</v>
      </c>
    </row>
    <row r="28" spans="1:12" ht="16.5" customHeight="1">
      <c r="A28" s="669">
        <v>20</v>
      </c>
      <c r="B28" s="95"/>
      <c r="C28" s="104"/>
      <c r="D28" s="104"/>
      <c r="E28" s="104"/>
      <c r="F28" s="40" t="s">
        <v>269</v>
      </c>
      <c r="G28" s="2">
        <v>335480</v>
      </c>
      <c r="H28" s="2">
        <v>327392</v>
      </c>
      <c r="I28" s="2">
        <v>290126</v>
      </c>
      <c r="J28" s="1069">
        <v>243317</v>
      </c>
      <c r="K28" s="1363">
        <v>243388</v>
      </c>
      <c r="L28" s="1777">
        <f>33093+18129</f>
        <v>51222</v>
      </c>
    </row>
    <row r="29" spans="1:12" ht="16.5" customHeight="1">
      <c r="A29" s="669">
        <v>21</v>
      </c>
      <c r="B29" s="95"/>
      <c r="C29" s="104"/>
      <c r="D29" s="104"/>
      <c r="E29" s="104"/>
      <c r="F29" s="40" t="s">
        <v>270</v>
      </c>
      <c r="G29" s="2">
        <v>219462</v>
      </c>
      <c r="H29" s="2">
        <v>280770</v>
      </c>
      <c r="I29" s="2">
        <v>208134</v>
      </c>
      <c r="J29" s="1069">
        <v>234064</v>
      </c>
      <c r="K29" s="1363">
        <v>234064</v>
      </c>
      <c r="L29" s="1777">
        <f>96487</f>
        <v>96487</v>
      </c>
    </row>
    <row r="30" spans="1:12" ht="16.5" customHeight="1">
      <c r="A30" s="669">
        <v>22</v>
      </c>
      <c r="B30" s="95"/>
      <c r="C30" s="104"/>
      <c r="D30" s="104"/>
      <c r="E30" s="104"/>
      <c r="F30" s="40" t="s">
        <v>271</v>
      </c>
      <c r="G30" s="2">
        <v>219034</v>
      </c>
      <c r="H30" s="2">
        <f>783817+20250+6804+78300</f>
        <v>889171</v>
      </c>
      <c r="I30" s="2">
        <v>280298</v>
      </c>
      <c r="J30" s="1069">
        <v>469933</v>
      </c>
      <c r="K30" s="1363">
        <v>469952</v>
      </c>
      <c r="L30" s="1780">
        <f>42530+31293</f>
        <v>73823</v>
      </c>
    </row>
    <row r="31" spans="1:12" ht="16.5" customHeight="1">
      <c r="A31" s="669">
        <v>23</v>
      </c>
      <c r="B31" s="95"/>
      <c r="C31" s="104"/>
      <c r="D31" s="104"/>
      <c r="E31" s="104"/>
      <c r="F31" s="40" t="s">
        <v>272</v>
      </c>
      <c r="G31" s="2">
        <v>44644</v>
      </c>
      <c r="H31" s="2">
        <v>3937</v>
      </c>
      <c r="I31" s="2">
        <v>67663</v>
      </c>
      <c r="J31" s="1069">
        <v>3937</v>
      </c>
      <c r="K31" s="1363">
        <v>3937</v>
      </c>
      <c r="L31" s="1780">
        <f>3729+95+6+84</f>
        <v>3914</v>
      </c>
    </row>
    <row r="32" spans="1:12" s="107" customFormat="1" ht="36" customHeight="1">
      <c r="A32" s="669">
        <v>24</v>
      </c>
      <c r="B32" s="297" t="s">
        <v>379</v>
      </c>
      <c r="C32" s="141"/>
      <c r="D32" s="104"/>
      <c r="E32" s="104">
        <v>5</v>
      </c>
      <c r="F32" s="142" t="s">
        <v>167</v>
      </c>
      <c r="G32" s="41">
        <v>1111879</v>
      </c>
      <c r="H32" s="41">
        <v>1028612</v>
      </c>
      <c r="I32" s="41">
        <v>754985</v>
      </c>
      <c r="J32" s="1068">
        <v>858015</v>
      </c>
      <c r="K32" s="1362">
        <v>815065</v>
      </c>
      <c r="L32" s="1776">
        <f>'3.Inbe '!F132</f>
        <v>326608</v>
      </c>
    </row>
    <row r="33" spans="1:12" s="107" customFormat="1" ht="36" customHeight="1">
      <c r="A33" s="669">
        <v>25</v>
      </c>
      <c r="B33" s="95">
        <v>18</v>
      </c>
      <c r="C33" s="141"/>
      <c r="D33" s="104"/>
      <c r="E33" s="104">
        <v>6</v>
      </c>
      <c r="F33" s="142" t="s">
        <v>168</v>
      </c>
      <c r="G33" s="41">
        <v>5713</v>
      </c>
      <c r="H33" s="41"/>
      <c r="I33" s="41">
        <v>62697</v>
      </c>
      <c r="J33" s="1068"/>
      <c r="K33" s="1362">
        <v>712127</v>
      </c>
      <c r="L33" s="1781">
        <v>561381</v>
      </c>
    </row>
    <row r="34" spans="1:12" s="107" customFormat="1" ht="18" customHeight="1">
      <c r="A34" s="669">
        <v>26</v>
      </c>
      <c r="B34" s="95"/>
      <c r="C34" s="141"/>
      <c r="D34" s="104"/>
      <c r="E34" s="104"/>
      <c r="F34" s="40" t="s">
        <v>866</v>
      </c>
      <c r="G34" s="41"/>
      <c r="H34" s="41"/>
      <c r="I34" s="41"/>
      <c r="J34" s="1068"/>
      <c r="K34" s="1362">
        <v>500</v>
      </c>
      <c r="L34" s="1782">
        <v>500</v>
      </c>
    </row>
    <row r="35" spans="1:12" s="166" customFormat="1" ht="36" customHeight="1">
      <c r="A35" s="669">
        <v>27</v>
      </c>
      <c r="B35" s="298" t="s">
        <v>379</v>
      </c>
      <c r="C35" s="169"/>
      <c r="D35" s="169"/>
      <c r="E35" s="170">
        <v>7</v>
      </c>
      <c r="F35" s="171" t="s">
        <v>169</v>
      </c>
      <c r="G35" s="314">
        <v>8316</v>
      </c>
      <c r="H35" s="314"/>
      <c r="I35" s="314">
        <v>16840</v>
      </c>
      <c r="J35" s="1070">
        <v>4569</v>
      </c>
      <c r="K35" s="1362">
        <v>22127</v>
      </c>
      <c r="L35" s="1778">
        <f>'3.Inbe '!H132</f>
        <v>18126</v>
      </c>
    </row>
    <row r="36" spans="1:20" s="162" customFormat="1" ht="36" customHeight="1">
      <c r="A36" s="669">
        <v>28</v>
      </c>
      <c r="B36" s="299"/>
      <c r="C36" s="172"/>
      <c r="D36" s="173">
        <v>2</v>
      </c>
      <c r="E36" s="173"/>
      <c r="F36" s="174" t="s">
        <v>129</v>
      </c>
      <c r="G36" s="315">
        <f>SUM(G37,G40:G41,G43:G45)</f>
        <v>6259786</v>
      </c>
      <c r="H36" s="315">
        <f>SUM(H37,H40:H41,H43:H45)</f>
        <v>8363612</v>
      </c>
      <c r="I36" s="439">
        <f>SUM(I37,I40:I41,I43:I45)</f>
        <v>9155087</v>
      </c>
      <c r="J36" s="315">
        <f>SUM(J37,J40:J41,J43:J45)</f>
        <v>13046355</v>
      </c>
      <c r="K36" s="1369">
        <f>SUM(K37,K40:K41,K43:K45)</f>
        <v>15618690</v>
      </c>
      <c r="L36" s="1783">
        <f>SUM(L37,L40:L41,L43:L45)</f>
        <v>10024079</v>
      </c>
      <c r="M36" s="161"/>
      <c r="N36" s="161"/>
      <c r="O36" s="161"/>
      <c r="P36" s="161"/>
      <c r="Q36" s="161"/>
      <c r="R36" s="161"/>
      <c r="S36" s="161"/>
      <c r="T36" s="161"/>
    </row>
    <row r="37" spans="1:12" s="107" customFormat="1" ht="36" customHeight="1">
      <c r="A37" s="669">
        <v>29</v>
      </c>
      <c r="B37" s="95"/>
      <c r="C37" s="141"/>
      <c r="D37" s="104"/>
      <c r="E37" s="104">
        <v>8</v>
      </c>
      <c r="F37" s="142" t="s">
        <v>170</v>
      </c>
      <c r="G37" s="41">
        <f>SUM(G38,G39)</f>
        <v>5463793</v>
      </c>
      <c r="H37" s="41">
        <f>SUM(H38,H39)</f>
        <v>8162019</v>
      </c>
      <c r="I37" s="41">
        <f>SUM(I38,I39)</f>
        <v>9111564</v>
      </c>
      <c r="J37" s="1068">
        <f>SUM(J38,J39)</f>
        <v>12122305</v>
      </c>
      <c r="K37" s="1362">
        <f>SUM(K38,K39)</f>
        <v>11199734</v>
      </c>
      <c r="L37" s="1776">
        <f>SUM(L38,L39)</f>
        <v>7570104</v>
      </c>
    </row>
    <row r="38" spans="1:12" ht="17.25">
      <c r="A38" s="669">
        <v>30</v>
      </c>
      <c r="B38" s="95">
        <v>18</v>
      </c>
      <c r="C38" s="104"/>
      <c r="D38" s="104"/>
      <c r="E38" s="104"/>
      <c r="F38" s="919" t="s">
        <v>171</v>
      </c>
      <c r="G38" s="2">
        <v>6456</v>
      </c>
      <c r="H38" s="2"/>
      <c r="I38" s="2"/>
      <c r="J38" s="1069"/>
      <c r="K38" s="1363"/>
      <c r="L38" s="1779"/>
    </row>
    <row r="39" spans="1:12" ht="17.25">
      <c r="A39" s="669">
        <v>31</v>
      </c>
      <c r="B39" s="95">
        <v>18</v>
      </c>
      <c r="C39" s="167"/>
      <c r="D39" s="167"/>
      <c r="E39" s="167"/>
      <c r="F39" s="919" t="s">
        <v>172</v>
      </c>
      <c r="G39" s="2">
        <v>5457337</v>
      </c>
      <c r="H39" s="2">
        <v>8162019</v>
      </c>
      <c r="I39" s="2">
        <v>9111564</v>
      </c>
      <c r="J39" s="1069">
        <v>12122305</v>
      </c>
      <c r="K39" s="1363">
        <v>11199734</v>
      </c>
      <c r="L39" s="1782">
        <v>7570104</v>
      </c>
    </row>
    <row r="40" spans="1:12" s="166" customFormat="1" ht="36" customHeight="1">
      <c r="A40" s="669">
        <v>32</v>
      </c>
      <c r="B40" s="298" t="s">
        <v>379</v>
      </c>
      <c r="C40" s="168"/>
      <c r="D40" s="168"/>
      <c r="E40" s="167">
        <v>9</v>
      </c>
      <c r="F40" s="39" t="s">
        <v>173</v>
      </c>
      <c r="G40" s="10">
        <v>14183</v>
      </c>
      <c r="H40" s="10">
        <v>4050</v>
      </c>
      <c r="I40" s="10">
        <v>335</v>
      </c>
      <c r="J40" s="1068">
        <v>4050</v>
      </c>
      <c r="K40" s="1362">
        <v>6039</v>
      </c>
      <c r="L40" s="1778">
        <f>'3.Inbe '!J132</f>
        <v>1318</v>
      </c>
    </row>
    <row r="41" spans="1:12" s="107" customFormat="1" ht="36" customHeight="1">
      <c r="A41" s="669">
        <v>33</v>
      </c>
      <c r="B41" s="95">
        <v>18</v>
      </c>
      <c r="C41" s="141"/>
      <c r="D41" s="104"/>
      <c r="E41" s="104">
        <v>10</v>
      </c>
      <c r="F41" s="142" t="s">
        <v>174</v>
      </c>
      <c r="G41" s="41">
        <f>SUM(G42:G42)</f>
        <v>153966</v>
      </c>
      <c r="H41" s="41">
        <f>SUM(H42:H42)</f>
        <v>190000</v>
      </c>
      <c r="I41" s="41">
        <f>SUM(I42:I42)</f>
        <v>37339</v>
      </c>
      <c r="J41" s="1068">
        <f>SUM(J42:J42)</f>
        <v>920000</v>
      </c>
      <c r="K41" s="1362">
        <f>SUM(K42:K42)</f>
        <v>920000</v>
      </c>
      <c r="L41" s="1781">
        <v>581237</v>
      </c>
    </row>
    <row r="42" spans="1:12" ht="17.25">
      <c r="A42" s="669">
        <v>34</v>
      </c>
      <c r="B42" s="95"/>
      <c r="C42" s="104"/>
      <c r="D42" s="104"/>
      <c r="E42" s="104"/>
      <c r="F42" s="40" t="s">
        <v>175</v>
      </c>
      <c r="G42" s="2">
        <v>153966</v>
      </c>
      <c r="H42" s="2">
        <v>190000</v>
      </c>
      <c r="I42" s="2">
        <v>37339</v>
      </c>
      <c r="J42" s="1069">
        <v>920000</v>
      </c>
      <c r="K42" s="1363">
        <v>920000</v>
      </c>
      <c r="L42" s="1777">
        <v>581237</v>
      </c>
    </row>
    <row r="43" spans="1:12" ht="36" customHeight="1">
      <c r="A43" s="669">
        <v>35</v>
      </c>
      <c r="B43" s="95"/>
      <c r="C43" s="104"/>
      <c r="D43" s="104"/>
      <c r="E43" s="104">
        <v>11</v>
      </c>
      <c r="F43" s="39" t="s">
        <v>176</v>
      </c>
      <c r="G43" s="10">
        <v>939</v>
      </c>
      <c r="H43" s="10">
        <v>7543</v>
      </c>
      <c r="I43" s="10">
        <v>5849</v>
      </c>
      <c r="J43" s="1068">
        <f>+'3.Inbe '!I130</f>
        <v>0</v>
      </c>
      <c r="K43" s="1362"/>
      <c r="L43" s="1778">
        <f>'3.Inbe '!I132</f>
        <v>111</v>
      </c>
    </row>
    <row r="44" spans="1:12" s="107" customFormat="1" ht="36" customHeight="1">
      <c r="A44" s="669">
        <v>36</v>
      </c>
      <c r="B44" s="95">
        <v>18</v>
      </c>
      <c r="C44" s="141"/>
      <c r="D44" s="104"/>
      <c r="E44" s="104">
        <v>12</v>
      </c>
      <c r="F44" s="142" t="s">
        <v>177</v>
      </c>
      <c r="G44" s="41">
        <v>626905</v>
      </c>
      <c r="H44" s="41"/>
      <c r="I44" s="41">
        <v>0</v>
      </c>
      <c r="J44" s="1068"/>
      <c r="K44" s="1362">
        <v>3473869</v>
      </c>
      <c r="L44" s="1781">
        <v>1864696</v>
      </c>
    </row>
    <row r="45" spans="1:12" s="166" customFormat="1" ht="36" customHeight="1">
      <c r="A45" s="669">
        <v>37</v>
      </c>
      <c r="B45" s="298" t="s">
        <v>379</v>
      </c>
      <c r="C45" s="168"/>
      <c r="D45" s="168"/>
      <c r="E45" s="167">
        <v>13</v>
      </c>
      <c r="F45" s="175" t="s">
        <v>178</v>
      </c>
      <c r="G45" s="10"/>
      <c r="H45" s="10"/>
      <c r="I45" s="10"/>
      <c r="J45" s="1068">
        <f>+'3.Inbe '!K130</f>
        <v>0</v>
      </c>
      <c r="K45" s="1362">
        <v>19048</v>
      </c>
      <c r="L45" s="1778">
        <f>'3.Inbe '!K132</f>
        <v>6613</v>
      </c>
    </row>
    <row r="46" spans="1:12" s="21" customFormat="1" ht="36" customHeight="1">
      <c r="A46" s="669">
        <v>38</v>
      </c>
      <c r="B46" s="20">
        <v>18</v>
      </c>
      <c r="C46" s="176"/>
      <c r="D46" s="177"/>
      <c r="E46" s="177"/>
      <c r="F46" s="440" t="s">
        <v>179</v>
      </c>
      <c r="G46" s="42">
        <f>SUM(G47:G47)</f>
        <v>183</v>
      </c>
      <c r="H46" s="42">
        <f>SUM(H47:H47)</f>
        <v>0</v>
      </c>
      <c r="I46" s="42">
        <f>SUM(I47:I47)</f>
        <v>256</v>
      </c>
      <c r="J46" s="1071">
        <f>SUM(J47:J47)</f>
        <v>0</v>
      </c>
      <c r="K46" s="1364">
        <f>SUM(K47:K47)</f>
        <v>0</v>
      </c>
      <c r="L46" s="1784">
        <f>SUM(L47:L47)</f>
        <v>0</v>
      </c>
    </row>
    <row r="47" spans="1:12" ht="33.75">
      <c r="A47" s="669">
        <v>39</v>
      </c>
      <c r="B47" s="95"/>
      <c r="C47" s="178"/>
      <c r="D47" s="178"/>
      <c r="E47" s="178"/>
      <c r="F47" s="441" t="s">
        <v>241</v>
      </c>
      <c r="G47" s="43">
        <v>183</v>
      </c>
      <c r="H47" s="43"/>
      <c r="I47" s="43">
        <v>256</v>
      </c>
      <c r="J47" s="1072"/>
      <c r="K47" s="1363"/>
      <c r="L47" s="1779"/>
    </row>
    <row r="48" spans="1:13" s="21" customFormat="1" ht="39.75" customHeight="1" thickBot="1">
      <c r="A48" s="669">
        <v>40</v>
      </c>
      <c r="B48" s="300"/>
      <c r="C48" s="179"/>
      <c r="D48" s="180"/>
      <c r="E48" s="180"/>
      <c r="F48" s="181" t="s">
        <v>180</v>
      </c>
      <c r="G48" s="316">
        <f aca="true" t="shared" si="1" ref="G48:L48">SUM(G8,G36,G46)</f>
        <v>21113333</v>
      </c>
      <c r="H48" s="316">
        <f t="shared" si="1"/>
        <v>23478871</v>
      </c>
      <c r="I48" s="316">
        <f t="shared" si="1"/>
        <v>26433021</v>
      </c>
      <c r="J48" s="1073">
        <f t="shared" si="1"/>
        <v>27848814</v>
      </c>
      <c r="K48" s="1365">
        <f t="shared" si="1"/>
        <v>31012811</v>
      </c>
      <c r="L48" s="1785">
        <f t="shared" si="1"/>
        <v>19405373</v>
      </c>
      <c r="M48" s="500"/>
    </row>
    <row r="49" spans="1:12" s="21" customFormat="1" ht="39.75" customHeight="1" thickBot="1" thickTop="1">
      <c r="A49" s="669">
        <v>41</v>
      </c>
      <c r="B49" s="301"/>
      <c r="C49" s="182"/>
      <c r="D49" s="183"/>
      <c r="E49" s="183"/>
      <c r="F49" s="184" t="s">
        <v>181</v>
      </c>
      <c r="G49" s="792">
        <f>+G48-'2.Onki'!G34</f>
        <v>1177920</v>
      </c>
      <c r="H49" s="792">
        <f>+H48-'2.Onki'!H34</f>
        <v>-14073403</v>
      </c>
      <c r="I49" s="792">
        <f>+I48-'2.Onki'!I34</f>
        <v>4465865</v>
      </c>
      <c r="J49" s="1074">
        <f>+J48-'2.Onki'!J34</f>
        <v>-18254179</v>
      </c>
      <c r="K49" s="1366">
        <f>+K48-'2.Onki'!K34</f>
        <v>-19923142</v>
      </c>
      <c r="L49" s="1786">
        <f>+L48-'2.Onki'!L34</f>
        <v>4074689</v>
      </c>
    </row>
    <row r="50" spans="1:12" s="21" customFormat="1" ht="36" customHeight="1">
      <c r="A50" s="669">
        <v>42</v>
      </c>
      <c r="B50" s="20"/>
      <c r="C50" s="1773"/>
      <c r="D50" s="157"/>
      <c r="E50" s="157">
        <v>14</v>
      </c>
      <c r="F50" s="153" t="s">
        <v>182</v>
      </c>
      <c r="G50" s="317">
        <f aca="true" t="shared" si="2" ref="G50:L50">SUM(G52,G61)+G51</f>
        <v>13278366</v>
      </c>
      <c r="H50" s="317">
        <f t="shared" si="2"/>
        <v>14293174</v>
      </c>
      <c r="I50" s="317">
        <f t="shared" si="2"/>
        <v>14967054</v>
      </c>
      <c r="J50" s="1075">
        <f t="shared" si="2"/>
        <v>18573201</v>
      </c>
      <c r="K50" s="1367">
        <f t="shared" si="2"/>
        <v>20242164</v>
      </c>
      <c r="L50" s="1787">
        <f t="shared" si="2"/>
        <v>19100711</v>
      </c>
    </row>
    <row r="51" spans="1:12" s="21" customFormat="1" ht="36" customHeight="1">
      <c r="A51" s="669">
        <v>43</v>
      </c>
      <c r="B51" s="20"/>
      <c r="C51" s="1773"/>
      <c r="D51" s="157">
        <v>1</v>
      </c>
      <c r="E51" s="157"/>
      <c r="F51" s="153" t="s">
        <v>245</v>
      </c>
      <c r="G51" s="317">
        <v>143801</v>
      </c>
      <c r="H51" s="317"/>
      <c r="I51" s="317">
        <v>328363</v>
      </c>
      <c r="J51" s="1075"/>
      <c r="K51" s="1367"/>
      <c r="L51" s="1788">
        <v>35064</v>
      </c>
    </row>
    <row r="52" spans="1:12" s="21" customFormat="1" ht="33" customHeight="1">
      <c r="A52" s="669">
        <v>44</v>
      </c>
      <c r="B52" s="302"/>
      <c r="C52" s="176"/>
      <c r="D52" s="177"/>
      <c r="E52" s="177"/>
      <c r="F52" s="185" t="s">
        <v>274</v>
      </c>
      <c r="G52" s="42">
        <f>SUM(G53,G57)</f>
        <v>13087077</v>
      </c>
      <c r="H52" s="42">
        <f>SUM(H53,H57)</f>
        <v>12883374</v>
      </c>
      <c r="I52" s="42">
        <f>SUM(I53,I57)</f>
        <v>13993317</v>
      </c>
      <c r="J52" s="1071">
        <f>SUM(J53,J57)</f>
        <v>17396684</v>
      </c>
      <c r="K52" s="1364">
        <f>SUM(K53,K57)</f>
        <v>19065647</v>
      </c>
      <c r="L52" s="1784">
        <f>SUM(L53,L57)</f>
        <v>19065647</v>
      </c>
    </row>
    <row r="53" spans="1:12" s="107" customFormat="1" ht="24" customHeight="1">
      <c r="A53" s="669">
        <v>45</v>
      </c>
      <c r="B53" s="95"/>
      <c r="C53" s="141"/>
      <c r="D53" s="104">
        <v>1</v>
      </c>
      <c r="E53" s="104"/>
      <c r="F53" s="142" t="s">
        <v>243</v>
      </c>
      <c r="G53" s="41">
        <f>SUM(G54:G56)</f>
        <v>2879946</v>
      </c>
      <c r="H53" s="41">
        <f>SUM(H54:H56)</f>
        <v>1081085</v>
      </c>
      <c r="I53" s="41">
        <f>SUM(I54:I56)</f>
        <v>2162285</v>
      </c>
      <c r="J53" s="1068">
        <f>SUM(J54:J56)</f>
        <v>1391913</v>
      </c>
      <c r="K53" s="1362">
        <f>SUM(K54:K56)</f>
        <v>2897017</v>
      </c>
      <c r="L53" s="1776">
        <f>SUM(L54:L56)</f>
        <v>2897017</v>
      </c>
    </row>
    <row r="54" spans="1:12" ht="17.25">
      <c r="A54" s="669">
        <v>46</v>
      </c>
      <c r="B54" s="296" t="s">
        <v>318</v>
      </c>
      <c r="C54" s="104"/>
      <c r="D54" s="104"/>
      <c r="E54" s="104"/>
      <c r="F54" s="40" t="s">
        <v>183</v>
      </c>
      <c r="G54" s="2">
        <v>573305</v>
      </c>
      <c r="H54" s="2">
        <f>29539+9983-8221</f>
        <v>31301</v>
      </c>
      <c r="I54" s="2">
        <v>661871</v>
      </c>
      <c r="J54" s="1069">
        <f>+'3.Inbe '!L122-106203</f>
        <v>226214</v>
      </c>
      <c r="K54" s="1363">
        <v>628126</v>
      </c>
      <c r="L54" s="1777">
        <v>628126</v>
      </c>
    </row>
    <row r="55" spans="1:12" ht="17.25">
      <c r="A55" s="669">
        <v>47</v>
      </c>
      <c r="B55" s="95">
        <v>17</v>
      </c>
      <c r="C55" s="104"/>
      <c r="D55" s="104"/>
      <c r="E55" s="104"/>
      <c r="F55" s="40" t="s">
        <v>184</v>
      </c>
      <c r="G55" s="2">
        <v>294771</v>
      </c>
      <c r="H55" s="2">
        <v>75474</v>
      </c>
      <c r="I55" s="2">
        <v>360345</v>
      </c>
      <c r="J55" s="1069">
        <f>+'3.Inbe '!L126-95</f>
        <v>80955</v>
      </c>
      <c r="K55" s="1363">
        <v>442201</v>
      </c>
      <c r="L55" s="1777">
        <v>442201</v>
      </c>
    </row>
    <row r="56" spans="1:12" ht="17.25">
      <c r="A56" s="669">
        <v>48</v>
      </c>
      <c r="B56" s="95">
        <v>18</v>
      </c>
      <c r="C56" s="104"/>
      <c r="D56" s="104"/>
      <c r="E56" s="104"/>
      <c r="F56" s="40" t="s">
        <v>114</v>
      </c>
      <c r="G56" s="2">
        <v>2011870</v>
      </c>
      <c r="H56" s="2">
        <v>974310</v>
      </c>
      <c r="I56" s="2">
        <v>1140069</v>
      </c>
      <c r="J56" s="1069">
        <v>1084744</v>
      </c>
      <c r="K56" s="1363">
        <v>1826690</v>
      </c>
      <c r="L56" s="1777">
        <v>1826690</v>
      </c>
    </row>
    <row r="57" spans="1:12" s="107" customFormat="1" ht="24" customHeight="1">
      <c r="A57" s="669">
        <v>49</v>
      </c>
      <c r="B57" s="95"/>
      <c r="C57" s="141"/>
      <c r="D57" s="104">
        <v>2</v>
      </c>
      <c r="E57" s="104"/>
      <c r="F57" s="142" t="s">
        <v>242</v>
      </c>
      <c r="G57" s="41">
        <f>SUM(G58:G60)</f>
        <v>10207131</v>
      </c>
      <c r="H57" s="41">
        <f>SUM(H58:H60)</f>
        <v>11802289</v>
      </c>
      <c r="I57" s="41">
        <f>SUM(I58:I60)</f>
        <v>11831032</v>
      </c>
      <c r="J57" s="1068">
        <f>SUM(J58:J60)</f>
        <v>16004771</v>
      </c>
      <c r="K57" s="1362">
        <f>SUM(K58:K60)</f>
        <v>16168630</v>
      </c>
      <c r="L57" s="1776">
        <f>SUM(L58:L60)</f>
        <v>16168630</v>
      </c>
    </row>
    <row r="58" spans="1:12" s="166" customFormat="1" ht="17.25">
      <c r="A58" s="669">
        <v>50</v>
      </c>
      <c r="B58" s="297" t="s">
        <v>318</v>
      </c>
      <c r="C58" s="104"/>
      <c r="D58" s="104"/>
      <c r="E58" s="104"/>
      <c r="F58" s="186" t="s">
        <v>183</v>
      </c>
      <c r="G58" s="2">
        <v>127144</v>
      </c>
      <c r="H58" s="2">
        <f>2400+2000+8221</f>
        <v>12621</v>
      </c>
      <c r="I58" s="2">
        <v>27970</v>
      </c>
      <c r="J58" s="1069">
        <v>106203</v>
      </c>
      <c r="K58" s="1363">
        <v>129649</v>
      </c>
      <c r="L58" s="1777">
        <v>129649</v>
      </c>
    </row>
    <row r="59" spans="1:12" s="166" customFormat="1" ht="17.25">
      <c r="A59" s="669">
        <v>51</v>
      </c>
      <c r="B59" s="297" t="s">
        <v>290</v>
      </c>
      <c r="C59" s="104"/>
      <c r="D59" s="104"/>
      <c r="E59" s="104"/>
      <c r="F59" s="40" t="s">
        <v>184</v>
      </c>
      <c r="G59" s="2">
        <v>24251</v>
      </c>
      <c r="H59" s="2">
        <f>16985</f>
        <v>16985</v>
      </c>
      <c r="I59" s="2">
        <v>24177</v>
      </c>
      <c r="J59" s="1069">
        <v>95</v>
      </c>
      <c r="K59" s="1363">
        <v>15781</v>
      </c>
      <c r="L59" s="1777">
        <v>15781</v>
      </c>
    </row>
    <row r="60" spans="1:12" s="166" customFormat="1" ht="17.25">
      <c r="A60" s="669">
        <v>52</v>
      </c>
      <c r="B60" s="95">
        <v>18</v>
      </c>
      <c r="C60" s="104"/>
      <c r="D60" s="104"/>
      <c r="E60" s="104"/>
      <c r="F60" s="186" t="s">
        <v>308</v>
      </c>
      <c r="G60" s="2">
        <v>10055736</v>
      </c>
      <c r="H60" s="2">
        <v>11772683</v>
      </c>
      <c r="I60" s="2">
        <v>11778885</v>
      </c>
      <c r="J60" s="1069">
        <v>15898473</v>
      </c>
      <c r="K60" s="1370">
        <v>16023200</v>
      </c>
      <c r="L60" s="1777">
        <v>16023200</v>
      </c>
    </row>
    <row r="61" spans="1:12" s="21" customFormat="1" ht="30" customHeight="1">
      <c r="A61" s="669">
        <v>53</v>
      </c>
      <c r="B61" s="302"/>
      <c r="C61" s="176"/>
      <c r="D61" s="177"/>
      <c r="E61" s="177"/>
      <c r="F61" s="185" t="s">
        <v>275</v>
      </c>
      <c r="G61" s="42">
        <f>SUM(G62:G64)</f>
        <v>47488</v>
      </c>
      <c r="H61" s="42">
        <f>SUM(H62:H64)</f>
        <v>1409800</v>
      </c>
      <c r="I61" s="42">
        <f>SUM(I62:I64)</f>
        <v>645374</v>
      </c>
      <c r="J61" s="1071">
        <f>SUM(J62:J64)</f>
        <v>1176517</v>
      </c>
      <c r="K61" s="1364">
        <f>SUM(K62:K64)</f>
        <v>1176517</v>
      </c>
      <c r="L61" s="1784">
        <f>SUM(L62:L64)</f>
        <v>0</v>
      </c>
    </row>
    <row r="62" spans="1:12" s="107" customFormat="1" ht="24" customHeight="1">
      <c r="A62" s="669">
        <v>54</v>
      </c>
      <c r="B62" s="95">
        <v>18</v>
      </c>
      <c r="C62" s="141"/>
      <c r="D62" s="104">
        <v>2</v>
      </c>
      <c r="E62" s="104"/>
      <c r="F62" s="142" t="s">
        <v>185</v>
      </c>
      <c r="G62" s="41"/>
      <c r="H62" s="41"/>
      <c r="I62" s="41"/>
      <c r="J62" s="1068"/>
      <c r="K62" s="1362"/>
      <c r="L62" s="1789"/>
    </row>
    <row r="63" spans="1:12" ht="17.25">
      <c r="A63" s="669">
        <v>55</v>
      </c>
      <c r="B63" s="95"/>
      <c r="C63" s="104"/>
      <c r="D63" s="104"/>
      <c r="E63" s="104"/>
      <c r="F63" s="40" t="s">
        <v>185</v>
      </c>
      <c r="G63" s="2"/>
      <c r="H63" s="2">
        <v>780800</v>
      </c>
      <c r="I63" s="2">
        <v>286988</v>
      </c>
      <c r="J63" s="1069">
        <f>601891-40000</f>
        <v>561891</v>
      </c>
      <c r="K63" s="1363">
        <v>561891</v>
      </c>
      <c r="L63" s="1779"/>
    </row>
    <row r="64" spans="1:12" ht="17.25">
      <c r="A64" s="669">
        <v>56</v>
      </c>
      <c r="B64" s="95"/>
      <c r="C64" s="104"/>
      <c r="D64" s="104"/>
      <c r="E64" s="104"/>
      <c r="F64" s="187" t="s">
        <v>186</v>
      </c>
      <c r="G64" s="43">
        <v>47488</v>
      </c>
      <c r="H64" s="43">
        <v>629000</v>
      </c>
      <c r="I64" s="43">
        <v>358386</v>
      </c>
      <c r="J64" s="1069">
        <v>614626</v>
      </c>
      <c r="K64" s="1363">
        <v>614626</v>
      </c>
      <c r="L64" s="1779"/>
    </row>
    <row r="65" spans="1:12" s="21" customFormat="1" ht="36" customHeight="1" thickBot="1">
      <c r="A65" s="669">
        <v>57</v>
      </c>
      <c r="B65" s="303"/>
      <c r="C65" s="188"/>
      <c r="D65" s="189"/>
      <c r="E65" s="189"/>
      <c r="F65" s="190" t="s">
        <v>187</v>
      </c>
      <c r="G65" s="318">
        <f>SUM(G48,G50)</f>
        <v>34391699</v>
      </c>
      <c r="H65" s="318">
        <f>SUM(H48,H50)</f>
        <v>37772045</v>
      </c>
      <c r="I65" s="318">
        <f>SUM(I48,I50)</f>
        <v>41400075</v>
      </c>
      <c r="J65" s="1076">
        <f>SUM(J48,J50)</f>
        <v>46422015</v>
      </c>
      <c r="K65" s="1368">
        <f>SUM(K48,K50)</f>
        <v>51254975</v>
      </c>
      <c r="L65" s="1790">
        <f>SUM(L48,L50)</f>
        <v>38506084</v>
      </c>
    </row>
  </sheetData>
  <sheetProtection/>
  <mergeCells count="4">
    <mergeCell ref="B2:F2"/>
    <mergeCell ref="B4:L4"/>
    <mergeCell ref="B3:L3"/>
    <mergeCell ref="B1:L1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58" r:id="rId1"/>
  <headerFooter alignWithMargins="0">
    <oddFooter>&amp;C- &amp;P -</oddFooter>
  </headerFooter>
  <rowBreaks count="1" manualBreakCount="1">
    <brk id="4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Q204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B1" sqref="B1:F1"/>
      <selection pane="bottomLeft" activeCell="J87" sqref="J87"/>
    </sheetView>
  </sheetViews>
  <sheetFormatPr defaultColWidth="9.125" defaultRowHeight="12.75"/>
  <cols>
    <col min="1" max="1" width="3.75390625" style="519" customWidth="1"/>
    <col min="2" max="2" width="5.75390625" style="508" customWidth="1"/>
    <col min="3" max="3" width="5.75390625" style="509" customWidth="1"/>
    <col min="4" max="4" width="59.75390625" style="510" customWidth="1"/>
    <col min="5" max="7" width="10.75390625" style="506" customWidth="1"/>
    <col min="8" max="8" width="6.75390625" style="511" customWidth="1"/>
    <col min="9" max="11" width="14.875" style="506" customWidth="1"/>
    <col min="12" max="12" width="15.75390625" style="506" customWidth="1"/>
    <col min="13" max="13" width="13.75390625" style="517" customWidth="1"/>
    <col min="14" max="16384" width="9.125" style="507" customWidth="1"/>
  </cols>
  <sheetData>
    <row r="1" spans="2:13" ht="17.25">
      <c r="B1" s="1877" t="s">
        <v>960</v>
      </c>
      <c r="C1" s="1877"/>
      <c r="D1" s="1877"/>
      <c r="E1" s="1877"/>
      <c r="F1" s="1877"/>
      <c r="G1" s="1877"/>
      <c r="H1" s="1877"/>
      <c r="I1" s="1877"/>
      <c r="J1" s="1877"/>
      <c r="K1" s="1877"/>
      <c r="L1" s="1877"/>
      <c r="M1" s="1877"/>
    </row>
    <row r="2" spans="1:251" s="325" customFormat="1" ht="18" customHeight="1">
      <c r="A2" s="518"/>
      <c r="B2" s="1994"/>
      <c r="C2" s="1994"/>
      <c r="D2" s="1994"/>
      <c r="E2" s="466"/>
      <c r="F2" s="466"/>
      <c r="G2" s="466"/>
      <c r="H2" s="465"/>
      <c r="I2" s="1989"/>
      <c r="J2" s="1989"/>
      <c r="K2" s="1989"/>
      <c r="L2" s="1989"/>
      <c r="M2" s="1989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467"/>
      <c r="BC2" s="467"/>
      <c r="BD2" s="467"/>
      <c r="BE2" s="467"/>
      <c r="BF2" s="467"/>
      <c r="BG2" s="467"/>
      <c r="BH2" s="467"/>
      <c r="BI2" s="467"/>
      <c r="BJ2" s="467"/>
      <c r="BK2" s="467"/>
      <c r="BL2" s="467"/>
      <c r="BM2" s="467"/>
      <c r="BN2" s="467"/>
      <c r="BO2" s="467"/>
      <c r="BP2" s="467"/>
      <c r="BQ2" s="467"/>
      <c r="BR2" s="467"/>
      <c r="BS2" s="467"/>
      <c r="BT2" s="467"/>
      <c r="BU2" s="467"/>
      <c r="BV2" s="467"/>
      <c r="BW2" s="467"/>
      <c r="BX2" s="467"/>
      <c r="BY2" s="467"/>
      <c r="BZ2" s="467"/>
      <c r="CA2" s="467"/>
      <c r="CB2" s="467"/>
      <c r="CC2" s="467"/>
      <c r="CD2" s="467"/>
      <c r="CE2" s="467"/>
      <c r="CF2" s="467"/>
      <c r="CG2" s="467"/>
      <c r="CH2" s="467"/>
      <c r="CI2" s="467"/>
      <c r="CJ2" s="467"/>
      <c r="CK2" s="467"/>
      <c r="CL2" s="467"/>
      <c r="CM2" s="467"/>
      <c r="CN2" s="467"/>
      <c r="CO2" s="467"/>
      <c r="CP2" s="467"/>
      <c r="CQ2" s="467"/>
      <c r="CR2" s="467"/>
      <c r="CS2" s="467"/>
      <c r="CT2" s="467"/>
      <c r="CU2" s="467"/>
      <c r="CV2" s="467"/>
      <c r="CW2" s="467"/>
      <c r="CX2" s="467"/>
      <c r="CY2" s="467"/>
      <c r="CZ2" s="467"/>
      <c r="DA2" s="467"/>
      <c r="DB2" s="467"/>
      <c r="DC2" s="467"/>
      <c r="DD2" s="467"/>
      <c r="DE2" s="467"/>
      <c r="DF2" s="467"/>
      <c r="DG2" s="467"/>
      <c r="DH2" s="467"/>
      <c r="DI2" s="467"/>
      <c r="DJ2" s="467"/>
      <c r="DK2" s="467"/>
      <c r="DL2" s="467"/>
      <c r="DM2" s="467"/>
      <c r="DN2" s="467"/>
      <c r="DO2" s="467"/>
      <c r="DP2" s="467"/>
      <c r="DQ2" s="467"/>
      <c r="DR2" s="467"/>
      <c r="DS2" s="467"/>
      <c r="DT2" s="467"/>
      <c r="DU2" s="467"/>
      <c r="DV2" s="467"/>
      <c r="DW2" s="467"/>
      <c r="DX2" s="467"/>
      <c r="DY2" s="467"/>
      <c r="DZ2" s="467"/>
      <c r="EA2" s="467"/>
      <c r="EB2" s="467"/>
      <c r="EC2" s="467"/>
      <c r="ED2" s="467"/>
      <c r="EE2" s="467"/>
      <c r="EF2" s="467"/>
      <c r="EG2" s="467"/>
      <c r="EH2" s="467"/>
      <c r="EI2" s="467"/>
      <c r="EJ2" s="467"/>
      <c r="EK2" s="467"/>
      <c r="EL2" s="467"/>
      <c r="EM2" s="467"/>
      <c r="EN2" s="467"/>
      <c r="EO2" s="467"/>
      <c r="EP2" s="467"/>
      <c r="EQ2" s="467"/>
      <c r="ER2" s="467"/>
      <c r="ES2" s="467"/>
      <c r="ET2" s="467"/>
      <c r="EU2" s="467"/>
      <c r="EV2" s="467"/>
      <c r="EW2" s="467"/>
      <c r="EX2" s="467"/>
      <c r="EY2" s="467"/>
      <c r="EZ2" s="467"/>
      <c r="FA2" s="467"/>
      <c r="FB2" s="467"/>
      <c r="FC2" s="467"/>
      <c r="FD2" s="467"/>
      <c r="FE2" s="467"/>
      <c r="FF2" s="467"/>
      <c r="FG2" s="467"/>
      <c r="FH2" s="467"/>
      <c r="FI2" s="467"/>
      <c r="FJ2" s="467"/>
      <c r="FK2" s="467"/>
      <c r="FL2" s="467"/>
      <c r="FM2" s="467"/>
      <c r="FN2" s="467"/>
      <c r="FO2" s="467"/>
      <c r="FP2" s="467"/>
      <c r="FQ2" s="467"/>
      <c r="FR2" s="467"/>
      <c r="FS2" s="467"/>
      <c r="FT2" s="467"/>
      <c r="FU2" s="467"/>
      <c r="FV2" s="467"/>
      <c r="FW2" s="467"/>
      <c r="FX2" s="467"/>
      <c r="FY2" s="467"/>
      <c r="FZ2" s="467"/>
      <c r="GA2" s="467"/>
      <c r="GB2" s="467"/>
      <c r="GC2" s="467"/>
      <c r="GD2" s="467"/>
      <c r="GE2" s="467"/>
      <c r="GF2" s="467"/>
      <c r="GG2" s="467"/>
      <c r="GH2" s="467"/>
      <c r="GI2" s="467"/>
      <c r="GJ2" s="467"/>
      <c r="GK2" s="467"/>
      <c r="GL2" s="467"/>
      <c r="GM2" s="467"/>
      <c r="GN2" s="467"/>
      <c r="GO2" s="467"/>
      <c r="GP2" s="467"/>
      <c r="GQ2" s="467"/>
      <c r="GR2" s="467"/>
      <c r="GS2" s="467"/>
      <c r="GT2" s="467"/>
      <c r="GU2" s="467"/>
      <c r="GV2" s="467"/>
      <c r="GW2" s="467"/>
      <c r="GX2" s="467"/>
      <c r="GY2" s="467"/>
      <c r="GZ2" s="467"/>
      <c r="HA2" s="467"/>
      <c r="HB2" s="467"/>
      <c r="HC2" s="467"/>
      <c r="HD2" s="467"/>
      <c r="HE2" s="467"/>
      <c r="HF2" s="467"/>
      <c r="HG2" s="467"/>
      <c r="HH2" s="467"/>
      <c r="HI2" s="467"/>
      <c r="HJ2" s="467"/>
      <c r="HK2" s="467"/>
      <c r="HL2" s="467"/>
      <c r="HM2" s="467"/>
      <c r="HN2" s="467"/>
      <c r="HO2" s="467"/>
      <c r="HP2" s="467"/>
      <c r="HQ2" s="467"/>
      <c r="HR2" s="467"/>
      <c r="HS2" s="467"/>
      <c r="HT2" s="467"/>
      <c r="HU2" s="467"/>
      <c r="HV2" s="467"/>
      <c r="HW2" s="467"/>
      <c r="HX2" s="467"/>
      <c r="HY2" s="467"/>
      <c r="HZ2" s="467"/>
      <c r="IA2" s="467"/>
      <c r="IB2" s="467"/>
      <c r="IC2" s="467"/>
      <c r="ID2" s="467"/>
      <c r="IE2" s="467"/>
      <c r="IF2" s="467"/>
      <c r="IG2" s="467"/>
      <c r="IH2" s="467"/>
      <c r="II2" s="467"/>
      <c r="IJ2" s="467"/>
      <c r="IK2" s="467"/>
      <c r="IL2" s="467"/>
      <c r="IM2" s="467"/>
      <c r="IN2" s="467"/>
      <c r="IO2" s="467"/>
      <c r="IP2" s="467"/>
      <c r="IQ2" s="467"/>
    </row>
    <row r="3" spans="1:13" s="325" customFormat="1" ht="18" customHeight="1">
      <c r="A3" s="519"/>
      <c r="B3" s="1998" t="s">
        <v>14</v>
      </c>
      <c r="C3" s="1998"/>
      <c r="D3" s="1998"/>
      <c r="E3" s="1998"/>
      <c r="F3" s="1998"/>
      <c r="G3" s="1998"/>
      <c r="H3" s="1998"/>
      <c r="I3" s="1998"/>
      <c r="J3" s="1998"/>
      <c r="K3" s="1998"/>
      <c r="L3" s="1998"/>
      <c r="M3" s="1998"/>
    </row>
    <row r="4" spans="1:13" s="325" customFormat="1" ht="18" customHeight="1">
      <c r="A4" s="519"/>
      <c r="B4" s="1999" t="s">
        <v>899</v>
      </c>
      <c r="C4" s="1999"/>
      <c r="D4" s="1999"/>
      <c r="E4" s="1999"/>
      <c r="F4" s="1999"/>
      <c r="G4" s="1999"/>
      <c r="H4" s="1999"/>
      <c r="I4" s="1999"/>
      <c r="J4" s="1999"/>
      <c r="K4" s="1999"/>
      <c r="L4" s="1999"/>
      <c r="M4" s="1999"/>
    </row>
    <row r="5" ht="18" customHeight="1">
      <c r="M5" s="512" t="s">
        <v>0</v>
      </c>
    </row>
    <row r="6" spans="1:251" s="101" customFormat="1" ht="18" customHeight="1" thickBot="1">
      <c r="A6" s="519"/>
      <c r="B6" s="539" t="s">
        <v>1</v>
      </c>
      <c r="C6" s="540" t="s">
        <v>3</v>
      </c>
      <c r="D6" s="540" t="s">
        <v>2</v>
      </c>
      <c r="E6" s="540" t="s">
        <v>4</v>
      </c>
      <c r="F6" s="540" t="s">
        <v>5</v>
      </c>
      <c r="G6" s="540" t="s">
        <v>15</v>
      </c>
      <c r="H6" s="540" t="s">
        <v>16</v>
      </c>
      <c r="I6" s="540" t="s">
        <v>17</v>
      </c>
      <c r="J6" s="540" t="s">
        <v>33</v>
      </c>
      <c r="K6" s="540" t="s">
        <v>29</v>
      </c>
      <c r="L6" s="540" t="s">
        <v>22</v>
      </c>
      <c r="M6" s="540" t="s">
        <v>34</v>
      </c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519"/>
      <c r="DF6" s="519"/>
      <c r="DG6" s="519"/>
      <c r="DH6" s="519"/>
      <c r="DI6" s="519"/>
      <c r="DJ6" s="519"/>
      <c r="DK6" s="519"/>
      <c r="DL6" s="519"/>
      <c r="DM6" s="519"/>
      <c r="DN6" s="519"/>
      <c r="DO6" s="519"/>
      <c r="DP6" s="519"/>
      <c r="DQ6" s="519"/>
      <c r="DR6" s="519"/>
      <c r="DS6" s="519"/>
      <c r="DT6" s="519"/>
      <c r="DU6" s="519"/>
      <c r="DV6" s="519"/>
      <c r="DW6" s="519"/>
      <c r="DX6" s="519"/>
      <c r="DY6" s="519"/>
      <c r="DZ6" s="519"/>
      <c r="EA6" s="519"/>
      <c r="EB6" s="519"/>
      <c r="EC6" s="519"/>
      <c r="ED6" s="519"/>
      <c r="EE6" s="519"/>
      <c r="EF6" s="519"/>
      <c r="EG6" s="519"/>
      <c r="EH6" s="519"/>
      <c r="EI6" s="519"/>
      <c r="EJ6" s="519"/>
      <c r="EK6" s="519"/>
      <c r="EL6" s="519"/>
      <c r="EM6" s="519"/>
      <c r="EN6" s="519"/>
      <c r="EO6" s="519"/>
      <c r="EP6" s="519"/>
      <c r="EQ6" s="519"/>
      <c r="ER6" s="519"/>
      <c r="ES6" s="519"/>
      <c r="ET6" s="519"/>
      <c r="EU6" s="519"/>
      <c r="EV6" s="519"/>
      <c r="EW6" s="519"/>
      <c r="EX6" s="519"/>
      <c r="EY6" s="519"/>
      <c r="EZ6" s="519"/>
      <c r="FA6" s="519"/>
      <c r="FB6" s="519"/>
      <c r="FC6" s="519"/>
      <c r="FD6" s="519"/>
      <c r="FE6" s="519"/>
      <c r="FF6" s="519"/>
      <c r="FG6" s="519"/>
      <c r="FH6" s="519"/>
      <c r="FI6" s="519"/>
      <c r="FJ6" s="519"/>
      <c r="FK6" s="519"/>
      <c r="FL6" s="519"/>
      <c r="FM6" s="519"/>
      <c r="FN6" s="519"/>
      <c r="FO6" s="519"/>
      <c r="FP6" s="519"/>
      <c r="FQ6" s="519"/>
      <c r="FR6" s="519"/>
      <c r="FS6" s="519"/>
      <c r="FT6" s="519"/>
      <c r="FU6" s="519"/>
      <c r="FV6" s="519"/>
      <c r="FW6" s="519"/>
      <c r="FX6" s="519"/>
      <c r="FY6" s="519"/>
      <c r="FZ6" s="519"/>
      <c r="GA6" s="519"/>
      <c r="GB6" s="519"/>
      <c r="GC6" s="519"/>
      <c r="GD6" s="519"/>
      <c r="GE6" s="519"/>
      <c r="GF6" s="519"/>
      <c r="GG6" s="519"/>
      <c r="GH6" s="519"/>
      <c r="GI6" s="519"/>
      <c r="GJ6" s="519"/>
      <c r="GK6" s="519"/>
      <c r="GL6" s="519"/>
      <c r="GM6" s="519"/>
      <c r="GN6" s="519"/>
      <c r="GO6" s="519"/>
      <c r="GP6" s="519"/>
      <c r="GQ6" s="519"/>
      <c r="GR6" s="519"/>
      <c r="GS6" s="519"/>
      <c r="GT6" s="519"/>
      <c r="GU6" s="519"/>
      <c r="GV6" s="519"/>
      <c r="GW6" s="519"/>
      <c r="GX6" s="519"/>
      <c r="GY6" s="519"/>
      <c r="GZ6" s="519"/>
      <c r="HA6" s="519"/>
      <c r="HB6" s="519"/>
      <c r="HC6" s="519"/>
      <c r="HD6" s="519"/>
      <c r="HE6" s="519"/>
      <c r="HF6" s="519"/>
      <c r="HG6" s="519"/>
      <c r="HH6" s="519"/>
      <c r="HI6" s="519"/>
      <c r="HJ6" s="519"/>
      <c r="HK6" s="519"/>
      <c r="HL6" s="519"/>
      <c r="HM6" s="519"/>
      <c r="HN6" s="519"/>
      <c r="HO6" s="519"/>
      <c r="HP6" s="519"/>
      <c r="HQ6" s="519"/>
      <c r="HR6" s="519"/>
      <c r="HS6" s="519"/>
      <c r="HT6" s="519"/>
      <c r="HU6" s="519"/>
      <c r="HV6" s="519"/>
      <c r="HW6" s="519"/>
      <c r="HX6" s="519"/>
      <c r="HY6" s="519"/>
      <c r="HZ6" s="519"/>
      <c r="IA6" s="519"/>
      <c r="IB6" s="519"/>
      <c r="IC6" s="519"/>
      <c r="ID6" s="519"/>
      <c r="IE6" s="519"/>
      <c r="IF6" s="519"/>
      <c r="IG6" s="519"/>
      <c r="IH6" s="519"/>
      <c r="II6" s="519"/>
      <c r="IJ6" s="519"/>
      <c r="IK6" s="519"/>
      <c r="IL6" s="519"/>
      <c r="IM6" s="519"/>
      <c r="IN6" s="519"/>
      <c r="IO6" s="519"/>
      <c r="IP6" s="519"/>
      <c r="IQ6" s="519"/>
    </row>
    <row r="7" spans="2:13" ht="30" customHeight="1">
      <c r="B7" s="2006" t="s">
        <v>18</v>
      </c>
      <c r="C7" s="2009" t="s">
        <v>19</v>
      </c>
      <c r="D7" s="2012" t="s">
        <v>6</v>
      </c>
      <c r="E7" s="1986" t="s">
        <v>21</v>
      </c>
      <c r="F7" s="1986" t="s">
        <v>638</v>
      </c>
      <c r="G7" s="2021" t="s">
        <v>723</v>
      </c>
      <c r="H7" s="2018" t="s">
        <v>276</v>
      </c>
      <c r="I7" s="2000" t="s">
        <v>536</v>
      </c>
      <c r="J7" s="2001"/>
      <c r="K7" s="2001"/>
      <c r="L7" s="2002"/>
      <c r="M7" s="2003" t="s">
        <v>589</v>
      </c>
    </row>
    <row r="8" spans="2:13" ht="45.75" customHeight="1">
      <c r="B8" s="2007"/>
      <c r="C8" s="2010"/>
      <c r="D8" s="2013"/>
      <c r="E8" s="1987"/>
      <c r="F8" s="1987"/>
      <c r="G8" s="2022"/>
      <c r="H8" s="2019"/>
      <c r="I8" s="511" t="s">
        <v>36</v>
      </c>
      <c r="J8" s="2015" t="s">
        <v>148</v>
      </c>
      <c r="K8" s="2015"/>
      <c r="L8" s="2016" t="s">
        <v>115</v>
      </c>
      <c r="M8" s="2004"/>
    </row>
    <row r="9" spans="2:13" ht="53.25" customHeight="1" thickBot="1">
      <c r="B9" s="2008"/>
      <c r="C9" s="2011"/>
      <c r="D9" s="2014"/>
      <c r="E9" s="1988"/>
      <c r="F9" s="1988"/>
      <c r="G9" s="2023"/>
      <c r="H9" s="2020"/>
      <c r="I9" s="718" t="s">
        <v>39</v>
      </c>
      <c r="J9" s="541" t="s">
        <v>213</v>
      </c>
      <c r="K9" s="541" t="s">
        <v>149</v>
      </c>
      <c r="L9" s="2017"/>
      <c r="M9" s="2005"/>
    </row>
    <row r="10" spans="1:13" ht="23.25" customHeight="1">
      <c r="A10" s="520">
        <v>1</v>
      </c>
      <c r="B10" s="717">
        <v>18</v>
      </c>
      <c r="C10" s="709" t="s">
        <v>30</v>
      </c>
      <c r="D10" s="1537"/>
      <c r="E10" s="513"/>
      <c r="F10" s="531"/>
      <c r="G10" s="1292"/>
      <c r="H10" s="745"/>
      <c r="I10" s="719"/>
      <c r="J10" s="542"/>
      <c r="K10" s="542"/>
      <c r="L10" s="543"/>
      <c r="M10" s="532"/>
    </row>
    <row r="11" spans="1:13" ht="33" customHeight="1">
      <c r="A11" s="520">
        <v>2</v>
      </c>
      <c r="B11" s="717"/>
      <c r="C11" s="538">
        <v>1</v>
      </c>
      <c r="D11" s="997" t="s">
        <v>751</v>
      </c>
      <c r="E11" s="535">
        <f>F11+G11+L13+M12</f>
        <v>25604</v>
      </c>
      <c r="F11" s="536">
        <v>5652</v>
      </c>
      <c r="G11" s="1293">
        <v>4318</v>
      </c>
      <c r="H11" s="746" t="s">
        <v>23</v>
      </c>
      <c r="I11" s="1176"/>
      <c r="J11" s="1177"/>
      <c r="K11" s="1177"/>
      <c r="L11" s="1178"/>
      <c r="M11" s="532"/>
    </row>
    <row r="12" spans="1:13" s="1267" customFormat="1" ht="19.5" customHeight="1">
      <c r="A12" s="520">
        <v>3</v>
      </c>
      <c r="B12" s="1260"/>
      <c r="C12" s="1261"/>
      <c r="D12" s="589" t="s">
        <v>283</v>
      </c>
      <c r="E12" s="1258"/>
      <c r="F12" s="1262"/>
      <c r="G12" s="1294"/>
      <c r="H12" s="1263"/>
      <c r="I12" s="1268"/>
      <c r="J12" s="1269">
        <f>5936+5000</f>
        <v>10936</v>
      </c>
      <c r="K12" s="1269"/>
      <c r="L12" s="1270">
        <f aca="true" t="shared" si="0" ref="L12:L28">SUM(I12:K12)</f>
        <v>10936</v>
      </c>
      <c r="M12" s="1265"/>
    </row>
    <row r="13" spans="1:13" s="1267" customFormat="1" ht="19.5" customHeight="1">
      <c r="A13" s="520">
        <v>4</v>
      </c>
      <c r="B13" s="1260"/>
      <c r="C13" s="1261"/>
      <c r="D13" s="478" t="s">
        <v>757</v>
      </c>
      <c r="E13" s="1258"/>
      <c r="F13" s="1262"/>
      <c r="G13" s="1294"/>
      <c r="H13" s="1263"/>
      <c r="I13" s="1268"/>
      <c r="J13" s="1350">
        <v>15634</v>
      </c>
      <c r="K13" s="1350"/>
      <c r="L13" s="1446">
        <f t="shared" si="0"/>
        <v>15634</v>
      </c>
      <c r="M13" s="1265"/>
    </row>
    <row r="14" spans="1:13" ht="18" customHeight="1">
      <c r="A14" s="520">
        <v>5</v>
      </c>
      <c r="B14" s="533"/>
      <c r="C14" s="538"/>
      <c r="D14" s="1090" t="s">
        <v>892</v>
      </c>
      <c r="E14" s="535"/>
      <c r="F14" s="536"/>
      <c r="G14" s="1293"/>
      <c r="H14" s="746"/>
      <c r="I14" s="1487"/>
      <c r="J14" s="1716">
        <v>2540</v>
      </c>
      <c r="K14" s="1716"/>
      <c r="L14" s="1138">
        <f>SUM(I14:K14)</f>
        <v>2540</v>
      </c>
      <c r="M14" s="537"/>
    </row>
    <row r="15" spans="1:13" ht="31.5" customHeight="1">
      <c r="A15" s="520">
        <v>6</v>
      </c>
      <c r="B15" s="533"/>
      <c r="C15" s="538">
        <v>2</v>
      </c>
      <c r="D15" s="997" t="s">
        <v>871</v>
      </c>
      <c r="E15" s="535">
        <f>F15+G15+L16+M15</f>
        <v>2000</v>
      </c>
      <c r="F15" s="536"/>
      <c r="G15" s="1293"/>
      <c r="H15" s="746" t="s">
        <v>23</v>
      </c>
      <c r="I15" s="720"/>
      <c r="J15" s="1350"/>
      <c r="K15" s="544"/>
      <c r="L15" s="1179"/>
      <c r="M15" s="537"/>
    </row>
    <row r="16" spans="1:13" ht="19.5" customHeight="1">
      <c r="A16" s="520">
        <v>7</v>
      </c>
      <c r="B16" s="533"/>
      <c r="C16" s="538"/>
      <c r="D16" s="478" t="s">
        <v>757</v>
      </c>
      <c r="E16" s="535"/>
      <c r="F16" s="536"/>
      <c r="G16" s="1293"/>
      <c r="H16" s="746"/>
      <c r="I16" s="1352">
        <v>1000</v>
      </c>
      <c r="J16" s="1350">
        <v>1000</v>
      </c>
      <c r="K16" s="544"/>
      <c r="L16" s="1135">
        <f>SUM(I16:K16)</f>
        <v>2000</v>
      </c>
      <c r="M16" s="537"/>
    </row>
    <row r="17" spans="1:13" ht="18" customHeight="1">
      <c r="A17" s="520">
        <v>8</v>
      </c>
      <c r="B17" s="533"/>
      <c r="C17" s="538"/>
      <c r="D17" s="1090" t="s">
        <v>892</v>
      </c>
      <c r="E17" s="535"/>
      <c r="F17" s="536"/>
      <c r="G17" s="1293"/>
      <c r="H17" s="746"/>
      <c r="I17" s="1487">
        <v>0</v>
      </c>
      <c r="J17" s="1716">
        <v>0</v>
      </c>
      <c r="K17" s="1716"/>
      <c r="L17" s="1138">
        <f>SUM(I17:K17)</f>
        <v>0</v>
      </c>
      <c r="M17" s="537"/>
    </row>
    <row r="18" spans="1:13" ht="29.25" customHeight="1">
      <c r="A18" s="520">
        <v>9</v>
      </c>
      <c r="B18" s="533"/>
      <c r="C18" s="538">
        <v>3</v>
      </c>
      <c r="D18" s="997" t="s">
        <v>467</v>
      </c>
      <c r="E18" s="535">
        <f>F18+G18+L20+M19</f>
        <v>74372</v>
      </c>
      <c r="F18" s="535">
        <f>18391+26497</f>
        <v>44888</v>
      </c>
      <c r="G18" s="1293">
        <v>29084</v>
      </c>
      <c r="H18" s="746" t="s">
        <v>23</v>
      </c>
      <c r="I18" s="720"/>
      <c r="J18" s="544"/>
      <c r="K18" s="544"/>
      <c r="L18" s="1179"/>
      <c r="M18" s="537"/>
    </row>
    <row r="19" spans="1:13" s="1267" customFormat="1" ht="19.5" customHeight="1">
      <c r="A19" s="520">
        <v>10</v>
      </c>
      <c r="B19" s="1260"/>
      <c r="C19" s="1261"/>
      <c r="D19" s="589" t="s">
        <v>283</v>
      </c>
      <c r="E19" s="1258"/>
      <c r="F19" s="1258"/>
      <c r="G19" s="1294"/>
      <c r="H19" s="746"/>
      <c r="I19" s="1264"/>
      <c r="J19" s="1258">
        <v>400</v>
      </c>
      <c r="K19" s="1258"/>
      <c r="L19" s="1259">
        <f t="shared" si="0"/>
        <v>400</v>
      </c>
      <c r="M19" s="1265"/>
    </row>
    <row r="20" spans="1:13" s="1267" customFormat="1" ht="19.5" customHeight="1">
      <c r="A20" s="520">
        <v>11</v>
      </c>
      <c r="B20" s="1260"/>
      <c r="C20" s="1261"/>
      <c r="D20" s="478" t="s">
        <v>757</v>
      </c>
      <c r="E20" s="1258"/>
      <c r="F20" s="1258"/>
      <c r="G20" s="1294"/>
      <c r="H20" s="746"/>
      <c r="I20" s="1264"/>
      <c r="J20" s="1351">
        <v>400</v>
      </c>
      <c r="K20" s="1351"/>
      <c r="L20" s="1447">
        <f t="shared" si="0"/>
        <v>400</v>
      </c>
      <c r="M20" s="1265"/>
    </row>
    <row r="21" spans="1:13" ht="18" customHeight="1">
      <c r="A21" s="520">
        <v>12</v>
      </c>
      <c r="B21" s="533"/>
      <c r="C21" s="538"/>
      <c r="D21" s="1090" t="s">
        <v>893</v>
      </c>
      <c r="E21" s="535"/>
      <c r="F21" s="535"/>
      <c r="G21" s="1293"/>
      <c r="H21" s="746"/>
      <c r="I21" s="721"/>
      <c r="J21" s="1291">
        <v>0</v>
      </c>
      <c r="K21" s="1291"/>
      <c r="L21" s="1138">
        <f>SUM(I21:K21)</f>
        <v>0</v>
      </c>
      <c r="M21" s="537"/>
    </row>
    <row r="22" spans="1:13" ht="22.5" customHeight="1">
      <c r="A22" s="520">
        <v>13</v>
      </c>
      <c r="B22" s="533"/>
      <c r="C22" s="534">
        <v>4</v>
      </c>
      <c r="D22" s="328" t="s">
        <v>468</v>
      </c>
      <c r="E22" s="535">
        <f>F22+G22+L24+M23</f>
        <v>9675</v>
      </c>
      <c r="F22" s="535"/>
      <c r="G22" s="1293">
        <v>2388</v>
      </c>
      <c r="H22" s="746" t="s">
        <v>23</v>
      </c>
      <c r="I22" s="721"/>
      <c r="J22" s="535"/>
      <c r="K22" s="535"/>
      <c r="L22" s="1179"/>
      <c r="M22" s="537"/>
    </row>
    <row r="23" spans="1:13" s="1267" customFormat="1" ht="19.5" customHeight="1">
      <c r="A23" s="520">
        <v>14</v>
      </c>
      <c r="B23" s="1260"/>
      <c r="C23" s="1271"/>
      <c r="D23" s="589" t="s">
        <v>283</v>
      </c>
      <c r="E23" s="1258"/>
      <c r="F23" s="1258"/>
      <c r="G23" s="1294"/>
      <c r="H23" s="746"/>
      <c r="I23" s="1264"/>
      <c r="J23" s="1258">
        <v>7287</v>
      </c>
      <c r="K23" s="1258"/>
      <c r="L23" s="1259">
        <f t="shared" si="0"/>
        <v>7287</v>
      </c>
      <c r="M23" s="1265"/>
    </row>
    <row r="24" spans="1:13" s="1267" customFormat="1" ht="19.5" customHeight="1">
      <c r="A24" s="520">
        <v>15</v>
      </c>
      <c r="B24" s="1260"/>
      <c r="C24" s="1271"/>
      <c r="D24" s="478" t="s">
        <v>757</v>
      </c>
      <c r="E24" s="1258"/>
      <c r="F24" s="1258"/>
      <c r="G24" s="1294"/>
      <c r="H24" s="746"/>
      <c r="I24" s="1264"/>
      <c r="J24" s="1351">
        <v>7287</v>
      </c>
      <c r="K24" s="1351"/>
      <c r="L24" s="1447">
        <f t="shared" si="0"/>
        <v>7287</v>
      </c>
      <c r="M24" s="1265"/>
    </row>
    <row r="25" spans="1:13" ht="18" customHeight="1">
      <c r="A25" s="520">
        <v>16</v>
      </c>
      <c r="B25" s="533"/>
      <c r="C25" s="534"/>
      <c r="D25" s="1090" t="s">
        <v>893</v>
      </c>
      <c r="E25" s="535"/>
      <c r="F25" s="535"/>
      <c r="G25" s="1293"/>
      <c r="H25" s="746"/>
      <c r="I25" s="721"/>
      <c r="J25" s="1291">
        <v>6858</v>
      </c>
      <c r="K25" s="1291"/>
      <c r="L25" s="1138">
        <f>SUM(I25:K25)</f>
        <v>6858</v>
      </c>
      <c r="M25" s="537"/>
    </row>
    <row r="26" spans="1:13" ht="29.25" customHeight="1">
      <c r="A26" s="520">
        <v>17</v>
      </c>
      <c r="B26" s="533"/>
      <c r="C26" s="538">
        <v>5</v>
      </c>
      <c r="D26" s="997" t="s">
        <v>469</v>
      </c>
      <c r="E26" s="535">
        <f>F26+G26+L28+M27</f>
        <v>4260</v>
      </c>
      <c r="F26" s="536">
        <v>305</v>
      </c>
      <c r="G26" s="1293">
        <v>3557</v>
      </c>
      <c r="H26" s="746" t="s">
        <v>23</v>
      </c>
      <c r="I26" s="720"/>
      <c r="J26" s="544"/>
      <c r="K26" s="544"/>
      <c r="L26" s="545"/>
      <c r="M26" s="537"/>
    </row>
    <row r="27" spans="1:13" s="1267" customFormat="1" ht="19.5" customHeight="1">
      <c r="A27" s="520">
        <v>18</v>
      </c>
      <c r="B27" s="1260"/>
      <c r="C27" s="1261"/>
      <c r="D27" s="589" t="s">
        <v>283</v>
      </c>
      <c r="E27" s="1258"/>
      <c r="F27" s="1262"/>
      <c r="G27" s="1294"/>
      <c r="H27" s="1263"/>
      <c r="I27" s="1268"/>
      <c r="J27" s="1269">
        <v>398</v>
      </c>
      <c r="K27" s="1269"/>
      <c r="L27" s="1270">
        <f t="shared" si="0"/>
        <v>398</v>
      </c>
      <c r="M27" s="1265"/>
    </row>
    <row r="28" spans="1:13" s="1267" customFormat="1" ht="19.5" customHeight="1">
      <c r="A28" s="520">
        <v>19</v>
      </c>
      <c r="B28" s="1260"/>
      <c r="C28" s="1261"/>
      <c r="D28" s="478" t="s">
        <v>757</v>
      </c>
      <c r="E28" s="1258"/>
      <c r="F28" s="1262"/>
      <c r="G28" s="1294"/>
      <c r="H28" s="1263"/>
      <c r="I28" s="1268"/>
      <c r="J28" s="1350">
        <v>398</v>
      </c>
      <c r="K28" s="1350"/>
      <c r="L28" s="1446">
        <f t="shared" si="0"/>
        <v>398</v>
      </c>
      <c r="M28" s="1265"/>
    </row>
    <row r="29" spans="1:13" ht="18" customHeight="1">
      <c r="A29" s="520">
        <v>20</v>
      </c>
      <c r="B29" s="533"/>
      <c r="C29" s="538"/>
      <c r="D29" s="1090" t="s">
        <v>893</v>
      </c>
      <c r="E29" s="535"/>
      <c r="F29" s="536"/>
      <c r="G29" s="1293"/>
      <c r="H29" s="746"/>
      <c r="I29" s="720"/>
      <c r="J29" s="1716">
        <v>0</v>
      </c>
      <c r="K29" s="1716"/>
      <c r="L29" s="1138">
        <f>SUM(I29:K29)</f>
        <v>0</v>
      </c>
      <c r="M29" s="537"/>
    </row>
    <row r="30" spans="1:13" ht="22.5" customHeight="1">
      <c r="A30" s="520">
        <v>21</v>
      </c>
      <c r="B30" s="533"/>
      <c r="C30" s="534">
        <v>6</v>
      </c>
      <c r="D30" s="1525" t="s">
        <v>477</v>
      </c>
      <c r="E30" s="535">
        <f>F30+G30+L32+M31</f>
        <v>3630</v>
      </c>
      <c r="F30" s="536">
        <f>3210+110+100+100</f>
        <v>3520</v>
      </c>
      <c r="G30" s="1293">
        <v>100</v>
      </c>
      <c r="H30" s="746" t="s">
        <v>23</v>
      </c>
      <c r="I30" s="720"/>
      <c r="J30" s="544"/>
      <c r="K30" s="544"/>
      <c r="L30" s="545"/>
      <c r="M30" s="537"/>
    </row>
    <row r="31" spans="1:13" s="1267" customFormat="1" ht="18" customHeight="1">
      <c r="A31" s="520">
        <v>22</v>
      </c>
      <c r="B31" s="1260"/>
      <c r="C31" s="1261"/>
      <c r="D31" s="589" t="s">
        <v>283</v>
      </c>
      <c r="E31" s="1258"/>
      <c r="F31" s="1262"/>
      <c r="G31" s="1294"/>
      <c r="H31" s="1263"/>
      <c r="I31" s="1268"/>
      <c r="J31" s="1269">
        <v>100</v>
      </c>
      <c r="K31" s="1269"/>
      <c r="L31" s="1270">
        <f>SUM(I31:K31)</f>
        <v>100</v>
      </c>
      <c r="M31" s="1265"/>
    </row>
    <row r="32" spans="1:13" s="1267" customFormat="1" ht="18" customHeight="1">
      <c r="A32" s="520">
        <v>23</v>
      </c>
      <c r="B32" s="1260"/>
      <c r="C32" s="1261"/>
      <c r="D32" s="478" t="s">
        <v>757</v>
      </c>
      <c r="E32" s="1258"/>
      <c r="F32" s="1262"/>
      <c r="G32" s="1294"/>
      <c r="H32" s="1263"/>
      <c r="I32" s="1268"/>
      <c r="J32" s="1350">
        <v>10</v>
      </c>
      <c r="K32" s="1350"/>
      <c r="L32" s="1446">
        <f>SUM(I32:K32)</f>
        <v>10</v>
      </c>
      <c r="M32" s="1265"/>
    </row>
    <row r="33" spans="1:13" ht="18" customHeight="1">
      <c r="A33" s="520">
        <v>24</v>
      </c>
      <c r="B33" s="533"/>
      <c r="C33" s="538"/>
      <c r="D33" s="1090" t="s">
        <v>892</v>
      </c>
      <c r="E33" s="535"/>
      <c r="F33" s="536"/>
      <c r="G33" s="1293"/>
      <c r="H33" s="746"/>
      <c r="I33" s="720"/>
      <c r="J33" s="1716">
        <v>10</v>
      </c>
      <c r="K33" s="1716"/>
      <c r="L33" s="1138">
        <f>SUM(I33:K33)</f>
        <v>10</v>
      </c>
      <c r="M33" s="537"/>
    </row>
    <row r="34" spans="1:13" ht="22.5" customHeight="1">
      <c r="A34" s="520">
        <v>25</v>
      </c>
      <c r="B34" s="533"/>
      <c r="C34" s="534">
        <v>7</v>
      </c>
      <c r="D34" s="1525" t="s">
        <v>478</v>
      </c>
      <c r="E34" s="535">
        <f>F34+G34+L36+M35</f>
        <v>188770</v>
      </c>
      <c r="F34" s="536">
        <f>84090+35890+22900</f>
        <v>142880</v>
      </c>
      <c r="G34" s="1293">
        <v>22900</v>
      </c>
      <c r="H34" s="746" t="s">
        <v>23</v>
      </c>
      <c r="I34" s="720"/>
      <c r="J34" s="544"/>
      <c r="K34" s="544"/>
      <c r="L34" s="545"/>
      <c r="M34" s="537"/>
    </row>
    <row r="35" spans="1:13" s="1267" customFormat="1" ht="18" customHeight="1">
      <c r="A35" s="520">
        <v>26</v>
      </c>
      <c r="B35" s="1260"/>
      <c r="C35" s="1261"/>
      <c r="D35" s="589" t="s">
        <v>283</v>
      </c>
      <c r="E35" s="1258"/>
      <c r="F35" s="1262"/>
      <c r="G35" s="1294"/>
      <c r="H35" s="1263"/>
      <c r="I35" s="1268"/>
      <c r="J35" s="1269">
        <v>22900</v>
      </c>
      <c r="K35" s="1269"/>
      <c r="L35" s="1270">
        <f>SUM(I35:K35)</f>
        <v>22900</v>
      </c>
      <c r="M35" s="1265"/>
    </row>
    <row r="36" spans="1:13" s="1267" customFormat="1" ht="18" customHeight="1">
      <c r="A36" s="520">
        <v>27</v>
      </c>
      <c r="B36" s="1260"/>
      <c r="C36" s="1261"/>
      <c r="D36" s="478" t="s">
        <v>757</v>
      </c>
      <c r="E36" s="1258"/>
      <c r="F36" s="1262"/>
      <c r="G36" s="1294"/>
      <c r="H36" s="1263"/>
      <c r="I36" s="1268"/>
      <c r="J36" s="1350">
        <v>22990</v>
      </c>
      <c r="K36" s="1350"/>
      <c r="L36" s="1446">
        <f>SUM(I36:K36)</f>
        <v>22990</v>
      </c>
      <c r="M36" s="1265"/>
    </row>
    <row r="37" spans="1:13" ht="18" customHeight="1">
      <c r="A37" s="520">
        <v>28</v>
      </c>
      <c r="B37" s="533"/>
      <c r="C37" s="538"/>
      <c r="D37" s="1090" t="s">
        <v>892</v>
      </c>
      <c r="E37" s="535"/>
      <c r="F37" s="536"/>
      <c r="G37" s="1293"/>
      <c r="H37" s="746"/>
      <c r="I37" s="720"/>
      <c r="J37" s="1716">
        <v>22990</v>
      </c>
      <c r="K37" s="1716"/>
      <c r="L37" s="1138">
        <f>SUM(I37:K37)</f>
        <v>22990</v>
      </c>
      <c r="M37" s="537"/>
    </row>
    <row r="38" spans="1:13" ht="22.5" customHeight="1">
      <c r="A38" s="520">
        <v>29</v>
      </c>
      <c r="B38" s="533"/>
      <c r="C38" s="534">
        <v>8</v>
      </c>
      <c r="D38" s="1525" t="s">
        <v>479</v>
      </c>
      <c r="E38" s="535">
        <f>F38+G38+L40+M39</f>
        <v>100090</v>
      </c>
      <c r="F38" s="536">
        <f>100050+10+10</f>
        <v>100070</v>
      </c>
      <c r="G38" s="1293">
        <v>10</v>
      </c>
      <c r="H38" s="746" t="s">
        <v>23</v>
      </c>
      <c r="I38" s="720"/>
      <c r="J38" s="544"/>
      <c r="K38" s="544"/>
      <c r="L38" s="545"/>
      <c r="M38" s="537"/>
    </row>
    <row r="39" spans="1:13" s="1267" customFormat="1" ht="19.5" customHeight="1">
      <c r="A39" s="520">
        <v>30</v>
      </c>
      <c r="B39" s="1260"/>
      <c r="C39" s="1261"/>
      <c r="D39" s="589" t="s">
        <v>283</v>
      </c>
      <c r="E39" s="1258"/>
      <c r="F39" s="1262"/>
      <c r="G39" s="1294"/>
      <c r="H39" s="1263"/>
      <c r="I39" s="1268"/>
      <c r="J39" s="1269">
        <v>10</v>
      </c>
      <c r="K39" s="1269"/>
      <c r="L39" s="1270">
        <f>SUM(I39:K39)</f>
        <v>10</v>
      </c>
      <c r="M39" s="1265"/>
    </row>
    <row r="40" spans="1:13" s="1267" customFormat="1" ht="19.5" customHeight="1">
      <c r="A40" s="520">
        <v>31</v>
      </c>
      <c r="B40" s="1260"/>
      <c r="C40" s="1261"/>
      <c r="D40" s="478" t="s">
        <v>757</v>
      </c>
      <c r="E40" s="1258"/>
      <c r="F40" s="1262"/>
      <c r="G40" s="1294"/>
      <c r="H40" s="1263"/>
      <c r="I40" s="1268"/>
      <c r="J40" s="1350">
        <v>10</v>
      </c>
      <c r="K40" s="1350"/>
      <c r="L40" s="1446">
        <f>SUM(I40:K40)</f>
        <v>10</v>
      </c>
      <c r="M40" s="1265"/>
    </row>
    <row r="41" spans="1:13" ht="18" customHeight="1">
      <c r="A41" s="520">
        <v>32</v>
      </c>
      <c r="B41" s="533"/>
      <c r="C41" s="538"/>
      <c r="D41" s="1090" t="s">
        <v>893</v>
      </c>
      <c r="E41" s="535"/>
      <c r="F41" s="536"/>
      <c r="G41" s="1293"/>
      <c r="H41" s="746"/>
      <c r="I41" s="720"/>
      <c r="J41" s="1716">
        <v>10</v>
      </c>
      <c r="K41" s="1716"/>
      <c r="L41" s="1138">
        <f>SUM(I41:K41)</f>
        <v>10</v>
      </c>
      <c r="M41" s="537"/>
    </row>
    <row r="42" spans="1:13" ht="22.5" customHeight="1">
      <c r="A42" s="520">
        <v>33</v>
      </c>
      <c r="B42" s="533"/>
      <c r="C42" s="534">
        <v>9</v>
      </c>
      <c r="D42" s="1525" t="s">
        <v>480</v>
      </c>
      <c r="E42" s="535">
        <f>F42+G42+L44+M43</f>
        <v>859910</v>
      </c>
      <c r="F42" s="536">
        <f>379950+119990+119990</f>
        <v>619930</v>
      </c>
      <c r="G42" s="1293">
        <v>119990</v>
      </c>
      <c r="H42" s="746" t="s">
        <v>23</v>
      </c>
      <c r="I42" s="720"/>
      <c r="J42" s="544"/>
      <c r="K42" s="544"/>
      <c r="L42" s="545"/>
      <c r="M42" s="537"/>
    </row>
    <row r="43" spans="1:13" s="1267" customFormat="1" ht="18" customHeight="1">
      <c r="A43" s="520">
        <v>34</v>
      </c>
      <c r="B43" s="1260"/>
      <c r="C43" s="1261"/>
      <c r="D43" s="589" t="s">
        <v>283</v>
      </c>
      <c r="E43" s="1258"/>
      <c r="F43" s="1262"/>
      <c r="G43" s="1294"/>
      <c r="H43" s="1263"/>
      <c r="I43" s="1268"/>
      <c r="J43" s="1269">
        <v>119990</v>
      </c>
      <c r="K43" s="1269"/>
      <c r="L43" s="1270">
        <f>SUM(I43:K43)</f>
        <v>119990</v>
      </c>
      <c r="M43" s="1265"/>
    </row>
    <row r="44" spans="1:13" s="1267" customFormat="1" ht="18" customHeight="1">
      <c r="A44" s="520">
        <v>35</v>
      </c>
      <c r="B44" s="1260"/>
      <c r="C44" s="1261"/>
      <c r="D44" s="478" t="s">
        <v>757</v>
      </c>
      <c r="E44" s="1258"/>
      <c r="F44" s="1262"/>
      <c r="G44" s="1294"/>
      <c r="H44" s="1263"/>
      <c r="I44" s="1268"/>
      <c r="J44" s="1350">
        <v>119990</v>
      </c>
      <c r="K44" s="1350"/>
      <c r="L44" s="1446">
        <f>SUM(I44:K44)</f>
        <v>119990</v>
      </c>
      <c r="M44" s="1265"/>
    </row>
    <row r="45" spans="1:13" ht="18" customHeight="1">
      <c r="A45" s="520">
        <v>36</v>
      </c>
      <c r="B45" s="533"/>
      <c r="C45" s="538"/>
      <c r="D45" s="1090" t="s">
        <v>893</v>
      </c>
      <c r="E45" s="535"/>
      <c r="F45" s="536"/>
      <c r="G45" s="1293"/>
      <c r="H45" s="746"/>
      <c r="I45" s="720"/>
      <c r="J45" s="1716">
        <v>59990</v>
      </c>
      <c r="K45" s="1716"/>
      <c r="L45" s="1138">
        <f>SUM(I45:K45)</f>
        <v>59990</v>
      </c>
      <c r="M45" s="537"/>
    </row>
    <row r="46" spans="1:13" ht="22.5" customHeight="1">
      <c r="A46" s="520">
        <v>37</v>
      </c>
      <c r="B46" s="533"/>
      <c r="C46" s="534">
        <v>10</v>
      </c>
      <c r="D46" s="1525" t="s">
        <v>507</v>
      </c>
      <c r="E46" s="535">
        <f>F46+G46+L48+M47</f>
        <v>302000</v>
      </c>
      <c r="F46" s="536"/>
      <c r="G46" s="1293"/>
      <c r="H46" s="746" t="s">
        <v>23</v>
      </c>
      <c r="I46" s="720"/>
      <c r="J46" s="544"/>
      <c r="K46" s="544"/>
      <c r="L46" s="545"/>
      <c r="M46" s="537"/>
    </row>
    <row r="47" spans="1:13" s="1267" customFormat="1" ht="18" customHeight="1">
      <c r="A47" s="520">
        <v>38</v>
      </c>
      <c r="B47" s="1260"/>
      <c r="C47" s="1261"/>
      <c r="D47" s="589" t="s">
        <v>283</v>
      </c>
      <c r="E47" s="1258"/>
      <c r="F47" s="1262"/>
      <c r="G47" s="1294"/>
      <c r="H47" s="1263"/>
      <c r="I47" s="1268"/>
      <c r="J47" s="1269">
        <f>50326+201326+50348</f>
        <v>302000</v>
      </c>
      <c r="K47" s="1269"/>
      <c r="L47" s="1270">
        <f>SUM(I47:K47)</f>
        <v>302000</v>
      </c>
      <c r="M47" s="1265"/>
    </row>
    <row r="48" spans="1:13" s="1267" customFormat="1" ht="18" customHeight="1">
      <c r="A48" s="520">
        <v>39</v>
      </c>
      <c r="B48" s="1260"/>
      <c r="C48" s="1261"/>
      <c r="D48" s="478" t="s">
        <v>757</v>
      </c>
      <c r="E48" s="1258"/>
      <c r="F48" s="1262"/>
      <c r="G48" s="1294"/>
      <c r="H48" s="1263"/>
      <c r="I48" s="1268"/>
      <c r="J48" s="1350">
        <v>302000</v>
      </c>
      <c r="K48" s="1350"/>
      <c r="L48" s="1446">
        <f>SUM(I48:K48)</f>
        <v>302000</v>
      </c>
      <c r="M48" s="1265"/>
    </row>
    <row r="49" spans="1:13" ht="18" customHeight="1">
      <c r="A49" s="520">
        <v>40</v>
      </c>
      <c r="B49" s="533"/>
      <c r="C49" s="538"/>
      <c r="D49" s="1090" t="s">
        <v>893</v>
      </c>
      <c r="E49" s="535"/>
      <c r="F49" s="536"/>
      <c r="G49" s="1293"/>
      <c r="H49" s="746"/>
      <c r="I49" s="720"/>
      <c r="J49" s="1716">
        <v>302000</v>
      </c>
      <c r="K49" s="1716"/>
      <c r="L49" s="1138">
        <f>SUM(I49:K49)</f>
        <v>302000</v>
      </c>
      <c r="M49" s="537"/>
    </row>
    <row r="50" spans="1:13" ht="22.5" customHeight="1">
      <c r="A50" s="520">
        <v>41</v>
      </c>
      <c r="B50" s="533"/>
      <c r="C50" s="534">
        <v>11</v>
      </c>
      <c r="D50" s="1525" t="s">
        <v>481</v>
      </c>
      <c r="E50" s="535">
        <f>F50+G50+L52+M51</f>
        <v>4600</v>
      </c>
      <c r="F50" s="536">
        <f>100+1500</f>
        <v>1600</v>
      </c>
      <c r="G50" s="1293">
        <v>2000</v>
      </c>
      <c r="H50" s="746" t="s">
        <v>23</v>
      </c>
      <c r="I50" s="720"/>
      <c r="J50" s="544"/>
      <c r="K50" s="544"/>
      <c r="L50" s="545"/>
      <c r="M50" s="537"/>
    </row>
    <row r="51" spans="1:13" s="1267" customFormat="1" ht="18" customHeight="1">
      <c r="A51" s="520">
        <v>42</v>
      </c>
      <c r="B51" s="1260"/>
      <c r="C51" s="1261"/>
      <c r="D51" s="589" t="s">
        <v>283</v>
      </c>
      <c r="E51" s="1258"/>
      <c r="F51" s="1262"/>
      <c r="G51" s="1294"/>
      <c r="H51" s="1263"/>
      <c r="I51" s="1268"/>
      <c r="J51" s="1269">
        <v>1000</v>
      </c>
      <c r="K51" s="1269"/>
      <c r="L51" s="1270">
        <f>SUM(I51:K51)</f>
        <v>1000</v>
      </c>
      <c r="M51" s="1265"/>
    </row>
    <row r="52" spans="1:13" s="1267" customFormat="1" ht="18" customHeight="1">
      <c r="A52" s="520">
        <v>43</v>
      </c>
      <c r="B52" s="1260"/>
      <c r="C52" s="1261"/>
      <c r="D52" s="478" t="s">
        <v>757</v>
      </c>
      <c r="E52" s="1258"/>
      <c r="F52" s="1262"/>
      <c r="G52" s="1294"/>
      <c r="H52" s="1263"/>
      <c r="I52" s="1268"/>
      <c r="J52" s="1350">
        <v>1000</v>
      </c>
      <c r="K52" s="1350"/>
      <c r="L52" s="1446">
        <f>SUM(I52:K52)</f>
        <v>1000</v>
      </c>
      <c r="M52" s="1265"/>
    </row>
    <row r="53" spans="1:13" ht="18" customHeight="1">
      <c r="A53" s="520">
        <v>44</v>
      </c>
      <c r="B53" s="533"/>
      <c r="C53" s="538"/>
      <c r="D53" s="1090" t="s">
        <v>893</v>
      </c>
      <c r="E53" s="535"/>
      <c r="F53" s="536"/>
      <c r="G53" s="1293"/>
      <c r="H53" s="746"/>
      <c r="I53" s="720"/>
      <c r="J53" s="1716">
        <v>0</v>
      </c>
      <c r="K53" s="1716"/>
      <c r="L53" s="1138">
        <f>SUM(I53:K53)</f>
        <v>0</v>
      </c>
      <c r="M53" s="537"/>
    </row>
    <row r="54" spans="1:13" ht="22.5" customHeight="1">
      <c r="A54" s="520">
        <v>45</v>
      </c>
      <c r="B54" s="533"/>
      <c r="C54" s="534">
        <v>12</v>
      </c>
      <c r="D54" s="1525" t="s">
        <v>482</v>
      </c>
      <c r="E54" s="535">
        <f>F54+G54+L56+M55</f>
        <v>475100</v>
      </c>
      <c r="F54" s="536">
        <f>82900+195200</f>
        <v>278100</v>
      </c>
      <c r="G54" s="1293">
        <v>98000</v>
      </c>
      <c r="H54" s="746" t="s">
        <v>23</v>
      </c>
      <c r="I54" s="720"/>
      <c r="J54" s="544"/>
      <c r="K54" s="544"/>
      <c r="L54" s="545"/>
      <c r="M54" s="537"/>
    </row>
    <row r="55" spans="1:13" s="1267" customFormat="1" ht="18" customHeight="1">
      <c r="A55" s="520">
        <v>46</v>
      </c>
      <c r="B55" s="1260"/>
      <c r="C55" s="1261"/>
      <c r="D55" s="589" t="s">
        <v>283</v>
      </c>
      <c r="E55" s="1258"/>
      <c r="F55" s="1262"/>
      <c r="G55" s="1294"/>
      <c r="H55" s="1263"/>
      <c r="I55" s="1268"/>
      <c r="J55" s="1269">
        <v>99000</v>
      </c>
      <c r="K55" s="1269"/>
      <c r="L55" s="1270">
        <f>SUM(I55:K55)</f>
        <v>99000</v>
      </c>
      <c r="M55" s="1265"/>
    </row>
    <row r="56" spans="1:13" s="1267" customFormat="1" ht="18" customHeight="1">
      <c r="A56" s="520">
        <v>47</v>
      </c>
      <c r="B56" s="1260"/>
      <c r="C56" s="1261"/>
      <c r="D56" s="478" t="s">
        <v>757</v>
      </c>
      <c r="E56" s="1258"/>
      <c r="F56" s="1262"/>
      <c r="G56" s="1294"/>
      <c r="H56" s="1263"/>
      <c r="I56" s="1268"/>
      <c r="J56" s="1350">
        <v>99000</v>
      </c>
      <c r="K56" s="1350"/>
      <c r="L56" s="1446">
        <f>SUM(I56:K56)</f>
        <v>99000</v>
      </c>
      <c r="M56" s="1265"/>
    </row>
    <row r="57" spans="1:13" ht="18" customHeight="1">
      <c r="A57" s="520">
        <v>48</v>
      </c>
      <c r="B57" s="533"/>
      <c r="C57" s="538"/>
      <c r="D57" s="1090" t="s">
        <v>893</v>
      </c>
      <c r="E57" s="535"/>
      <c r="F57" s="536"/>
      <c r="G57" s="1293"/>
      <c r="H57" s="746"/>
      <c r="I57" s="720"/>
      <c r="J57" s="1716">
        <v>0</v>
      </c>
      <c r="K57" s="1716"/>
      <c r="L57" s="1138">
        <f>SUM(I57:K57)</f>
        <v>0</v>
      </c>
      <c r="M57" s="537"/>
    </row>
    <row r="58" spans="1:13" ht="29.25" customHeight="1">
      <c r="A58" s="520">
        <v>49</v>
      </c>
      <c r="B58" s="533"/>
      <c r="C58" s="538">
        <v>13</v>
      </c>
      <c r="D58" s="997" t="s">
        <v>470</v>
      </c>
      <c r="E58" s="535">
        <f>F58+G58+L60+M59</f>
        <v>19000</v>
      </c>
      <c r="F58" s="536"/>
      <c r="G58" s="1293">
        <v>0</v>
      </c>
      <c r="H58" s="746" t="s">
        <v>23</v>
      </c>
      <c r="I58" s="720"/>
      <c r="J58" s="544"/>
      <c r="K58" s="544"/>
      <c r="L58" s="545"/>
      <c r="M58" s="537"/>
    </row>
    <row r="59" spans="1:13" s="1267" customFormat="1" ht="18" customHeight="1">
      <c r="A59" s="520">
        <v>50</v>
      </c>
      <c r="B59" s="1260"/>
      <c r="C59" s="1261"/>
      <c r="D59" s="589" t="s">
        <v>283</v>
      </c>
      <c r="E59" s="1258"/>
      <c r="F59" s="1262"/>
      <c r="G59" s="1294"/>
      <c r="H59" s="1263"/>
      <c r="I59" s="1268"/>
      <c r="J59" s="1269">
        <v>19000</v>
      </c>
      <c r="K59" s="1269"/>
      <c r="L59" s="1270">
        <f>SUM(I59:K59)</f>
        <v>19000</v>
      </c>
      <c r="M59" s="1265"/>
    </row>
    <row r="60" spans="1:13" s="1267" customFormat="1" ht="18" customHeight="1">
      <c r="A60" s="520">
        <v>51</v>
      </c>
      <c r="B60" s="1260"/>
      <c r="C60" s="1261"/>
      <c r="D60" s="478" t="s">
        <v>757</v>
      </c>
      <c r="E60" s="1258"/>
      <c r="F60" s="1262"/>
      <c r="G60" s="1294"/>
      <c r="H60" s="1263"/>
      <c r="I60" s="1268"/>
      <c r="J60" s="1350">
        <v>19000</v>
      </c>
      <c r="K60" s="1350"/>
      <c r="L60" s="1446">
        <f>SUM(I60:K60)</f>
        <v>19000</v>
      </c>
      <c r="M60" s="1265"/>
    </row>
    <row r="61" spans="1:13" ht="18" customHeight="1">
      <c r="A61" s="520">
        <v>52</v>
      </c>
      <c r="B61" s="533"/>
      <c r="C61" s="538"/>
      <c r="D61" s="1090" t="s">
        <v>893</v>
      </c>
      <c r="E61" s="535"/>
      <c r="F61" s="536"/>
      <c r="G61" s="1293"/>
      <c r="H61" s="746"/>
      <c r="I61" s="720"/>
      <c r="J61" s="1716">
        <v>0</v>
      </c>
      <c r="K61" s="1716"/>
      <c r="L61" s="1138">
        <f>SUM(I61:K61)</f>
        <v>0</v>
      </c>
      <c r="M61" s="537"/>
    </row>
    <row r="62" spans="1:13" ht="22.5" customHeight="1">
      <c r="A62" s="520">
        <v>53</v>
      </c>
      <c r="B62" s="533"/>
      <c r="C62" s="534">
        <v>14</v>
      </c>
      <c r="D62" s="328" t="s">
        <v>390</v>
      </c>
      <c r="E62" s="535">
        <f>F62+G62+L64+M63</f>
        <v>49054</v>
      </c>
      <c r="F62" s="536">
        <f>8127+11064</f>
        <v>19191</v>
      </c>
      <c r="G62" s="1293">
        <v>7463</v>
      </c>
      <c r="H62" s="746" t="s">
        <v>23</v>
      </c>
      <c r="I62" s="720"/>
      <c r="J62" s="544"/>
      <c r="K62" s="544"/>
      <c r="L62" s="545"/>
      <c r="M62" s="537"/>
    </row>
    <row r="63" spans="1:13" s="1267" customFormat="1" ht="18" customHeight="1">
      <c r="A63" s="520">
        <v>54</v>
      </c>
      <c r="B63" s="1260"/>
      <c r="C63" s="1271"/>
      <c r="D63" s="589" t="s">
        <v>283</v>
      </c>
      <c r="E63" s="1258"/>
      <c r="F63" s="1262"/>
      <c r="G63" s="1294"/>
      <c r="H63" s="1263"/>
      <c r="I63" s="1268">
        <v>1154</v>
      </c>
      <c r="J63" s="1269">
        <f>16910-1154</f>
        <v>15756</v>
      </c>
      <c r="K63" s="1269"/>
      <c r="L63" s="1270">
        <f>SUM(I63:K63)</f>
        <v>16910</v>
      </c>
      <c r="M63" s="1265"/>
    </row>
    <row r="64" spans="1:13" s="1267" customFormat="1" ht="18" customHeight="1">
      <c r="A64" s="520">
        <v>55</v>
      </c>
      <c r="B64" s="1260"/>
      <c r="C64" s="1271"/>
      <c r="D64" s="478" t="s">
        <v>757</v>
      </c>
      <c r="E64" s="1258"/>
      <c r="F64" s="1262"/>
      <c r="G64" s="1294"/>
      <c r="H64" s="1263"/>
      <c r="I64" s="1352">
        <v>0</v>
      </c>
      <c r="J64" s="1350">
        <v>22400</v>
      </c>
      <c r="K64" s="1350"/>
      <c r="L64" s="1446">
        <f>SUM(I64:K64)</f>
        <v>22400</v>
      </c>
      <c r="M64" s="1265"/>
    </row>
    <row r="65" spans="1:13" ht="18" customHeight="1">
      <c r="A65" s="520">
        <v>56</v>
      </c>
      <c r="B65" s="533"/>
      <c r="C65" s="534"/>
      <c r="D65" s="1090" t="s">
        <v>892</v>
      </c>
      <c r="E65" s="535"/>
      <c r="F65" s="536"/>
      <c r="G65" s="1293"/>
      <c r="H65" s="746"/>
      <c r="I65" s="1487">
        <v>0</v>
      </c>
      <c r="J65" s="1716">
        <v>6038</v>
      </c>
      <c r="K65" s="1716"/>
      <c r="L65" s="1138">
        <f>SUM(I65:K65)</f>
        <v>6038</v>
      </c>
      <c r="M65" s="537"/>
    </row>
    <row r="66" spans="1:13" ht="29.25" customHeight="1">
      <c r="A66" s="520">
        <v>57</v>
      </c>
      <c r="B66" s="533"/>
      <c r="C66" s="538">
        <v>15</v>
      </c>
      <c r="D66" s="997" t="s">
        <v>483</v>
      </c>
      <c r="E66" s="535">
        <f>F66+G66+L68+M67</f>
        <v>21891</v>
      </c>
      <c r="F66" s="536"/>
      <c r="G66" s="1293">
        <v>0</v>
      </c>
      <c r="H66" s="746" t="s">
        <v>22</v>
      </c>
      <c r="I66" s="720"/>
      <c r="J66" s="544"/>
      <c r="K66" s="544"/>
      <c r="L66" s="545"/>
      <c r="M66" s="537"/>
    </row>
    <row r="67" spans="1:13" s="1267" customFormat="1" ht="18" customHeight="1">
      <c r="A67" s="520">
        <v>58</v>
      </c>
      <c r="B67" s="1260"/>
      <c r="C67" s="1261"/>
      <c r="D67" s="589" t="s">
        <v>283</v>
      </c>
      <c r="E67" s="1258"/>
      <c r="F67" s="1262"/>
      <c r="G67" s="1294"/>
      <c r="H67" s="1263"/>
      <c r="I67" s="1268"/>
      <c r="J67" s="1269">
        <v>21891</v>
      </c>
      <c r="K67" s="1269"/>
      <c r="L67" s="1270">
        <f>SUM(I67:K67)</f>
        <v>21891</v>
      </c>
      <c r="M67" s="1265"/>
    </row>
    <row r="68" spans="1:13" s="1267" customFormat="1" ht="18" customHeight="1">
      <c r="A68" s="520">
        <v>59</v>
      </c>
      <c r="B68" s="1260"/>
      <c r="C68" s="1261"/>
      <c r="D68" s="478" t="s">
        <v>757</v>
      </c>
      <c r="E68" s="1258"/>
      <c r="F68" s="1262"/>
      <c r="G68" s="1294"/>
      <c r="H68" s="1263"/>
      <c r="I68" s="1268"/>
      <c r="J68" s="1350">
        <v>21891</v>
      </c>
      <c r="K68" s="1350"/>
      <c r="L68" s="1446">
        <f>SUM(I68:K68)</f>
        <v>21891</v>
      </c>
      <c r="M68" s="1265"/>
    </row>
    <row r="69" spans="1:13" ht="18" customHeight="1">
      <c r="A69" s="520">
        <v>60</v>
      </c>
      <c r="B69" s="533"/>
      <c r="C69" s="538"/>
      <c r="D69" s="1090" t="s">
        <v>893</v>
      </c>
      <c r="E69" s="535"/>
      <c r="F69" s="536"/>
      <c r="G69" s="1293"/>
      <c r="H69" s="746"/>
      <c r="I69" s="720"/>
      <c r="J69" s="1716">
        <v>0</v>
      </c>
      <c r="K69" s="1716"/>
      <c r="L69" s="1138">
        <f>SUM(I69:K69)</f>
        <v>0</v>
      </c>
      <c r="M69" s="537"/>
    </row>
    <row r="70" spans="1:13" ht="29.25" customHeight="1">
      <c r="A70" s="520">
        <v>61</v>
      </c>
      <c r="B70" s="533"/>
      <c r="C70" s="538">
        <v>16</v>
      </c>
      <c r="D70" s="997" t="s">
        <v>484</v>
      </c>
      <c r="E70" s="535">
        <f>F70+G70+L72+M71</f>
        <v>22860</v>
      </c>
      <c r="F70" s="536"/>
      <c r="G70" s="1293">
        <v>0</v>
      </c>
      <c r="H70" s="746" t="s">
        <v>22</v>
      </c>
      <c r="I70" s="720"/>
      <c r="J70" s="544"/>
      <c r="K70" s="544"/>
      <c r="L70" s="545"/>
      <c r="M70" s="537"/>
    </row>
    <row r="71" spans="1:13" s="1267" customFormat="1" ht="18" customHeight="1">
      <c r="A71" s="520">
        <v>62</v>
      </c>
      <c r="B71" s="1260"/>
      <c r="C71" s="1261"/>
      <c r="D71" s="589" t="s">
        <v>283</v>
      </c>
      <c r="E71" s="1258"/>
      <c r="F71" s="1262"/>
      <c r="G71" s="1294"/>
      <c r="H71" s="1263"/>
      <c r="I71" s="1268"/>
      <c r="J71" s="1269">
        <v>22860</v>
      </c>
      <c r="K71" s="1269"/>
      <c r="L71" s="1270">
        <f>SUM(I71:K71)</f>
        <v>22860</v>
      </c>
      <c r="M71" s="1265"/>
    </row>
    <row r="72" spans="1:13" s="1267" customFormat="1" ht="18" customHeight="1">
      <c r="A72" s="520">
        <v>63</v>
      </c>
      <c r="B72" s="1260"/>
      <c r="C72" s="1261"/>
      <c r="D72" s="478" t="s">
        <v>757</v>
      </c>
      <c r="E72" s="1258"/>
      <c r="F72" s="1262"/>
      <c r="G72" s="1294"/>
      <c r="H72" s="1263"/>
      <c r="I72" s="1268"/>
      <c r="J72" s="1350">
        <v>22860</v>
      </c>
      <c r="K72" s="1350"/>
      <c r="L72" s="1446">
        <f>SUM(I72:K72)</f>
        <v>22860</v>
      </c>
      <c r="M72" s="1265"/>
    </row>
    <row r="73" spans="1:13" ht="18" customHeight="1">
      <c r="A73" s="520">
        <v>64</v>
      </c>
      <c r="B73" s="533"/>
      <c r="C73" s="538"/>
      <c r="D73" s="1090" t="s">
        <v>893</v>
      </c>
      <c r="E73" s="535"/>
      <c r="F73" s="536"/>
      <c r="G73" s="1293"/>
      <c r="H73" s="746"/>
      <c r="I73" s="720"/>
      <c r="J73" s="1716">
        <v>996</v>
      </c>
      <c r="K73" s="1716"/>
      <c r="L73" s="1138">
        <f>SUM(I73:K73)</f>
        <v>996</v>
      </c>
      <c r="M73" s="537"/>
    </row>
    <row r="74" spans="1:13" ht="51.75" customHeight="1">
      <c r="A74" s="520">
        <v>65</v>
      </c>
      <c r="B74" s="533"/>
      <c r="C74" s="538">
        <v>17</v>
      </c>
      <c r="D74" s="997" t="s">
        <v>485</v>
      </c>
      <c r="E74" s="535">
        <f>F74+G74+L76+M75</f>
        <v>20955</v>
      </c>
      <c r="F74" s="536"/>
      <c r="G74" s="1293">
        <v>0</v>
      </c>
      <c r="H74" s="746" t="s">
        <v>22</v>
      </c>
      <c r="I74" s="720"/>
      <c r="J74" s="544"/>
      <c r="K74" s="544"/>
      <c r="L74" s="545"/>
      <c r="M74" s="537"/>
    </row>
    <row r="75" spans="1:13" s="1267" customFormat="1" ht="18" customHeight="1">
      <c r="A75" s="520">
        <v>66</v>
      </c>
      <c r="B75" s="1260"/>
      <c r="C75" s="1261"/>
      <c r="D75" s="589" t="s">
        <v>283</v>
      </c>
      <c r="E75" s="1258"/>
      <c r="F75" s="1262"/>
      <c r="G75" s="1294"/>
      <c r="H75" s="1263"/>
      <c r="I75" s="1268"/>
      <c r="J75" s="1269">
        <v>20955</v>
      </c>
      <c r="K75" s="1269"/>
      <c r="L75" s="1270">
        <f>SUM(I75:K75)</f>
        <v>20955</v>
      </c>
      <c r="M75" s="1265"/>
    </row>
    <row r="76" spans="1:13" s="1267" customFormat="1" ht="18" customHeight="1">
      <c r="A76" s="520">
        <v>67</v>
      </c>
      <c r="B76" s="1260"/>
      <c r="C76" s="1261"/>
      <c r="D76" s="478" t="s">
        <v>757</v>
      </c>
      <c r="E76" s="1258"/>
      <c r="F76" s="1262"/>
      <c r="G76" s="1294"/>
      <c r="H76" s="1263"/>
      <c r="I76" s="1268"/>
      <c r="J76" s="1350">
        <v>20955</v>
      </c>
      <c r="K76" s="1350"/>
      <c r="L76" s="1446">
        <f>SUM(I76:K76)</f>
        <v>20955</v>
      </c>
      <c r="M76" s="1265"/>
    </row>
    <row r="77" spans="1:13" ht="18" customHeight="1">
      <c r="A77" s="520">
        <v>68</v>
      </c>
      <c r="B77" s="533"/>
      <c r="C77" s="538"/>
      <c r="D77" s="1090" t="s">
        <v>893</v>
      </c>
      <c r="E77" s="535"/>
      <c r="F77" s="536"/>
      <c r="G77" s="1293"/>
      <c r="H77" s="746"/>
      <c r="I77" s="720"/>
      <c r="J77" s="1716">
        <v>767</v>
      </c>
      <c r="K77" s="1716"/>
      <c r="L77" s="1138">
        <f>SUM(I77:K77)</f>
        <v>767</v>
      </c>
      <c r="M77" s="537"/>
    </row>
    <row r="78" spans="1:13" ht="63" customHeight="1">
      <c r="A78" s="520">
        <v>69</v>
      </c>
      <c r="B78" s="533"/>
      <c r="C78" s="538">
        <v>18</v>
      </c>
      <c r="D78" s="997" t="s">
        <v>624</v>
      </c>
      <c r="E78" s="535">
        <f>F78+G78+L80+M79</f>
        <v>3175</v>
      </c>
      <c r="F78" s="536"/>
      <c r="G78" s="1293">
        <v>0</v>
      </c>
      <c r="H78" s="746" t="s">
        <v>22</v>
      </c>
      <c r="I78" s="720"/>
      <c r="J78" s="544"/>
      <c r="K78" s="544"/>
      <c r="L78" s="545"/>
      <c r="M78" s="537"/>
    </row>
    <row r="79" spans="1:13" s="1267" customFormat="1" ht="18" customHeight="1">
      <c r="A79" s="520">
        <v>70</v>
      </c>
      <c r="B79" s="1260"/>
      <c r="C79" s="1261"/>
      <c r="D79" s="589" t="s">
        <v>283</v>
      </c>
      <c r="E79" s="1258"/>
      <c r="F79" s="1262"/>
      <c r="G79" s="1294"/>
      <c r="H79" s="1263"/>
      <c r="I79" s="1268"/>
      <c r="J79" s="1269">
        <v>3175</v>
      </c>
      <c r="K79" s="1269"/>
      <c r="L79" s="1270">
        <f>SUM(I79:K79)</f>
        <v>3175</v>
      </c>
      <c r="M79" s="1265"/>
    </row>
    <row r="80" spans="1:13" s="1267" customFormat="1" ht="18" customHeight="1">
      <c r="A80" s="520">
        <v>71</v>
      </c>
      <c r="B80" s="1260"/>
      <c r="C80" s="1261"/>
      <c r="D80" s="478" t="s">
        <v>757</v>
      </c>
      <c r="E80" s="1258"/>
      <c r="F80" s="1262"/>
      <c r="G80" s="1294"/>
      <c r="H80" s="1263"/>
      <c r="I80" s="1268"/>
      <c r="J80" s="1350">
        <v>3175</v>
      </c>
      <c r="K80" s="1350"/>
      <c r="L80" s="1446">
        <f>SUM(I80:K80)</f>
        <v>3175</v>
      </c>
      <c r="M80" s="1265"/>
    </row>
    <row r="81" spans="1:13" ht="18" customHeight="1">
      <c r="A81" s="520">
        <v>72</v>
      </c>
      <c r="B81" s="533"/>
      <c r="C81" s="538"/>
      <c r="D81" s="1090" t="s">
        <v>893</v>
      </c>
      <c r="E81" s="535"/>
      <c r="F81" s="536"/>
      <c r="G81" s="1293"/>
      <c r="H81" s="746"/>
      <c r="I81" s="720"/>
      <c r="J81" s="1716">
        <v>0</v>
      </c>
      <c r="K81" s="1716"/>
      <c r="L81" s="1138">
        <f>SUM(I81:K81)</f>
        <v>0</v>
      </c>
      <c r="M81" s="537"/>
    </row>
    <row r="82" spans="1:13" ht="51.75" customHeight="1">
      <c r="A82" s="520">
        <v>73</v>
      </c>
      <c r="B82" s="533"/>
      <c r="C82" s="538">
        <v>19</v>
      </c>
      <c r="D82" s="997" t="s">
        <v>625</v>
      </c>
      <c r="E82" s="535">
        <f>F82+G82+L84+M83</f>
        <v>6350</v>
      </c>
      <c r="F82" s="536"/>
      <c r="G82" s="1293"/>
      <c r="H82" s="746" t="s">
        <v>22</v>
      </c>
      <c r="I82" s="720"/>
      <c r="J82" s="544"/>
      <c r="K82" s="544"/>
      <c r="L82" s="545"/>
      <c r="M82" s="537"/>
    </row>
    <row r="83" spans="1:13" s="1267" customFormat="1" ht="18" customHeight="1">
      <c r="A83" s="520">
        <v>74</v>
      </c>
      <c r="B83" s="1260"/>
      <c r="C83" s="1261"/>
      <c r="D83" s="589" t="s">
        <v>283</v>
      </c>
      <c r="E83" s="1258"/>
      <c r="F83" s="1262"/>
      <c r="G83" s="1294"/>
      <c r="H83" s="1263"/>
      <c r="I83" s="1268"/>
      <c r="J83" s="1269">
        <v>6350</v>
      </c>
      <c r="K83" s="1269"/>
      <c r="L83" s="1270">
        <f>SUM(I83:K83)</f>
        <v>6350</v>
      </c>
      <c r="M83" s="1265"/>
    </row>
    <row r="84" spans="1:13" s="1267" customFormat="1" ht="18" customHeight="1">
      <c r="A84" s="520">
        <v>75</v>
      </c>
      <c r="B84" s="1260"/>
      <c r="C84" s="1261"/>
      <c r="D84" s="478" t="s">
        <v>757</v>
      </c>
      <c r="E84" s="1258"/>
      <c r="F84" s="1262"/>
      <c r="G84" s="1294"/>
      <c r="H84" s="1263"/>
      <c r="I84" s="1268"/>
      <c r="J84" s="1350">
        <v>6350</v>
      </c>
      <c r="K84" s="1350"/>
      <c r="L84" s="1446">
        <f>SUM(I84:K84)</f>
        <v>6350</v>
      </c>
      <c r="M84" s="1265"/>
    </row>
    <row r="85" spans="1:13" ht="18" customHeight="1">
      <c r="A85" s="520">
        <v>76</v>
      </c>
      <c r="B85" s="533"/>
      <c r="C85" s="538"/>
      <c r="D85" s="1090" t="s">
        <v>893</v>
      </c>
      <c r="E85" s="535"/>
      <c r="F85" s="536"/>
      <c r="G85" s="1293"/>
      <c r="H85" s="746"/>
      <c r="I85" s="720"/>
      <c r="J85" s="1716">
        <v>0</v>
      </c>
      <c r="K85" s="1716"/>
      <c r="L85" s="1138">
        <f>SUM(I85:K85)</f>
        <v>0</v>
      </c>
      <c r="M85" s="537"/>
    </row>
    <row r="86" spans="1:13" ht="29.25" customHeight="1">
      <c r="A86" s="520">
        <v>77</v>
      </c>
      <c r="B86" s="533"/>
      <c r="C86" s="538">
        <v>20</v>
      </c>
      <c r="D86" s="997" t="s">
        <v>626</v>
      </c>
      <c r="E86" s="535">
        <f>F86+G86+L88+M87</f>
        <v>104775</v>
      </c>
      <c r="F86" s="536"/>
      <c r="G86" s="1293"/>
      <c r="H86" s="746" t="s">
        <v>22</v>
      </c>
      <c r="I86" s="720"/>
      <c r="J86" s="544"/>
      <c r="K86" s="544"/>
      <c r="L86" s="545"/>
      <c r="M86" s="537"/>
    </row>
    <row r="87" spans="1:13" s="1267" customFormat="1" ht="18" customHeight="1">
      <c r="A87" s="520">
        <v>78</v>
      </c>
      <c r="B87" s="1260"/>
      <c r="C87" s="1261"/>
      <c r="D87" s="589" t="s">
        <v>283</v>
      </c>
      <c r="E87" s="1258"/>
      <c r="F87" s="1262"/>
      <c r="G87" s="1294"/>
      <c r="H87" s="1263"/>
      <c r="I87" s="1268"/>
      <c r="J87" s="1269">
        <v>72082</v>
      </c>
      <c r="K87" s="1269"/>
      <c r="L87" s="1270">
        <f>SUM(I87:K87)</f>
        <v>72082</v>
      </c>
      <c r="M87" s="537">
        <v>32693</v>
      </c>
    </row>
    <row r="88" spans="1:13" s="1267" customFormat="1" ht="18" customHeight="1">
      <c r="A88" s="520">
        <v>79</v>
      </c>
      <c r="B88" s="1260"/>
      <c r="C88" s="1261"/>
      <c r="D88" s="478" t="s">
        <v>757</v>
      </c>
      <c r="E88" s="1258"/>
      <c r="F88" s="1262"/>
      <c r="G88" s="1294"/>
      <c r="H88" s="1263"/>
      <c r="I88" s="1268"/>
      <c r="J88" s="1350">
        <v>72082</v>
      </c>
      <c r="K88" s="1350"/>
      <c r="L88" s="1446">
        <f>SUM(I88:K88)</f>
        <v>72082</v>
      </c>
      <c r="M88" s="537"/>
    </row>
    <row r="89" spans="1:13" ht="18" customHeight="1">
      <c r="A89" s="520">
        <v>80</v>
      </c>
      <c r="B89" s="533"/>
      <c r="C89" s="538"/>
      <c r="D89" s="1090" t="s">
        <v>893</v>
      </c>
      <c r="E89" s="535"/>
      <c r="F89" s="536"/>
      <c r="G89" s="1293"/>
      <c r="H89" s="746"/>
      <c r="I89" s="720"/>
      <c r="J89" s="1716">
        <v>0</v>
      </c>
      <c r="K89" s="1716"/>
      <c r="L89" s="1138">
        <f>SUM(I89:K89)</f>
        <v>0</v>
      </c>
      <c r="M89" s="537"/>
    </row>
    <row r="90" spans="1:13" ht="51.75" customHeight="1">
      <c r="A90" s="520">
        <v>81</v>
      </c>
      <c r="B90" s="533"/>
      <c r="C90" s="538">
        <v>21</v>
      </c>
      <c r="D90" s="997" t="s">
        <v>627</v>
      </c>
      <c r="E90" s="535">
        <f>F90+G90+L92+M91</f>
        <v>12700</v>
      </c>
      <c r="F90" s="536"/>
      <c r="G90" s="1293"/>
      <c r="H90" s="746" t="s">
        <v>22</v>
      </c>
      <c r="I90" s="720"/>
      <c r="J90" s="544"/>
      <c r="K90" s="544"/>
      <c r="L90" s="545"/>
      <c r="M90" s="537"/>
    </row>
    <row r="91" spans="1:13" s="1267" customFormat="1" ht="18" customHeight="1">
      <c r="A91" s="520">
        <v>82</v>
      </c>
      <c r="B91" s="1260"/>
      <c r="C91" s="1261"/>
      <c r="D91" s="589" t="s">
        <v>283</v>
      </c>
      <c r="E91" s="1258"/>
      <c r="F91" s="1262"/>
      <c r="G91" s="1294"/>
      <c r="H91" s="1263"/>
      <c r="I91" s="1268"/>
      <c r="J91" s="1269">
        <v>12700</v>
      </c>
      <c r="K91" s="1269"/>
      <c r="L91" s="1270">
        <f>SUM(I91:K91)</f>
        <v>12700</v>
      </c>
      <c r="M91" s="1265"/>
    </row>
    <row r="92" spans="1:13" s="1267" customFormat="1" ht="18" customHeight="1">
      <c r="A92" s="520">
        <v>83</v>
      </c>
      <c r="B92" s="1260"/>
      <c r="C92" s="1261"/>
      <c r="D92" s="478" t="s">
        <v>757</v>
      </c>
      <c r="E92" s="1258"/>
      <c r="F92" s="1262"/>
      <c r="G92" s="1294"/>
      <c r="H92" s="1263"/>
      <c r="I92" s="1268"/>
      <c r="J92" s="1350">
        <v>12700</v>
      </c>
      <c r="K92" s="1350"/>
      <c r="L92" s="1446">
        <f>SUM(I92:K92)</f>
        <v>12700</v>
      </c>
      <c r="M92" s="1265"/>
    </row>
    <row r="93" spans="1:13" ht="18" customHeight="1">
      <c r="A93" s="520">
        <v>84</v>
      </c>
      <c r="B93" s="533"/>
      <c r="C93" s="538"/>
      <c r="D93" s="1090" t="s">
        <v>893</v>
      </c>
      <c r="E93" s="535"/>
      <c r="F93" s="536"/>
      <c r="G93" s="1293"/>
      <c r="H93" s="746"/>
      <c r="I93" s="720"/>
      <c r="J93" s="1716">
        <v>0</v>
      </c>
      <c r="K93" s="1716"/>
      <c r="L93" s="1138">
        <f>SUM(I93:K93)</f>
        <v>0</v>
      </c>
      <c r="M93" s="537"/>
    </row>
    <row r="94" spans="1:13" ht="22.5" customHeight="1">
      <c r="A94" s="520">
        <v>85</v>
      </c>
      <c r="B94" s="533"/>
      <c r="C94" s="534">
        <v>22</v>
      </c>
      <c r="D94" s="328" t="s">
        <v>628</v>
      </c>
      <c r="E94" s="535">
        <f>F94+G94+L96+M95</f>
        <v>50000</v>
      </c>
      <c r="F94" s="536"/>
      <c r="G94" s="1293"/>
      <c r="H94" s="746" t="s">
        <v>22</v>
      </c>
      <c r="I94" s="720"/>
      <c r="J94" s="544"/>
      <c r="K94" s="544"/>
      <c r="L94" s="545"/>
      <c r="M94" s="537"/>
    </row>
    <row r="95" spans="1:13" s="1267" customFormat="1" ht="18" customHeight="1">
      <c r="A95" s="520">
        <v>86</v>
      </c>
      <c r="B95" s="1260"/>
      <c r="C95" s="1261"/>
      <c r="D95" s="589" t="s">
        <v>283</v>
      </c>
      <c r="E95" s="1258"/>
      <c r="F95" s="1262"/>
      <c r="G95" s="1294"/>
      <c r="H95" s="1263"/>
      <c r="I95" s="1268"/>
      <c r="J95" s="1269">
        <v>50000</v>
      </c>
      <c r="K95" s="1269"/>
      <c r="L95" s="1270">
        <f>SUM(I95:K95)</f>
        <v>50000</v>
      </c>
      <c r="M95" s="1265"/>
    </row>
    <row r="96" spans="1:13" s="1267" customFormat="1" ht="18" customHeight="1">
      <c r="A96" s="520">
        <v>87</v>
      </c>
      <c r="B96" s="1260"/>
      <c r="C96" s="1261"/>
      <c r="D96" s="478" t="s">
        <v>757</v>
      </c>
      <c r="E96" s="1258"/>
      <c r="F96" s="1262"/>
      <c r="G96" s="1294"/>
      <c r="H96" s="1263"/>
      <c r="I96" s="1268"/>
      <c r="J96" s="1350">
        <v>50000</v>
      </c>
      <c r="K96" s="1350"/>
      <c r="L96" s="1446">
        <f>SUM(I96:K96)</f>
        <v>50000</v>
      </c>
      <c r="M96" s="1265"/>
    </row>
    <row r="97" spans="1:13" ht="18" customHeight="1">
      <c r="A97" s="520">
        <v>88</v>
      </c>
      <c r="B97" s="533"/>
      <c r="C97" s="538"/>
      <c r="D97" s="1090" t="s">
        <v>893</v>
      </c>
      <c r="E97" s="535"/>
      <c r="F97" s="536"/>
      <c r="G97" s="1293"/>
      <c r="H97" s="746"/>
      <c r="I97" s="720"/>
      <c r="J97" s="1716">
        <v>0</v>
      </c>
      <c r="K97" s="1716"/>
      <c r="L97" s="1138">
        <f>SUM(I97:K97)</f>
        <v>0</v>
      </c>
      <c r="M97" s="537"/>
    </row>
    <row r="98" spans="1:23" ht="22.5" customHeight="1">
      <c r="A98" s="520">
        <v>89</v>
      </c>
      <c r="B98" s="533"/>
      <c r="C98" s="534">
        <v>23</v>
      </c>
      <c r="D98" s="1526" t="s">
        <v>359</v>
      </c>
      <c r="E98" s="535">
        <f>F98+G98+L100+M99</f>
        <v>2687</v>
      </c>
      <c r="F98" s="536">
        <v>858</v>
      </c>
      <c r="G98" s="1293">
        <v>0</v>
      </c>
      <c r="H98" s="746" t="s">
        <v>23</v>
      </c>
      <c r="I98" s="720"/>
      <c r="J98" s="544"/>
      <c r="K98" s="544"/>
      <c r="L98" s="545"/>
      <c r="M98" s="537"/>
      <c r="N98" s="521"/>
      <c r="O98" s="521"/>
      <c r="P98" s="521"/>
      <c r="Q98" s="521"/>
      <c r="R98" s="521"/>
      <c r="S98" s="521"/>
      <c r="T98" s="521"/>
      <c r="U98" s="521"/>
      <c r="V98" s="521"/>
      <c r="W98" s="521"/>
    </row>
    <row r="99" spans="1:23" s="1267" customFormat="1" ht="18" customHeight="1">
      <c r="A99" s="520">
        <v>90</v>
      </c>
      <c r="B99" s="1260"/>
      <c r="C99" s="1261"/>
      <c r="D99" s="589" t="s">
        <v>283</v>
      </c>
      <c r="E99" s="1258"/>
      <c r="F99" s="1262"/>
      <c r="G99" s="1294"/>
      <c r="H99" s="1263"/>
      <c r="I99" s="1268">
        <v>29</v>
      </c>
      <c r="J99" s="1269">
        <f>1829-29</f>
        <v>1800</v>
      </c>
      <c r="K99" s="1269"/>
      <c r="L99" s="1270">
        <f>SUM(I99:K99)</f>
        <v>1829</v>
      </c>
      <c r="M99" s="1265"/>
      <c r="N99" s="1266"/>
      <c r="O99" s="1266"/>
      <c r="P99" s="1266"/>
      <c r="Q99" s="1266"/>
      <c r="R99" s="1266"/>
      <c r="S99" s="1266"/>
      <c r="T99" s="1266"/>
      <c r="U99" s="1266"/>
      <c r="V99" s="1266"/>
      <c r="W99" s="1266"/>
    </row>
    <row r="100" spans="1:23" s="1267" customFormat="1" ht="18" customHeight="1">
      <c r="A100" s="520">
        <v>91</v>
      </c>
      <c r="B100" s="1260"/>
      <c r="C100" s="1261"/>
      <c r="D100" s="478" t="s">
        <v>757</v>
      </c>
      <c r="E100" s="1258"/>
      <c r="F100" s="1262"/>
      <c r="G100" s="1294"/>
      <c r="H100" s="1263"/>
      <c r="I100" s="1352">
        <v>29</v>
      </c>
      <c r="J100" s="1350">
        <v>1800</v>
      </c>
      <c r="K100" s="1350"/>
      <c r="L100" s="1446">
        <f>SUM(I100:K100)</f>
        <v>1829</v>
      </c>
      <c r="M100" s="1265"/>
      <c r="N100" s="1266"/>
      <c r="O100" s="1266"/>
      <c r="P100" s="1266"/>
      <c r="Q100" s="1266"/>
      <c r="R100" s="1266"/>
      <c r="S100" s="1266"/>
      <c r="T100" s="1266"/>
      <c r="U100" s="1266"/>
      <c r="V100" s="1266"/>
      <c r="W100" s="1266"/>
    </row>
    <row r="101" spans="1:23" ht="18" customHeight="1">
      <c r="A101" s="520">
        <v>92</v>
      </c>
      <c r="B101" s="533"/>
      <c r="C101" s="538"/>
      <c r="D101" s="1090" t="s">
        <v>893</v>
      </c>
      <c r="E101" s="535"/>
      <c r="F101" s="536"/>
      <c r="G101" s="1293"/>
      <c r="H101" s="746"/>
      <c r="I101" s="1487">
        <v>0</v>
      </c>
      <c r="J101" s="1716">
        <v>0</v>
      </c>
      <c r="K101" s="1716"/>
      <c r="L101" s="1138">
        <f>SUM(I101:K101)</f>
        <v>0</v>
      </c>
      <c r="M101" s="537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</row>
    <row r="102" spans="1:13" ht="22.5" customHeight="1">
      <c r="A102" s="520">
        <v>93</v>
      </c>
      <c r="B102" s="533"/>
      <c r="C102" s="534">
        <v>24</v>
      </c>
      <c r="D102" s="1526" t="s">
        <v>471</v>
      </c>
      <c r="E102" s="535">
        <f>F102+G102+L104+M103</f>
        <v>4886</v>
      </c>
      <c r="F102" s="536">
        <v>1753</v>
      </c>
      <c r="G102" s="1293">
        <v>950</v>
      </c>
      <c r="H102" s="746" t="s">
        <v>23</v>
      </c>
      <c r="I102" s="720"/>
      <c r="J102" s="544"/>
      <c r="K102" s="544"/>
      <c r="L102" s="545"/>
      <c r="M102" s="537"/>
    </row>
    <row r="103" spans="1:13" s="1267" customFormat="1" ht="18" customHeight="1">
      <c r="A103" s="520">
        <v>94</v>
      </c>
      <c r="B103" s="1260"/>
      <c r="C103" s="1261"/>
      <c r="D103" s="589" t="s">
        <v>283</v>
      </c>
      <c r="E103" s="1258"/>
      <c r="F103" s="1262"/>
      <c r="G103" s="1294"/>
      <c r="H103" s="1263"/>
      <c r="I103" s="1268"/>
      <c r="J103" s="1269">
        <v>2183</v>
      </c>
      <c r="K103" s="1269"/>
      <c r="L103" s="1270">
        <f>SUM(I103:K103)</f>
        <v>2183</v>
      </c>
      <c r="M103" s="1265"/>
    </row>
    <row r="104" spans="1:13" s="1267" customFormat="1" ht="18" customHeight="1">
      <c r="A104" s="520">
        <v>95</v>
      </c>
      <c r="B104" s="1260"/>
      <c r="C104" s="1261"/>
      <c r="D104" s="478" t="s">
        <v>757</v>
      </c>
      <c r="E104" s="1258"/>
      <c r="F104" s="1262"/>
      <c r="G104" s="1294"/>
      <c r="H104" s="1263"/>
      <c r="I104" s="1268"/>
      <c r="J104" s="1350">
        <v>2183</v>
      </c>
      <c r="K104" s="1350"/>
      <c r="L104" s="1446">
        <f>SUM(I104:K104)</f>
        <v>2183</v>
      </c>
      <c r="M104" s="1265"/>
    </row>
    <row r="105" spans="1:13" ht="18" customHeight="1">
      <c r="A105" s="520">
        <v>96</v>
      </c>
      <c r="B105" s="533"/>
      <c r="C105" s="538"/>
      <c r="D105" s="1090" t="s">
        <v>893</v>
      </c>
      <c r="E105" s="535"/>
      <c r="F105" s="536"/>
      <c r="G105" s="1293"/>
      <c r="H105" s="746"/>
      <c r="I105" s="720"/>
      <c r="J105" s="1716">
        <v>0</v>
      </c>
      <c r="K105" s="1716"/>
      <c r="L105" s="1138">
        <f>SUM(I105:K105)</f>
        <v>0</v>
      </c>
      <c r="M105" s="537"/>
    </row>
    <row r="106" spans="1:13" ht="22.5" customHeight="1">
      <c r="A106" s="520">
        <v>97</v>
      </c>
      <c r="B106" s="533"/>
      <c r="C106" s="534">
        <v>25</v>
      </c>
      <c r="D106" s="328" t="s">
        <v>475</v>
      </c>
      <c r="E106" s="535">
        <f>F106+G106+L108+M107</f>
        <v>500</v>
      </c>
      <c r="F106" s="536"/>
      <c r="G106" s="1293"/>
      <c r="H106" s="746" t="s">
        <v>23</v>
      </c>
      <c r="I106" s="720"/>
      <c r="J106" s="544"/>
      <c r="K106" s="544"/>
      <c r="L106" s="545"/>
      <c r="M106" s="537"/>
    </row>
    <row r="107" spans="1:13" s="1267" customFormat="1" ht="18" customHeight="1">
      <c r="A107" s="520">
        <v>98</v>
      </c>
      <c r="B107" s="1260"/>
      <c r="C107" s="1261"/>
      <c r="D107" s="589" t="s">
        <v>283</v>
      </c>
      <c r="E107" s="1258"/>
      <c r="F107" s="1262"/>
      <c r="G107" s="1294"/>
      <c r="H107" s="1263"/>
      <c r="I107" s="1268"/>
      <c r="J107" s="1269">
        <v>500</v>
      </c>
      <c r="K107" s="1269"/>
      <c r="L107" s="1270">
        <f>SUM(I107:K107)</f>
        <v>500</v>
      </c>
      <c r="M107" s="1265"/>
    </row>
    <row r="108" spans="1:13" s="1267" customFormat="1" ht="18" customHeight="1">
      <c r="A108" s="520">
        <v>99</v>
      </c>
      <c r="B108" s="1260"/>
      <c r="C108" s="1261"/>
      <c r="D108" s="478" t="s">
        <v>757</v>
      </c>
      <c r="E108" s="1258"/>
      <c r="F108" s="1262"/>
      <c r="G108" s="1294"/>
      <c r="H108" s="1263"/>
      <c r="I108" s="1268"/>
      <c r="J108" s="1350">
        <v>500</v>
      </c>
      <c r="K108" s="1350"/>
      <c r="L108" s="1446">
        <f>SUM(I108:K108)</f>
        <v>500</v>
      </c>
      <c r="M108" s="1265"/>
    </row>
    <row r="109" spans="1:13" ht="18" customHeight="1">
      <c r="A109" s="520">
        <v>100</v>
      </c>
      <c r="B109" s="533"/>
      <c r="C109" s="538"/>
      <c r="D109" s="1090" t="s">
        <v>893</v>
      </c>
      <c r="E109" s="535"/>
      <c r="F109" s="536"/>
      <c r="G109" s="1293"/>
      <c r="H109" s="746"/>
      <c r="I109" s="720"/>
      <c r="J109" s="1716">
        <v>0</v>
      </c>
      <c r="K109" s="1716"/>
      <c r="L109" s="1138">
        <f>SUM(I109:K109)</f>
        <v>0</v>
      </c>
      <c r="M109" s="537"/>
    </row>
    <row r="110" spans="1:13" ht="33.75" customHeight="1">
      <c r="A110" s="520">
        <v>101</v>
      </c>
      <c r="B110" s="533"/>
      <c r="C110" s="538">
        <v>26</v>
      </c>
      <c r="D110" s="997" t="s">
        <v>629</v>
      </c>
      <c r="E110" s="535">
        <f>F110+G110+L112+M111</f>
        <v>230</v>
      </c>
      <c r="F110" s="536"/>
      <c r="G110" s="1293"/>
      <c r="H110" s="746" t="s">
        <v>23</v>
      </c>
      <c r="I110" s="720"/>
      <c r="J110" s="544"/>
      <c r="K110" s="544"/>
      <c r="L110" s="545"/>
      <c r="M110" s="537"/>
    </row>
    <row r="111" spans="1:13" s="1267" customFormat="1" ht="18" customHeight="1">
      <c r="A111" s="520">
        <v>102</v>
      </c>
      <c r="B111" s="1260"/>
      <c r="C111" s="1261"/>
      <c r="D111" s="589" t="s">
        <v>283</v>
      </c>
      <c r="E111" s="1258"/>
      <c r="F111" s="1262"/>
      <c r="G111" s="1294"/>
      <c r="H111" s="1263"/>
      <c r="I111" s="1268"/>
      <c r="J111" s="1269">
        <v>230</v>
      </c>
      <c r="K111" s="1269"/>
      <c r="L111" s="1270">
        <f>SUM(I111:K111)</f>
        <v>230</v>
      </c>
      <c r="M111" s="1265"/>
    </row>
    <row r="112" spans="1:13" s="1267" customFormat="1" ht="18" customHeight="1">
      <c r="A112" s="520">
        <v>103</v>
      </c>
      <c r="B112" s="1260"/>
      <c r="C112" s="1261"/>
      <c r="D112" s="478" t="s">
        <v>757</v>
      </c>
      <c r="E112" s="1258"/>
      <c r="F112" s="1262"/>
      <c r="G112" s="1294"/>
      <c r="H112" s="1263"/>
      <c r="I112" s="1268"/>
      <c r="J112" s="1350">
        <v>230</v>
      </c>
      <c r="K112" s="1350"/>
      <c r="L112" s="1446">
        <f>SUM(I112:K112)</f>
        <v>230</v>
      </c>
      <c r="M112" s="1265"/>
    </row>
    <row r="113" spans="1:13" ht="18" customHeight="1">
      <c r="A113" s="520">
        <v>104</v>
      </c>
      <c r="B113" s="533"/>
      <c r="C113" s="538"/>
      <c r="D113" s="1090" t="s">
        <v>893</v>
      </c>
      <c r="E113" s="535"/>
      <c r="F113" s="536"/>
      <c r="G113" s="1293"/>
      <c r="H113" s="746"/>
      <c r="I113" s="720"/>
      <c r="J113" s="1716">
        <v>50</v>
      </c>
      <c r="K113" s="1716"/>
      <c r="L113" s="1138">
        <f>SUM(I113:K113)</f>
        <v>50</v>
      </c>
      <c r="M113" s="537"/>
    </row>
    <row r="114" spans="1:251" ht="22.5" customHeight="1">
      <c r="A114" s="520">
        <v>105</v>
      </c>
      <c r="B114" s="533"/>
      <c r="C114" s="534">
        <v>27</v>
      </c>
      <c r="D114" s="328" t="s">
        <v>472</v>
      </c>
      <c r="E114" s="535">
        <f>F114+G114+L116+M115</f>
        <v>7120</v>
      </c>
      <c r="F114" s="536"/>
      <c r="G114" s="1293">
        <v>69</v>
      </c>
      <c r="H114" s="746" t="s">
        <v>23</v>
      </c>
      <c r="I114" s="721"/>
      <c r="J114" s="535"/>
      <c r="K114" s="535"/>
      <c r="L114" s="546"/>
      <c r="M114" s="537"/>
      <c r="N114" s="521"/>
      <c r="O114" s="521"/>
      <c r="P114" s="521"/>
      <c r="Q114" s="521"/>
      <c r="R114" s="521"/>
      <c r="S114" s="521"/>
      <c r="T114" s="521"/>
      <c r="U114" s="521"/>
      <c r="V114" s="521"/>
      <c r="W114" s="521"/>
      <c r="X114" s="521"/>
      <c r="Y114" s="521"/>
      <c r="Z114" s="521"/>
      <c r="AA114" s="521"/>
      <c r="AB114" s="521"/>
      <c r="AC114" s="521"/>
      <c r="AD114" s="521"/>
      <c r="AE114" s="521"/>
      <c r="AF114" s="521"/>
      <c r="AG114" s="521"/>
      <c r="AH114" s="521"/>
      <c r="AI114" s="521"/>
      <c r="AJ114" s="521"/>
      <c r="AK114" s="521"/>
      <c r="AL114" s="521"/>
      <c r="AM114" s="521"/>
      <c r="AN114" s="521"/>
      <c r="AO114" s="521"/>
      <c r="AP114" s="521"/>
      <c r="AQ114" s="521"/>
      <c r="AR114" s="521"/>
      <c r="AS114" s="521"/>
      <c r="AT114" s="521"/>
      <c r="AU114" s="521"/>
      <c r="AV114" s="521"/>
      <c r="AW114" s="521"/>
      <c r="AX114" s="521"/>
      <c r="AY114" s="521"/>
      <c r="AZ114" s="521"/>
      <c r="BA114" s="521"/>
      <c r="BB114" s="521"/>
      <c r="BC114" s="521"/>
      <c r="BD114" s="521"/>
      <c r="BE114" s="521"/>
      <c r="BF114" s="521"/>
      <c r="BG114" s="521"/>
      <c r="BH114" s="521"/>
      <c r="BI114" s="521"/>
      <c r="BJ114" s="521"/>
      <c r="BK114" s="521"/>
      <c r="BL114" s="521"/>
      <c r="BM114" s="521"/>
      <c r="BN114" s="521"/>
      <c r="BO114" s="521"/>
      <c r="BP114" s="521"/>
      <c r="BQ114" s="521"/>
      <c r="BR114" s="521"/>
      <c r="BS114" s="521"/>
      <c r="BT114" s="521"/>
      <c r="BU114" s="521"/>
      <c r="BV114" s="521"/>
      <c r="BW114" s="521"/>
      <c r="BX114" s="521"/>
      <c r="BY114" s="521"/>
      <c r="BZ114" s="521"/>
      <c r="CA114" s="521"/>
      <c r="CB114" s="521"/>
      <c r="CC114" s="521"/>
      <c r="CD114" s="521"/>
      <c r="CE114" s="521"/>
      <c r="CF114" s="521"/>
      <c r="CG114" s="521"/>
      <c r="CH114" s="521"/>
      <c r="CI114" s="521"/>
      <c r="CJ114" s="521"/>
      <c r="CK114" s="521"/>
      <c r="CL114" s="521"/>
      <c r="CM114" s="521"/>
      <c r="CN114" s="521"/>
      <c r="CO114" s="521"/>
      <c r="CP114" s="521"/>
      <c r="CQ114" s="521"/>
      <c r="CR114" s="521"/>
      <c r="CS114" s="521"/>
      <c r="CT114" s="521"/>
      <c r="CU114" s="521"/>
      <c r="CV114" s="521"/>
      <c r="CW114" s="521"/>
      <c r="CX114" s="521"/>
      <c r="CY114" s="521"/>
      <c r="CZ114" s="521"/>
      <c r="DA114" s="521"/>
      <c r="DB114" s="521"/>
      <c r="DC114" s="521"/>
      <c r="DD114" s="521"/>
      <c r="DE114" s="521"/>
      <c r="DF114" s="521"/>
      <c r="DG114" s="521"/>
      <c r="DH114" s="521"/>
      <c r="DI114" s="521"/>
      <c r="DJ114" s="521"/>
      <c r="DK114" s="521"/>
      <c r="DL114" s="521"/>
      <c r="DM114" s="521"/>
      <c r="DN114" s="521"/>
      <c r="DO114" s="521"/>
      <c r="DP114" s="521"/>
      <c r="DQ114" s="521"/>
      <c r="DR114" s="521"/>
      <c r="DS114" s="521"/>
      <c r="DT114" s="521"/>
      <c r="DU114" s="521"/>
      <c r="DV114" s="521"/>
      <c r="DW114" s="521"/>
      <c r="DX114" s="521"/>
      <c r="DY114" s="521"/>
      <c r="DZ114" s="521"/>
      <c r="EA114" s="521"/>
      <c r="EB114" s="521"/>
      <c r="EC114" s="521"/>
      <c r="ED114" s="521"/>
      <c r="EE114" s="521"/>
      <c r="EF114" s="521"/>
      <c r="EG114" s="521"/>
      <c r="EH114" s="521"/>
      <c r="EI114" s="521"/>
      <c r="EJ114" s="521"/>
      <c r="EK114" s="521"/>
      <c r="EL114" s="521"/>
      <c r="EM114" s="521"/>
      <c r="EN114" s="521"/>
      <c r="EO114" s="521"/>
      <c r="EP114" s="521"/>
      <c r="EQ114" s="521"/>
      <c r="ER114" s="521"/>
      <c r="ES114" s="521"/>
      <c r="ET114" s="521"/>
      <c r="EU114" s="521"/>
      <c r="EV114" s="521"/>
      <c r="EW114" s="521"/>
      <c r="EX114" s="521"/>
      <c r="EY114" s="521"/>
      <c r="EZ114" s="521"/>
      <c r="FA114" s="521"/>
      <c r="FB114" s="521"/>
      <c r="FC114" s="521"/>
      <c r="FD114" s="521"/>
      <c r="FE114" s="521"/>
      <c r="FF114" s="521"/>
      <c r="FG114" s="521"/>
      <c r="FH114" s="521"/>
      <c r="FI114" s="521"/>
      <c r="FJ114" s="521"/>
      <c r="FK114" s="521"/>
      <c r="FL114" s="521"/>
      <c r="FM114" s="521"/>
      <c r="FN114" s="521"/>
      <c r="FO114" s="521"/>
      <c r="FP114" s="521"/>
      <c r="FQ114" s="521"/>
      <c r="FR114" s="521"/>
      <c r="FS114" s="521"/>
      <c r="FT114" s="521"/>
      <c r="FU114" s="521"/>
      <c r="FV114" s="521"/>
      <c r="FW114" s="521"/>
      <c r="FX114" s="521"/>
      <c r="FY114" s="521"/>
      <c r="FZ114" s="521"/>
      <c r="GA114" s="521"/>
      <c r="GB114" s="521"/>
      <c r="GC114" s="521"/>
      <c r="GD114" s="521"/>
      <c r="GE114" s="521"/>
      <c r="GF114" s="521"/>
      <c r="GG114" s="521"/>
      <c r="GH114" s="521"/>
      <c r="GI114" s="521"/>
      <c r="GJ114" s="521"/>
      <c r="GK114" s="521"/>
      <c r="GL114" s="521"/>
      <c r="GM114" s="521"/>
      <c r="GN114" s="521"/>
      <c r="GO114" s="521"/>
      <c r="GP114" s="521"/>
      <c r="GQ114" s="521"/>
      <c r="GR114" s="521"/>
      <c r="GS114" s="521"/>
      <c r="GT114" s="521"/>
      <c r="GU114" s="521"/>
      <c r="GV114" s="521"/>
      <c r="GW114" s="521"/>
      <c r="GX114" s="521"/>
      <c r="GY114" s="521"/>
      <c r="GZ114" s="521"/>
      <c r="HA114" s="521"/>
      <c r="HB114" s="521"/>
      <c r="HC114" s="521"/>
      <c r="HD114" s="521"/>
      <c r="HE114" s="521"/>
      <c r="HF114" s="521"/>
      <c r="HG114" s="521"/>
      <c r="HH114" s="521"/>
      <c r="HI114" s="521"/>
      <c r="HJ114" s="521"/>
      <c r="HK114" s="521"/>
      <c r="HL114" s="521"/>
      <c r="HM114" s="521"/>
      <c r="HN114" s="521"/>
      <c r="HO114" s="521"/>
      <c r="HP114" s="521"/>
      <c r="HQ114" s="521"/>
      <c r="HR114" s="521"/>
      <c r="HS114" s="521"/>
      <c r="HT114" s="521"/>
      <c r="HU114" s="521"/>
      <c r="HV114" s="521"/>
      <c r="HW114" s="521"/>
      <c r="HX114" s="521"/>
      <c r="HY114" s="521"/>
      <c r="HZ114" s="521"/>
      <c r="IA114" s="521"/>
      <c r="IB114" s="521"/>
      <c r="IC114" s="521"/>
      <c r="ID114" s="521"/>
      <c r="IE114" s="521"/>
      <c r="IF114" s="521"/>
      <c r="IG114" s="521"/>
      <c r="IH114" s="521"/>
      <c r="II114" s="521"/>
      <c r="IJ114" s="521"/>
      <c r="IK114" s="521"/>
      <c r="IL114" s="521"/>
      <c r="IM114" s="521"/>
      <c r="IN114" s="521"/>
      <c r="IO114" s="521"/>
      <c r="IP114" s="521"/>
      <c r="IQ114" s="521"/>
    </row>
    <row r="115" spans="1:251" s="1267" customFormat="1" ht="18" customHeight="1">
      <c r="A115" s="520">
        <v>106</v>
      </c>
      <c r="B115" s="1260"/>
      <c r="C115" s="1261"/>
      <c r="D115" s="589" t="s">
        <v>283</v>
      </c>
      <c r="E115" s="1258"/>
      <c r="F115" s="1262"/>
      <c r="G115" s="1294"/>
      <c r="H115" s="1263"/>
      <c r="I115" s="1264"/>
      <c r="J115" s="1258">
        <v>7082</v>
      </c>
      <c r="K115" s="1258"/>
      <c r="L115" s="1259">
        <f>SUM(I115:K115)</f>
        <v>7082</v>
      </c>
      <c r="M115" s="1265"/>
      <c r="N115" s="1266"/>
      <c r="O115" s="1266"/>
      <c r="P115" s="1266"/>
      <c r="Q115" s="1266"/>
      <c r="R115" s="1266"/>
      <c r="S115" s="1266"/>
      <c r="T115" s="1266"/>
      <c r="U115" s="1266"/>
      <c r="V115" s="1266"/>
      <c r="W115" s="1266"/>
      <c r="X115" s="1266"/>
      <c r="Y115" s="1266"/>
      <c r="Z115" s="1266"/>
      <c r="AA115" s="1266"/>
      <c r="AB115" s="1266"/>
      <c r="AC115" s="1266"/>
      <c r="AD115" s="1266"/>
      <c r="AE115" s="1266"/>
      <c r="AF115" s="1266"/>
      <c r="AG115" s="1266"/>
      <c r="AH115" s="1266"/>
      <c r="AI115" s="1266"/>
      <c r="AJ115" s="1266"/>
      <c r="AK115" s="1266"/>
      <c r="AL115" s="1266"/>
      <c r="AM115" s="1266"/>
      <c r="AN115" s="1266"/>
      <c r="AO115" s="1266"/>
      <c r="AP115" s="1266"/>
      <c r="AQ115" s="1266"/>
      <c r="AR115" s="1266"/>
      <c r="AS115" s="1266"/>
      <c r="AT115" s="1266"/>
      <c r="AU115" s="1266"/>
      <c r="AV115" s="1266"/>
      <c r="AW115" s="1266"/>
      <c r="AX115" s="1266"/>
      <c r="AY115" s="1266"/>
      <c r="AZ115" s="1266"/>
      <c r="BA115" s="1266"/>
      <c r="BB115" s="1266"/>
      <c r="BC115" s="1266"/>
      <c r="BD115" s="1266"/>
      <c r="BE115" s="1266"/>
      <c r="BF115" s="1266"/>
      <c r="BG115" s="1266"/>
      <c r="BH115" s="1266"/>
      <c r="BI115" s="1266"/>
      <c r="BJ115" s="1266"/>
      <c r="BK115" s="1266"/>
      <c r="BL115" s="1266"/>
      <c r="BM115" s="1266"/>
      <c r="BN115" s="1266"/>
      <c r="BO115" s="1266"/>
      <c r="BP115" s="1266"/>
      <c r="BQ115" s="1266"/>
      <c r="BR115" s="1266"/>
      <c r="BS115" s="1266"/>
      <c r="BT115" s="1266"/>
      <c r="BU115" s="1266"/>
      <c r="BV115" s="1266"/>
      <c r="BW115" s="1266"/>
      <c r="BX115" s="1266"/>
      <c r="BY115" s="1266"/>
      <c r="BZ115" s="1266"/>
      <c r="CA115" s="1266"/>
      <c r="CB115" s="1266"/>
      <c r="CC115" s="1266"/>
      <c r="CD115" s="1266"/>
      <c r="CE115" s="1266"/>
      <c r="CF115" s="1266"/>
      <c r="CG115" s="1266"/>
      <c r="CH115" s="1266"/>
      <c r="CI115" s="1266"/>
      <c r="CJ115" s="1266"/>
      <c r="CK115" s="1266"/>
      <c r="CL115" s="1266"/>
      <c r="CM115" s="1266"/>
      <c r="CN115" s="1266"/>
      <c r="CO115" s="1266"/>
      <c r="CP115" s="1266"/>
      <c r="CQ115" s="1266"/>
      <c r="CR115" s="1266"/>
      <c r="CS115" s="1266"/>
      <c r="CT115" s="1266"/>
      <c r="CU115" s="1266"/>
      <c r="CV115" s="1266"/>
      <c r="CW115" s="1266"/>
      <c r="CX115" s="1266"/>
      <c r="CY115" s="1266"/>
      <c r="CZ115" s="1266"/>
      <c r="DA115" s="1266"/>
      <c r="DB115" s="1266"/>
      <c r="DC115" s="1266"/>
      <c r="DD115" s="1266"/>
      <c r="DE115" s="1266"/>
      <c r="DF115" s="1266"/>
      <c r="DG115" s="1266"/>
      <c r="DH115" s="1266"/>
      <c r="DI115" s="1266"/>
      <c r="DJ115" s="1266"/>
      <c r="DK115" s="1266"/>
      <c r="DL115" s="1266"/>
      <c r="DM115" s="1266"/>
      <c r="DN115" s="1266"/>
      <c r="DO115" s="1266"/>
      <c r="DP115" s="1266"/>
      <c r="DQ115" s="1266"/>
      <c r="DR115" s="1266"/>
      <c r="DS115" s="1266"/>
      <c r="DT115" s="1266"/>
      <c r="DU115" s="1266"/>
      <c r="DV115" s="1266"/>
      <c r="DW115" s="1266"/>
      <c r="DX115" s="1266"/>
      <c r="DY115" s="1266"/>
      <c r="DZ115" s="1266"/>
      <c r="EA115" s="1266"/>
      <c r="EB115" s="1266"/>
      <c r="EC115" s="1266"/>
      <c r="ED115" s="1266"/>
      <c r="EE115" s="1266"/>
      <c r="EF115" s="1266"/>
      <c r="EG115" s="1266"/>
      <c r="EH115" s="1266"/>
      <c r="EI115" s="1266"/>
      <c r="EJ115" s="1266"/>
      <c r="EK115" s="1266"/>
      <c r="EL115" s="1266"/>
      <c r="EM115" s="1266"/>
      <c r="EN115" s="1266"/>
      <c r="EO115" s="1266"/>
      <c r="EP115" s="1266"/>
      <c r="EQ115" s="1266"/>
      <c r="ER115" s="1266"/>
      <c r="ES115" s="1266"/>
      <c r="ET115" s="1266"/>
      <c r="EU115" s="1266"/>
      <c r="EV115" s="1266"/>
      <c r="EW115" s="1266"/>
      <c r="EX115" s="1266"/>
      <c r="EY115" s="1266"/>
      <c r="EZ115" s="1266"/>
      <c r="FA115" s="1266"/>
      <c r="FB115" s="1266"/>
      <c r="FC115" s="1266"/>
      <c r="FD115" s="1266"/>
      <c r="FE115" s="1266"/>
      <c r="FF115" s="1266"/>
      <c r="FG115" s="1266"/>
      <c r="FH115" s="1266"/>
      <c r="FI115" s="1266"/>
      <c r="FJ115" s="1266"/>
      <c r="FK115" s="1266"/>
      <c r="FL115" s="1266"/>
      <c r="FM115" s="1266"/>
      <c r="FN115" s="1266"/>
      <c r="FO115" s="1266"/>
      <c r="FP115" s="1266"/>
      <c r="FQ115" s="1266"/>
      <c r="FR115" s="1266"/>
      <c r="FS115" s="1266"/>
      <c r="FT115" s="1266"/>
      <c r="FU115" s="1266"/>
      <c r="FV115" s="1266"/>
      <c r="FW115" s="1266"/>
      <c r="FX115" s="1266"/>
      <c r="FY115" s="1266"/>
      <c r="FZ115" s="1266"/>
      <c r="GA115" s="1266"/>
      <c r="GB115" s="1266"/>
      <c r="GC115" s="1266"/>
      <c r="GD115" s="1266"/>
      <c r="GE115" s="1266"/>
      <c r="GF115" s="1266"/>
      <c r="GG115" s="1266"/>
      <c r="GH115" s="1266"/>
      <c r="GI115" s="1266"/>
      <c r="GJ115" s="1266"/>
      <c r="GK115" s="1266"/>
      <c r="GL115" s="1266"/>
      <c r="GM115" s="1266"/>
      <c r="GN115" s="1266"/>
      <c r="GO115" s="1266"/>
      <c r="GP115" s="1266"/>
      <c r="GQ115" s="1266"/>
      <c r="GR115" s="1266"/>
      <c r="GS115" s="1266"/>
      <c r="GT115" s="1266"/>
      <c r="GU115" s="1266"/>
      <c r="GV115" s="1266"/>
      <c r="GW115" s="1266"/>
      <c r="GX115" s="1266"/>
      <c r="GY115" s="1266"/>
      <c r="GZ115" s="1266"/>
      <c r="HA115" s="1266"/>
      <c r="HB115" s="1266"/>
      <c r="HC115" s="1266"/>
      <c r="HD115" s="1266"/>
      <c r="HE115" s="1266"/>
      <c r="HF115" s="1266"/>
      <c r="HG115" s="1266"/>
      <c r="HH115" s="1266"/>
      <c r="HI115" s="1266"/>
      <c r="HJ115" s="1266"/>
      <c r="HK115" s="1266"/>
      <c r="HL115" s="1266"/>
      <c r="HM115" s="1266"/>
      <c r="HN115" s="1266"/>
      <c r="HO115" s="1266"/>
      <c r="HP115" s="1266"/>
      <c r="HQ115" s="1266"/>
      <c r="HR115" s="1266"/>
      <c r="HS115" s="1266"/>
      <c r="HT115" s="1266"/>
      <c r="HU115" s="1266"/>
      <c r="HV115" s="1266"/>
      <c r="HW115" s="1266"/>
      <c r="HX115" s="1266"/>
      <c r="HY115" s="1266"/>
      <c r="HZ115" s="1266"/>
      <c r="IA115" s="1266"/>
      <c r="IB115" s="1266"/>
      <c r="IC115" s="1266"/>
      <c r="ID115" s="1266"/>
      <c r="IE115" s="1266"/>
      <c r="IF115" s="1266"/>
      <c r="IG115" s="1266"/>
      <c r="IH115" s="1266"/>
      <c r="II115" s="1266"/>
      <c r="IJ115" s="1266"/>
      <c r="IK115" s="1266"/>
      <c r="IL115" s="1266"/>
      <c r="IM115" s="1266"/>
      <c r="IN115" s="1266"/>
      <c r="IO115" s="1266"/>
      <c r="IP115" s="1266"/>
      <c r="IQ115" s="1266"/>
    </row>
    <row r="116" spans="1:251" s="1267" customFormat="1" ht="18" customHeight="1">
      <c r="A116" s="520">
        <v>107</v>
      </c>
      <c r="B116" s="1260"/>
      <c r="C116" s="1261"/>
      <c r="D116" s="478" t="s">
        <v>757</v>
      </c>
      <c r="E116" s="1258"/>
      <c r="F116" s="1262"/>
      <c r="G116" s="1294"/>
      <c r="H116" s="1263"/>
      <c r="I116" s="1264"/>
      <c r="J116" s="1351">
        <v>7051</v>
      </c>
      <c r="K116" s="1351"/>
      <c r="L116" s="1447">
        <f>SUM(I116:K116)</f>
        <v>7051</v>
      </c>
      <c r="M116" s="1265"/>
      <c r="N116" s="1266"/>
      <c r="O116" s="1266"/>
      <c r="P116" s="1266"/>
      <c r="Q116" s="1266"/>
      <c r="R116" s="1266"/>
      <c r="S116" s="1266"/>
      <c r="T116" s="1266"/>
      <c r="U116" s="1266"/>
      <c r="V116" s="1266"/>
      <c r="W116" s="1266"/>
      <c r="X116" s="1266"/>
      <c r="Y116" s="1266"/>
      <c r="Z116" s="1266"/>
      <c r="AA116" s="1266"/>
      <c r="AB116" s="1266"/>
      <c r="AC116" s="1266"/>
      <c r="AD116" s="1266"/>
      <c r="AE116" s="1266"/>
      <c r="AF116" s="1266"/>
      <c r="AG116" s="1266"/>
      <c r="AH116" s="1266"/>
      <c r="AI116" s="1266"/>
      <c r="AJ116" s="1266"/>
      <c r="AK116" s="1266"/>
      <c r="AL116" s="1266"/>
      <c r="AM116" s="1266"/>
      <c r="AN116" s="1266"/>
      <c r="AO116" s="1266"/>
      <c r="AP116" s="1266"/>
      <c r="AQ116" s="1266"/>
      <c r="AR116" s="1266"/>
      <c r="AS116" s="1266"/>
      <c r="AT116" s="1266"/>
      <c r="AU116" s="1266"/>
      <c r="AV116" s="1266"/>
      <c r="AW116" s="1266"/>
      <c r="AX116" s="1266"/>
      <c r="AY116" s="1266"/>
      <c r="AZ116" s="1266"/>
      <c r="BA116" s="1266"/>
      <c r="BB116" s="1266"/>
      <c r="BC116" s="1266"/>
      <c r="BD116" s="1266"/>
      <c r="BE116" s="1266"/>
      <c r="BF116" s="1266"/>
      <c r="BG116" s="1266"/>
      <c r="BH116" s="1266"/>
      <c r="BI116" s="1266"/>
      <c r="BJ116" s="1266"/>
      <c r="BK116" s="1266"/>
      <c r="BL116" s="1266"/>
      <c r="BM116" s="1266"/>
      <c r="BN116" s="1266"/>
      <c r="BO116" s="1266"/>
      <c r="BP116" s="1266"/>
      <c r="BQ116" s="1266"/>
      <c r="BR116" s="1266"/>
      <c r="BS116" s="1266"/>
      <c r="BT116" s="1266"/>
      <c r="BU116" s="1266"/>
      <c r="BV116" s="1266"/>
      <c r="BW116" s="1266"/>
      <c r="BX116" s="1266"/>
      <c r="BY116" s="1266"/>
      <c r="BZ116" s="1266"/>
      <c r="CA116" s="1266"/>
      <c r="CB116" s="1266"/>
      <c r="CC116" s="1266"/>
      <c r="CD116" s="1266"/>
      <c r="CE116" s="1266"/>
      <c r="CF116" s="1266"/>
      <c r="CG116" s="1266"/>
      <c r="CH116" s="1266"/>
      <c r="CI116" s="1266"/>
      <c r="CJ116" s="1266"/>
      <c r="CK116" s="1266"/>
      <c r="CL116" s="1266"/>
      <c r="CM116" s="1266"/>
      <c r="CN116" s="1266"/>
      <c r="CO116" s="1266"/>
      <c r="CP116" s="1266"/>
      <c r="CQ116" s="1266"/>
      <c r="CR116" s="1266"/>
      <c r="CS116" s="1266"/>
      <c r="CT116" s="1266"/>
      <c r="CU116" s="1266"/>
      <c r="CV116" s="1266"/>
      <c r="CW116" s="1266"/>
      <c r="CX116" s="1266"/>
      <c r="CY116" s="1266"/>
      <c r="CZ116" s="1266"/>
      <c r="DA116" s="1266"/>
      <c r="DB116" s="1266"/>
      <c r="DC116" s="1266"/>
      <c r="DD116" s="1266"/>
      <c r="DE116" s="1266"/>
      <c r="DF116" s="1266"/>
      <c r="DG116" s="1266"/>
      <c r="DH116" s="1266"/>
      <c r="DI116" s="1266"/>
      <c r="DJ116" s="1266"/>
      <c r="DK116" s="1266"/>
      <c r="DL116" s="1266"/>
      <c r="DM116" s="1266"/>
      <c r="DN116" s="1266"/>
      <c r="DO116" s="1266"/>
      <c r="DP116" s="1266"/>
      <c r="DQ116" s="1266"/>
      <c r="DR116" s="1266"/>
      <c r="DS116" s="1266"/>
      <c r="DT116" s="1266"/>
      <c r="DU116" s="1266"/>
      <c r="DV116" s="1266"/>
      <c r="DW116" s="1266"/>
      <c r="DX116" s="1266"/>
      <c r="DY116" s="1266"/>
      <c r="DZ116" s="1266"/>
      <c r="EA116" s="1266"/>
      <c r="EB116" s="1266"/>
      <c r="EC116" s="1266"/>
      <c r="ED116" s="1266"/>
      <c r="EE116" s="1266"/>
      <c r="EF116" s="1266"/>
      <c r="EG116" s="1266"/>
      <c r="EH116" s="1266"/>
      <c r="EI116" s="1266"/>
      <c r="EJ116" s="1266"/>
      <c r="EK116" s="1266"/>
      <c r="EL116" s="1266"/>
      <c r="EM116" s="1266"/>
      <c r="EN116" s="1266"/>
      <c r="EO116" s="1266"/>
      <c r="EP116" s="1266"/>
      <c r="EQ116" s="1266"/>
      <c r="ER116" s="1266"/>
      <c r="ES116" s="1266"/>
      <c r="ET116" s="1266"/>
      <c r="EU116" s="1266"/>
      <c r="EV116" s="1266"/>
      <c r="EW116" s="1266"/>
      <c r="EX116" s="1266"/>
      <c r="EY116" s="1266"/>
      <c r="EZ116" s="1266"/>
      <c r="FA116" s="1266"/>
      <c r="FB116" s="1266"/>
      <c r="FC116" s="1266"/>
      <c r="FD116" s="1266"/>
      <c r="FE116" s="1266"/>
      <c r="FF116" s="1266"/>
      <c r="FG116" s="1266"/>
      <c r="FH116" s="1266"/>
      <c r="FI116" s="1266"/>
      <c r="FJ116" s="1266"/>
      <c r="FK116" s="1266"/>
      <c r="FL116" s="1266"/>
      <c r="FM116" s="1266"/>
      <c r="FN116" s="1266"/>
      <c r="FO116" s="1266"/>
      <c r="FP116" s="1266"/>
      <c r="FQ116" s="1266"/>
      <c r="FR116" s="1266"/>
      <c r="FS116" s="1266"/>
      <c r="FT116" s="1266"/>
      <c r="FU116" s="1266"/>
      <c r="FV116" s="1266"/>
      <c r="FW116" s="1266"/>
      <c r="FX116" s="1266"/>
      <c r="FY116" s="1266"/>
      <c r="FZ116" s="1266"/>
      <c r="GA116" s="1266"/>
      <c r="GB116" s="1266"/>
      <c r="GC116" s="1266"/>
      <c r="GD116" s="1266"/>
      <c r="GE116" s="1266"/>
      <c r="GF116" s="1266"/>
      <c r="GG116" s="1266"/>
      <c r="GH116" s="1266"/>
      <c r="GI116" s="1266"/>
      <c r="GJ116" s="1266"/>
      <c r="GK116" s="1266"/>
      <c r="GL116" s="1266"/>
      <c r="GM116" s="1266"/>
      <c r="GN116" s="1266"/>
      <c r="GO116" s="1266"/>
      <c r="GP116" s="1266"/>
      <c r="GQ116" s="1266"/>
      <c r="GR116" s="1266"/>
      <c r="GS116" s="1266"/>
      <c r="GT116" s="1266"/>
      <c r="GU116" s="1266"/>
      <c r="GV116" s="1266"/>
      <c r="GW116" s="1266"/>
      <c r="GX116" s="1266"/>
      <c r="GY116" s="1266"/>
      <c r="GZ116" s="1266"/>
      <c r="HA116" s="1266"/>
      <c r="HB116" s="1266"/>
      <c r="HC116" s="1266"/>
      <c r="HD116" s="1266"/>
      <c r="HE116" s="1266"/>
      <c r="HF116" s="1266"/>
      <c r="HG116" s="1266"/>
      <c r="HH116" s="1266"/>
      <c r="HI116" s="1266"/>
      <c r="HJ116" s="1266"/>
      <c r="HK116" s="1266"/>
      <c r="HL116" s="1266"/>
      <c r="HM116" s="1266"/>
      <c r="HN116" s="1266"/>
      <c r="HO116" s="1266"/>
      <c r="HP116" s="1266"/>
      <c r="HQ116" s="1266"/>
      <c r="HR116" s="1266"/>
      <c r="HS116" s="1266"/>
      <c r="HT116" s="1266"/>
      <c r="HU116" s="1266"/>
      <c r="HV116" s="1266"/>
      <c r="HW116" s="1266"/>
      <c r="HX116" s="1266"/>
      <c r="HY116" s="1266"/>
      <c r="HZ116" s="1266"/>
      <c r="IA116" s="1266"/>
      <c r="IB116" s="1266"/>
      <c r="IC116" s="1266"/>
      <c r="ID116" s="1266"/>
      <c r="IE116" s="1266"/>
      <c r="IF116" s="1266"/>
      <c r="IG116" s="1266"/>
      <c r="IH116" s="1266"/>
      <c r="II116" s="1266"/>
      <c r="IJ116" s="1266"/>
      <c r="IK116" s="1266"/>
      <c r="IL116" s="1266"/>
      <c r="IM116" s="1266"/>
      <c r="IN116" s="1266"/>
      <c r="IO116" s="1266"/>
      <c r="IP116" s="1266"/>
      <c r="IQ116" s="1266"/>
    </row>
    <row r="117" spans="1:251" ht="18" customHeight="1">
      <c r="A117" s="520">
        <v>108</v>
      </c>
      <c r="B117" s="533"/>
      <c r="C117" s="538"/>
      <c r="D117" s="1090" t="s">
        <v>892</v>
      </c>
      <c r="E117" s="535"/>
      <c r="F117" s="536"/>
      <c r="G117" s="1293"/>
      <c r="H117" s="746"/>
      <c r="I117" s="721"/>
      <c r="J117" s="1291">
        <v>7051</v>
      </c>
      <c r="K117" s="1291"/>
      <c r="L117" s="1138">
        <f>SUM(I117:K117)</f>
        <v>7051</v>
      </c>
      <c r="M117" s="537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1"/>
      <c r="AK117" s="521"/>
      <c r="AL117" s="521"/>
      <c r="AM117" s="521"/>
      <c r="AN117" s="521"/>
      <c r="AO117" s="521"/>
      <c r="AP117" s="521"/>
      <c r="AQ117" s="521"/>
      <c r="AR117" s="521"/>
      <c r="AS117" s="521"/>
      <c r="AT117" s="521"/>
      <c r="AU117" s="521"/>
      <c r="AV117" s="521"/>
      <c r="AW117" s="521"/>
      <c r="AX117" s="521"/>
      <c r="AY117" s="521"/>
      <c r="AZ117" s="521"/>
      <c r="BA117" s="521"/>
      <c r="BB117" s="521"/>
      <c r="BC117" s="521"/>
      <c r="BD117" s="521"/>
      <c r="BE117" s="521"/>
      <c r="BF117" s="521"/>
      <c r="BG117" s="521"/>
      <c r="BH117" s="521"/>
      <c r="BI117" s="521"/>
      <c r="BJ117" s="521"/>
      <c r="BK117" s="521"/>
      <c r="BL117" s="521"/>
      <c r="BM117" s="521"/>
      <c r="BN117" s="521"/>
      <c r="BO117" s="521"/>
      <c r="BP117" s="521"/>
      <c r="BQ117" s="521"/>
      <c r="BR117" s="521"/>
      <c r="BS117" s="521"/>
      <c r="BT117" s="521"/>
      <c r="BU117" s="521"/>
      <c r="BV117" s="521"/>
      <c r="BW117" s="521"/>
      <c r="BX117" s="521"/>
      <c r="BY117" s="521"/>
      <c r="BZ117" s="521"/>
      <c r="CA117" s="521"/>
      <c r="CB117" s="521"/>
      <c r="CC117" s="521"/>
      <c r="CD117" s="521"/>
      <c r="CE117" s="521"/>
      <c r="CF117" s="521"/>
      <c r="CG117" s="521"/>
      <c r="CH117" s="521"/>
      <c r="CI117" s="521"/>
      <c r="CJ117" s="521"/>
      <c r="CK117" s="521"/>
      <c r="CL117" s="521"/>
      <c r="CM117" s="521"/>
      <c r="CN117" s="521"/>
      <c r="CO117" s="521"/>
      <c r="CP117" s="521"/>
      <c r="CQ117" s="521"/>
      <c r="CR117" s="521"/>
      <c r="CS117" s="521"/>
      <c r="CT117" s="521"/>
      <c r="CU117" s="521"/>
      <c r="CV117" s="521"/>
      <c r="CW117" s="521"/>
      <c r="CX117" s="521"/>
      <c r="CY117" s="521"/>
      <c r="CZ117" s="521"/>
      <c r="DA117" s="521"/>
      <c r="DB117" s="521"/>
      <c r="DC117" s="521"/>
      <c r="DD117" s="521"/>
      <c r="DE117" s="521"/>
      <c r="DF117" s="521"/>
      <c r="DG117" s="521"/>
      <c r="DH117" s="521"/>
      <c r="DI117" s="521"/>
      <c r="DJ117" s="521"/>
      <c r="DK117" s="521"/>
      <c r="DL117" s="521"/>
      <c r="DM117" s="521"/>
      <c r="DN117" s="521"/>
      <c r="DO117" s="521"/>
      <c r="DP117" s="521"/>
      <c r="DQ117" s="521"/>
      <c r="DR117" s="521"/>
      <c r="DS117" s="521"/>
      <c r="DT117" s="521"/>
      <c r="DU117" s="521"/>
      <c r="DV117" s="521"/>
      <c r="DW117" s="521"/>
      <c r="DX117" s="521"/>
      <c r="DY117" s="521"/>
      <c r="DZ117" s="521"/>
      <c r="EA117" s="521"/>
      <c r="EB117" s="521"/>
      <c r="EC117" s="521"/>
      <c r="ED117" s="521"/>
      <c r="EE117" s="521"/>
      <c r="EF117" s="521"/>
      <c r="EG117" s="521"/>
      <c r="EH117" s="521"/>
      <c r="EI117" s="521"/>
      <c r="EJ117" s="521"/>
      <c r="EK117" s="521"/>
      <c r="EL117" s="521"/>
      <c r="EM117" s="521"/>
      <c r="EN117" s="521"/>
      <c r="EO117" s="521"/>
      <c r="EP117" s="521"/>
      <c r="EQ117" s="521"/>
      <c r="ER117" s="521"/>
      <c r="ES117" s="521"/>
      <c r="ET117" s="521"/>
      <c r="EU117" s="521"/>
      <c r="EV117" s="521"/>
      <c r="EW117" s="521"/>
      <c r="EX117" s="521"/>
      <c r="EY117" s="521"/>
      <c r="EZ117" s="521"/>
      <c r="FA117" s="521"/>
      <c r="FB117" s="521"/>
      <c r="FC117" s="521"/>
      <c r="FD117" s="521"/>
      <c r="FE117" s="521"/>
      <c r="FF117" s="521"/>
      <c r="FG117" s="521"/>
      <c r="FH117" s="521"/>
      <c r="FI117" s="521"/>
      <c r="FJ117" s="521"/>
      <c r="FK117" s="521"/>
      <c r="FL117" s="521"/>
      <c r="FM117" s="521"/>
      <c r="FN117" s="521"/>
      <c r="FO117" s="521"/>
      <c r="FP117" s="521"/>
      <c r="FQ117" s="521"/>
      <c r="FR117" s="521"/>
      <c r="FS117" s="521"/>
      <c r="FT117" s="521"/>
      <c r="FU117" s="521"/>
      <c r="FV117" s="521"/>
      <c r="FW117" s="521"/>
      <c r="FX117" s="521"/>
      <c r="FY117" s="521"/>
      <c r="FZ117" s="521"/>
      <c r="GA117" s="521"/>
      <c r="GB117" s="521"/>
      <c r="GC117" s="521"/>
      <c r="GD117" s="521"/>
      <c r="GE117" s="521"/>
      <c r="GF117" s="521"/>
      <c r="GG117" s="521"/>
      <c r="GH117" s="521"/>
      <c r="GI117" s="521"/>
      <c r="GJ117" s="521"/>
      <c r="GK117" s="521"/>
      <c r="GL117" s="521"/>
      <c r="GM117" s="521"/>
      <c r="GN117" s="521"/>
      <c r="GO117" s="521"/>
      <c r="GP117" s="521"/>
      <c r="GQ117" s="521"/>
      <c r="GR117" s="521"/>
      <c r="GS117" s="521"/>
      <c r="GT117" s="521"/>
      <c r="GU117" s="521"/>
      <c r="GV117" s="521"/>
      <c r="GW117" s="521"/>
      <c r="GX117" s="521"/>
      <c r="GY117" s="521"/>
      <c r="GZ117" s="521"/>
      <c r="HA117" s="521"/>
      <c r="HB117" s="521"/>
      <c r="HC117" s="521"/>
      <c r="HD117" s="521"/>
      <c r="HE117" s="521"/>
      <c r="HF117" s="521"/>
      <c r="HG117" s="521"/>
      <c r="HH117" s="521"/>
      <c r="HI117" s="521"/>
      <c r="HJ117" s="521"/>
      <c r="HK117" s="521"/>
      <c r="HL117" s="521"/>
      <c r="HM117" s="521"/>
      <c r="HN117" s="521"/>
      <c r="HO117" s="521"/>
      <c r="HP117" s="521"/>
      <c r="HQ117" s="521"/>
      <c r="HR117" s="521"/>
      <c r="HS117" s="521"/>
      <c r="HT117" s="521"/>
      <c r="HU117" s="521"/>
      <c r="HV117" s="521"/>
      <c r="HW117" s="521"/>
      <c r="HX117" s="521"/>
      <c r="HY117" s="521"/>
      <c r="HZ117" s="521"/>
      <c r="IA117" s="521"/>
      <c r="IB117" s="521"/>
      <c r="IC117" s="521"/>
      <c r="ID117" s="521"/>
      <c r="IE117" s="521"/>
      <c r="IF117" s="521"/>
      <c r="IG117" s="521"/>
      <c r="IH117" s="521"/>
      <c r="II117" s="521"/>
      <c r="IJ117" s="521"/>
      <c r="IK117" s="521"/>
      <c r="IL117" s="521"/>
      <c r="IM117" s="521"/>
      <c r="IN117" s="521"/>
      <c r="IO117" s="521"/>
      <c r="IP117" s="521"/>
      <c r="IQ117" s="521"/>
    </row>
    <row r="118" spans="1:251" ht="29.25" customHeight="1">
      <c r="A118" s="520">
        <v>109</v>
      </c>
      <c r="B118" s="533"/>
      <c r="C118" s="538">
        <v>28</v>
      </c>
      <c r="D118" s="997" t="s">
        <v>473</v>
      </c>
      <c r="E118" s="535">
        <f>F118+G118+L120+M119</f>
        <v>6096</v>
      </c>
      <c r="F118" s="536"/>
      <c r="G118" s="1293"/>
      <c r="H118" s="746" t="s">
        <v>23</v>
      </c>
      <c r="I118" s="721"/>
      <c r="J118" s="535"/>
      <c r="K118" s="535"/>
      <c r="L118" s="546"/>
      <c r="M118" s="537"/>
      <c r="N118" s="521"/>
      <c r="O118" s="521"/>
      <c r="P118" s="521"/>
      <c r="Q118" s="521"/>
      <c r="R118" s="521"/>
      <c r="S118" s="521"/>
      <c r="T118" s="521"/>
      <c r="U118" s="521"/>
      <c r="V118" s="521"/>
      <c r="W118" s="521"/>
      <c r="X118" s="521"/>
      <c r="Y118" s="521"/>
      <c r="Z118" s="521"/>
      <c r="AA118" s="521"/>
      <c r="AB118" s="521"/>
      <c r="AC118" s="521"/>
      <c r="AD118" s="521"/>
      <c r="AE118" s="521"/>
      <c r="AF118" s="521"/>
      <c r="AG118" s="521"/>
      <c r="AH118" s="521"/>
      <c r="AI118" s="521"/>
      <c r="AJ118" s="521"/>
      <c r="AK118" s="521"/>
      <c r="AL118" s="521"/>
      <c r="AM118" s="521"/>
      <c r="AN118" s="521"/>
      <c r="AO118" s="521"/>
      <c r="AP118" s="521"/>
      <c r="AQ118" s="521"/>
      <c r="AR118" s="521"/>
      <c r="AS118" s="521"/>
      <c r="AT118" s="521"/>
      <c r="AU118" s="521"/>
      <c r="AV118" s="521"/>
      <c r="AW118" s="521"/>
      <c r="AX118" s="521"/>
      <c r="AY118" s="521"/>
      <c r="AZ118" s="521"/>
      <c r="BA118" s="521"/>
      <c r="BB118" s="521"/>
      <c r="BC118" s="521"/>
      <c r="BD118" s="521"/>
      <c r="BE118" s="521"/>
      <c r="BF118" s="521"/>
      <c r="BG118" s="521"/>
      <c r="BH118" s="521"/>
      <c r="BI118" s="521"/>
      <c r="BJ118" s="521"/>
      <c r="BK118" s="521"/>
      <c r="BL118" s="521"/>
      <c r="BM118" s="521"/>
      <c r="BN118" s="521"/>
      <c r="BO118" s="521"/>
      <c r="BP118" s="521"/>
      <c r="BQ118" s="521"/>
      <c r="BR118" s="521"/>
      <c r="BS118" s="521"/>
      <c r="BT118" s="521"/>
      <c r="BU118" s="521"/>
      <c r="BV118" s="521"/>
      <c r="BW118" s="521"/>
      <c r="BX118" s="521"/>
      <c r="BY118" s="521"/>
      <c r="BZ118" s="521"/>
      <c r="CA118" s="521"/>
      <c r="CB118" s="521"/>
      <c r="CC118" s="521"/>
      <c r="CD118" s="521"/>
      <c r="CE118" s="521"/>
      <c r="CF118" s="521"/>
      <c r="CG118" s="521"/>
      <c r="CH118" s="521"/>
      <c r="CI118" s="521"/>
      <c r="CJ118" s="521"/>
      <c r="CK118" s="521"/>
      <c r="CL118" s="521"/>
      <c r="CM118" s="521"/>
      <c r="CN118" s="521"/>
      <c r="CO118" s="521"/>
      <c r="CP118" s="521"/>
      <c r="CQ118" s="521"/>
      <c r="CR118" s="521"/>
      <c r="CS118" s="521"/>
      <c r="CT118" s="521"/>
      <c r="CU118" s="521"/>
      <c r="CV118" s="521"/>
      <c r="CW118" s="521"/>
      <c r="CX118" s="521"/>
      <c r="CY118" s="521"/>
      <c r="CZ118" s="521"/>
      <c r="DA118" s="521"/>
      <c r="DB118" s="521"/>
      <c r="DC118" s="521"/>
      <c r="DD118" s="521"/>
      <c r="DE118" s="521"/>
      <c r="DF118" s="521"/>
      <c r="DG118" s="521"/>
      <c r="DH118" s="521"/>
      <c r="DI118" s="521"/>
      <c r="DJ118" s="521"/>
      <c r="DK118" s="521"/>
      <c r="DL118" s="521"/>
      <c r="DM118" s="521"/>
      <c r="DN118" s="521"/>
      <c r="DO118" s="521"/>
      <c r="DP118" s="521"/>
      <c r="DQ118" s="521"/>
      <c r="DR118" s="521"/>
      <c r="DS118" s="521"/>
      <c r="DT118" s="521"/>
      <c r="DU118" s="521"/>
      <c r="DV118" s="521"/>
      <c r="DW118" s="521"/>
      <c r="DX118" s="521"/>
      <c r="DY118" s="521"/>
      <c r="DZ118" s="521"/>
      <c r="EA118" s="521"/>
      <c r="EB118" s="521"/>
      <c r="EC118" s="521"/>
      <c r="ED118" s="521"/>
      <c r="EE118" s="521"/>
      <c r="EF118" s="521"/>
      <c r="EG118" s="521"/>
      <c r="EH118" s="521"/>
      <c r="EI118" s="521"/>
      <c r="EJ118" s="521"/>
      <c r="EK118" s="521"/>
      <c r="EL118" s="521"/>
      <c r="EM118" s="521"/>
      <c r="EN118" s="521"/>
      <c r="EO118" s="521"/>
      <c r="EP118" s="521"/>
      <c r="EQ118" s="521"/>
      <c r="ER118" s="521"/>
      <c r="ES118" s="521"/>
      <c r="ET118" s="521"/>
      <c r="EU118" s="521"/>
      <c r="EV118" s="521"/>
      <c r="EW118" s="521"/>
      <c r="EX118" s="521"/>
      <c r="EY118" s="521"/>
      <c r="EZ118" s="521"/>
      <c r="FA118" s="521"/>
      <c r="FB118" s="521"/>
      <c r="FC118" s="521"/>
      <c r="FD118" s="521"/>
      <c r="FE118" s="521"/>
      <c r="FF118" s="521"/>
      <c r="FG118" s="521"/>
      <c r="FH118" s="521"/>
      <c r="FI118" s="521"/>
      <c r="FJ118" s="521"/>
      <c r="FK118" s="521"/>
      <c r="FL118" s="521"/>
      <c r="FM118" s="521"/>
      <c r="FN118" s="521"/>
      <c r="FO118" s="521"/>
      <c r="FP118" s="521"/>
      <c r="FQ118" s="521"/>
      <c r="FR118" s="521"/>
      <c r="FS118" s="521"/>
      <c r="FT118" s="521"/>
      <c r="FU118" s="521"/>
      <c r="FV118" s="521"/>
      <c r="FW118" s="521"/>
      <c r="FX118" s="521"/>
      <c r="FY118" s="521"/>
      <c r="FZ118" s="521"/>
      <c r="GA118" s="521"/>
      <c r="GB118" s="521"/>
      <c r="GC118" s="521"/>
      <c r="GD118" s="521"/>
      <c r="GE118" s="521"/>
      <c r="GF118" s="521"/>
      <c r="GG118" s="521"/>
      <c r="GH118" s="521"/>
      <c r="GI118" s="521"/>
      <c r="GJ118" s="521"/>
      <c r="GK118" s="521"/>
      <c r="GL118" s="521"/>
      <c r="GM118" s="521"/>
      <c r="GN118" s="521"/>
      <c r="GO118" s="521"/>
      <c r="GP118" s="521"/>
      <c r="GQ118" s="521"/>
      <c r="GR118" s="521"/>
      <c r="GS118" s="521"/>
      <c r="GT118" s="521"/>
      <c r="GU118" s="521"/>
      <c r="GV118" s="521"/>
      <c r="GW118" s="521"/>
      <c r="GX118" s="521"/>
      <c r="GY118" s="521"/>
      <c r="GZ118" s="521"/>
      <c r="HA118" s="521"/>
      <c r="HB118" s="521"/>
      <c r="HC118" s="521"/>
      <c r="HD118" s="521"/>
      <c r="HE118" s="521"/>
      <c r="HF118" s="521"/>
      <c r="HG118" s="521"/>
      <c r="HH118" s="521"/>
      <c r="HI118" s="521"/>
      <c r="HJ118" s="521"/>
      <c r="HK118" s="521"/>
      <c r="HL118" s="521"/>
      <c r="HM118" s="521"/>
      <c r="HN118" s="521"/>
      <c r="HO118" s="521"/>
      <c r="HP118" s="521"/>
      <c r="HQ118" s="521"/>
      <c r="HR118" s="521"/>
      <c r="HS118" s="521"/>
      <c r="HT118" s="521"/>
      <c r="HU118" s="521"/>
      <c r="HV118" s="521"/>
      <c r="HW118" s="521"/>
      <c r="HX118" s="521"/>
      <c r="HY118" s="521"/>
      <c r="HZ118" s="521"/>
      <c r="IA118" s="521"/>
      <c r="IB118" s="521"/>
      <c r="IC118" s="521"/>
      <c r="ID118" s="521"/>
      <c r="IE118" s="521"/>
      <c r="IF118" s="521"/>
      <c r="IG118" s="521"/>
      <c r="IH118" s="521"/>
      <c r="II118" s="521"/>
      <c r="IJ118" s="521"/>
      <c r="IK118" s="521"/>
      <c r="IL118" s="521"/>
      <c r="IM118" s="521"/>
      <c r="IN118" s="521"/>
      <c r="IO118" s="521"/>
      <c r="IP118" s="521"/>
      <c r="IQ118" s="521"/>
    </row>
    <row r="119" spans="1:251" s="1267" customFormat="1" ht="18" customHeight="1">
      <c r="A119" s="520">
        <v>110</v>
      </c>
      <c r="B119" s="1260"/>
      <c r="C119" s="1261"/>
      <c r="D119" s="589" t="s">
        <v>283</v>
      </c>
      <c r="E119" s="1258"/>
      <c r="F119" s="1262"/>
      <c r="G119" s="1294"/>
      <c r="H119" s="1263"/>
      <c r="I119" s="1264"/>
      <c r="J119" s="1258">
        <v>6096</v>
      </c>
      <c r="K119" s="1258"/>
      <c r="L119" s="1259">
        <f>SUM(I119:K119)</f>
        <v>6096</v>
      </c>
      <c r="M119" s="1265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266"/>
      <c r="AD119" s="1266"/>
      <c r="AE119" s="1266"/>
      <c r="AF119" s="1266"/>
      <c r="AG119" s="1266"/>
      <c r="AH119" s="1266"/>
      <c r="AI119" s="1266"/>
      <c r="AJ119" s="1266"/>
      <c r="AK119" s="1266"/>
      <c r="AL119" s="1266"/>
      <c r="AM119" s="1266"/>
      <c r="AN119" s="1266"/>
      <c r="AO119" s="1266"/>
      <c r="AP119" s="1266"/>
      <c r="AQ119" s="1266"/>
      <c r="AR119" s="1266"/>
      <c r="AS119" s="1266"/>
      <c r="AT119" s="1266"/>
      <c r="AU119" s="1266"/>
      <c r="AV119" s="1266"/>
      <c r="AW119" s="1266"/>
      <c r="AX119" s="1266"/>
      <c r="AY119" s="1266"/>
      <c r="AZ119" s="1266"/>
      <c r="BA119" s="1266"/>
      <c r="BB119" s="1266"/>
      <c r="BC119" s="1266"/>
      <c r="BD119" s="1266"/>
      <c r="BE119" s="1266"/>
      <c r="BF119" s="1266"/>
      <c r="BG119" s="1266"/>
      <c r="BH119" s="1266"/>
      <c r="BI119" s="1266"/>
      <c r="BJ119" s="1266"/>
      <c r="BK119" s="1266"/>
      <c r="BL119" s="1266"/>
      <c r="BM119" s="1266"/>
      <c r="BN119" s="1266"/>
      <c r="BO119" s="1266"/>
      <c r="BP119" s="1266"/>
      <c r="BQ119" s="1266"/>
      <c r="BR119" s="1266"/>
      <c r="BS119" s="1266"/>
      <c r="BT119" s="1266"/>
      <c r="BU119" s="1266"/>
      <c r="BV119" s="1266"/>
      <c r="BW119" s="1266"/>
      <c r="BX119" s="1266"/>
      <c r="BY119" s="1266"/>
      <c r="BZ119" s="1266"/>
      <c r="CA119" s="1266"/>
      <c r="CB119" s="1266"/>
      <c r="CC119" s="1266"/>
      <c r="CD119" s="1266"/>
      <c r="CE119" s="1266"/>
      <c r="CF119" s="1266"/>
      <c r="CG119" s="1266"/>
      <c r="CH119" s="1266"/>
      <c r="CI119" s="1266"/>
      <c r="CJ119" s="1266"/>
      <c r="CK119" s="1266"/>
      <c r="CL119" s="1266"/>
      <c r="CM119" s="1266"/>
      <c r="CN119" s="1266"/>
      <c r="CO119" s="1266"/>
      <c r="CP119" s="1266"/>
      <c r="CQ119" s="1266"/>
      <c r="CR119" s="1266"/>
      <c r="CS119" s="1266"/>
      <c r="CT119" s="1266"/>
      <c r="CU119" s="1266"/>
      <c r="CV119" s="1266"/>
      <c r="CW119" s="1266"/>
      <c r="CX119" s="1266"/>
      <c r="CY119" s="1266"/>
      <c r="CZ119" s="1266"/>
      <c r="DA119" s="1266"/>
      <c r="DB119" s="1266"/>
      <c r="DC119" s="1266"/>
      <c r="DD119" s="1266"/>
      <c r="DE119" s="1266"/>
      <c r="DF119" s="1266"/>
      <c r="DG119" s="1266"/>
      <c r="DH119" s="1266"/>
      <c r="DI119" s="1266"/>
      <c r="DJ119" s="1266"/>
      <c r="DK119" s="1266"/>
      <c r="DL119" s="1266"/>
      <c r="DM119" s="1266"/>
      <c r="DN119" s="1266"/>
      <c r="DO119" s="1266"/>
      <c r="DP119" s="1266"/>
      <c r="DQ119" s="1266"/>
      <c r="DR119" s="1266"/>
      <c r="DS119" s="1266"/>
      <c r="DT119" s="1266"/>
      <c r="DU119" s="1266"/>
      <c r="DV119" s="1266"/>
      <c r="DW119" s="1266"/>
      <c r="DX119" s="1266"/>
      <c r="DY119" s="1266"/>
      <c r="DZ119" s="1266"/>
      <c r="EA119" s="1266"/>
      <c r="EB119" s="1266"/>
      <c r="EC119" s="1266"/>
      <c r="ED119" s="1266"/>
      <c r="EE119" s="1266"/>
      <c r="EF119" s="1266"/>
      <c r="EG119" s="1266"/>
      <c r="EH119" s="1266"/>
      <c r="EI119" s="1266"/>
      <c r="EJ119" s="1266"/>
      <c r="EK119" s="1266"/>
      <c r="EL119" s="1266"/>
      <c r="EM119" s="1266"/>
      <c r="EN119" s="1266"/>
      <c r="EO119" s="1266"/>
      <c r="EP119" s="1266"/>
      <c r="EQ119" s="1266"/>
      <c r="ER119" s="1266"/>
      <c r="ES119" s="1266"/>
      <c r="ET119" s="1266"/>
      <c r="EU119" s="1266"/>
      <c r="EV119" s="1266"/>
      <c r="EW119" s="1266"/>
      <c r="EX119" s="1266"/>
      <c r="EY119" s="1266"/>
      <c r="EZ119" s="1266"/>
      <c r="FA119" s="1266"/>
      <c r="FB119" s="1266"/>
      <c r="FC119" s="1266"/>
      <c r="FD119" s="1266"/>
      <c r="FE119" s="1266"/>
      <c r="FF119" s="1266"/>
      <c r="FG119" s="1266"/>
      <c r="FH119" s="1266"/>
      <c r="FI119" s="1266"/>
      <c r="FJ119" s="1266"/>
      <c r="FK119" s="1266"/>
      <c r="FL119" s="1266"/>
      <c r="FM119" s="1266"/>
      <c r="FN119" s="1266"/>
      <c r="FO119" s="1266"/>
      <c r="FP119" s="1266"/>
      <c r="FQ119" s="1266"/>
      <c r="FR119" s="1266"/>
      <c r="FS119" s="1266"/>
      <c r="FT119" s="1266"/>
      <c r="FU119" s="1266"/>
      <c r="FV119" s="1266"/>
      <c r="FW119" s="1266"/>
      <c r="FX119" s="1266"/>
      <c r="FY119" s="1266"/>
      <c r="FZ119" s="1266"/>
      <c r="GA119" s="1266"/>
      <c r="GB119" s="1266"/>
      <c r="GC119" s="1266"/>
      <c r="GD119" s="1266"/>
      <c r="GE119" s="1266"/>
      <c r="GF119" s="1266"/>
      <c r="GG119" s="1266"/>
      <c r="GH119" s="1266"/>
      <c r="GI119" s="1266"/>
      <c r="GJ119" s="1266"/>
      <c r="GK119" s="1266"/>
      <c r="GL119" s="1266"/>
      <c r="GM119" s="1266"/>
      <c r="GN119" s="1266"/>
      <c r="GO119" s="1266"/>
      <c r="GP119" s="1266"/>
      <c r="GQ119" s="1266"/>
      <c r="GR119" s="1266"/>
      <c r="GS119" s="1266"/>
      <c r="GT119" s="1266"/>
      <c r="GU119" s="1266"/>
      <c r="GV119" s="1266"/>
      <c r="GW119" s="1266"/>
      <c r="GX119" s="1266"/>
      <c r="GY119" s="1266"/>
      <c r="GZ119" s="1266"/>
      <c r="HA119" s="1266"/>
      <c r="HB119" s="1266"/>
      <c r="HC119" s="1266"/>
      <c r="HD119" s="1266"/>
      <c r="HE119" s="1266"/>
      <c r="HF119" s="1266"/>
      <c r="HG119" s="1266"/>
      <c r="HH119" s="1266"/>
      <c r="HI119" s="1266"/>
      <c r="HJ119" s="1266"/>
      <c r="HK119" s="1266"/>
      <c r="HL119" s="1266"/>
      <c r="HM119" s="1266"/>
      <c r="HN119" s="1266"/>
      <c r="HO119" s="1266"/>
      <c r="HP119" s="1266"/>
      <c r="HQ119" s="1266"/>
      <c r="HR119" s="1266"/>
      <c r="HS119" s="1266"/>
      <c r="HT119" s="1266"/>
      <c r="HU119" s="1266"/>
      <c r="HV119" s="1266"/>
      <c r="HW119" s="1266"/>
      <c r="HX119" s="1266"/>
      <c r="HY119" s="1266"/>
      <c r="HZ119" s="1266"/>
      <c r="IA119" s="1266"/>
      <c r="IB119" s="1266"/>
      <c r="IC119" s="1266"/>
      <c r="ID119" s="1266"/>
      <c r="IE119" s="1266"/>
      <c r="IF119" s="1266"/>
      <c r="IG119" s="1266"/>
      <c r="IH119" s="1266"/>
      <c r="II119" s="1266"/>
      <c r="IJ119" s="1266"/>
      <c r="IK119" s="1266"/>
      <c r="IL119" s="1266"/>
      <c r="IM119" s="1266"/>
      <c r="IN119" s="1266"/>
      <c r="IO119" s="1266"/>
      <c r="IP119" s="1266"/>
      <c r="IQ119" s="1266"/>
    </row>
    <row r="120" spans="1:251" s="1267" customFormat="1" ht="18" customHeight="1">
      <c r="A120" s="520">
        <v>111</v>
      </c>
      <c r="B120" s="1260"/>
      <c r="C120" s="1261"/>
      <c r="D120" s="478" t="s">
        <v>757</v>
      </c>
      <c r="E120" s="1258"/>
      <c r="F120" s="1262"/>
      <c r="G120" s="1294"/>
      <c r="H120" s="1263"/>
      <c r="I120" s="1264"/>
      <c r="J120" s="1351">
        <v>6096</v>
      </c>
      <c r="K120" s="1351"/>
      <c r="L120" s="1447">
        <f>SUM(I120:K120)</f>
        <v>6096</v>
      </c>
      <c r="M120" s="1265"/>
      <c r="N120" s="1266"/>
      <c r="O120" s="1266"/>
      <c r="P120" s="1266"/>
      <c r="Q120" s="1266"/>
      <c r="R120" s="1266"/>
      <c r="S120" s="1266"/>
      <c r="T120" s="1266"/>
      <c r="U120" s="1266"/>
      <c r="V120" s="1266"/>
      <c r="W120" s="1266"/>
      <c r="X120" s="1266"/>
      <c r="Y120" s="1266"/>
      <c r="Z120" s="1266"/>
      <c r="AA120" s="1266"/>
      <c r="AB120" s="1266"/>
      <c r="AC120" s="1266"/>
      <c r="AD120" s="1266"/>
      <c r="AE120" s="1266"/>
      <c r="AF120" s="1266"/>
      <c r="AG120" s="1266"/>
      <c r="AH120" s="1266"/>
      <c r="AI120" s="1266"/>
      <c r="AJ120" s="1266"/>
      <c r="AK120" s="1266"/>
      <c r="AL120" s="1266"/>
      <c r="AM120" s="1266"/>
      <c r="AN120" s="1266"/>
      <c r="AO120" s="1266"/>
      <c r="AP120" s="1266"/>
      <c r="AQ120" s="1266"/>
      <c r="AR120" s="1266"/>
      <c r="AS120" s="1266"/>
      <c r="AT120" s="1266"/>
      <c r="AU120" s="1266"/>
      <c r="AV120" s="1266"/>
      <c r="AW120" s="1266"/>
      <c r="AX120" s="1266"/>
      <c r="AY120" s="1266"/>
      <c r="AZ120" s="1266"/>
      <c r="BA120" s="1266"/>
      <c r="BB120" s="1266"/>
      <c r="BC120" s="1266"/>
      <c r="BD120" s="1266"/>
      <c r="BE120" s="1266"/>
      <c r="BF120" s="1266"/>
      <c r="BG120" s="1266"/>
      <c r="BH120" s="1266"/>
      <c r="BI120" s="1266"/>
      <c r="BJ120" s="1266"/>
      <c r="BK120" s="1266"/>
      <c r="BL120" s="1266"/>
      <c r="BM120" s="1266"/>
      <c r="BN120" s="1266"/>
      <c r="BO120" s="1266"/>
      <c r="BP120" s="1266"/>
      <c r="BQ120" s="1266"/>
      <c r="BR120" s="1266"/>
      <c r="BS120" s="1266"/>
      <c r="BT120" s="1266"/>
      <c r="BU120" s="1266"/>
      <c r="BV120" s="1266"/>
      <c r="BW120" s="1266"/>
      <c r="BX120" s="1266"/>
      <c r="BY120" s="1266"/>
      <c r="BZ120" s="1266"/>
      <c r="CA120" s="1266"/>
      <c r="CB120" s="1266"/>
      <c r="CC120" s="1266"/>
      <c r="CD120" s="1266"/>
      <c r="CE120" s="1266"/>
      <c r="CF120" s="1266"/>
      <c r="CG120" s="1266"/>
      <c r="CH120" s="1266"/>
      <c r="CI120" s="1266"/>
      <c r="CJ120" s="1266"/>
      <c r="CK120" s="1266"/>
      <c r="CL120" s="1266"/>
      <c r="CM120" s="1266"/>
      <c r="CN120" s="1266"/>
      <c r="CO120" s="1266"/>
      <c r="CP120" s="1266"/>
      <c r="CQ120" s="1266"/>
      <c r="CR120" s="1266"/>
      <c r="CS120" s="1266"/>
      <c r="CT120" s="1266"/>
      <c r="CU120" s="1266"/>
      <c r="CV120" s="1266"/>
      <c r="CW120" s="1266"/>
      <c r="CX120" s="1266"/>
      <c r="CY120" s="1266"/>
      <c r="CZ120" s="1266"/>
      <c r="DA120" s="1266"/>
      <c r="DB120" s="1266"/>
      <c r="DC120" s="1266"/>
      <c r="DD120" s="1266"/>
      <c r="DE120" s="1266"/>
      <c r="DF120" s="1266"/>
      <c r="DG120" s="1266"/>
      <c r="DH120" s="1266"/>
      <c r="DI120" s="1266"/>
      <c r="DJ120" s="1266"/>
      <c r="DK120" s="1266"/>
      <c r="DL120" s="1266"/>
      <c r="DM120" s="1266"/>
      <c r="DN120" s="1266"/>
      <c r="DO120" s="1266"/>
      <c r="DP120" s="1266"/>
      <c r="DQ120" s="1266"/>
      <c r="DR120" s="1266"/>
      <c r="DS120" s="1266"/>
      <c r="DT120" s="1266"/>
      <c r="DU120" s="1266"/>
      <c r="DV120" s="1266"/>
      <c r="DW120" s="1266"/>
      <c r="DX120" s="1266"/>
      <c r="DY120" s="1266"/>
      <c r="DZ120" s="1266"/>
      <c r="EA120" s="1266"/>
      <c r="EB120" s="1266"/>
      <c r="EC120" s="1266"/>
      <c r="ED120" s="1266"/>
      <c r="EE120" s="1266"/>
      <c r="EF120" s="1266"/>
      <c r="EG120" s="1266"/>
      <c r="EH120" s="1266"/>
      <c r="EI120" s="1266"/>
      <c r="EJ120" s="1266"/>
      <c r="EK120" s="1266"/>
      <c r="EL120" s="1266"/>
      <c r="EM120" s="1266"/>
      <c r="EN120" s="1266"/>
      <c r="EO120" s="1266"/>
      <c r="EP120" s="1266"/>
      <c r="EQ120" s="1266"/>
      <c r="ER120" s="1266"/>
      <c r="ES120" s="1266"/>
      <c r="ET120" s="1266"/>
      <c r="EU120" s="1266"/>
      <c r="EV120" s="1266"/>
      <c r="EW120" s="1266"/>
      <c r="EX120" s="1266"/>
      <c r="EY120" s="1266"/>
      <c r="EZ120" s="1266"/>
      <c r="FA120" s="1266"/>
      <c r="FB120" s="1266"/>
      <c r="FC120" s="1266"/>
      <c r="FD120" s="1266"/>
      <c r="FE120" s="1266"/>
      <c r="FF120" s="1266"/>
      <c r="FG120" s="1266"/>
      <c r="FH120" s="1266"/>
      <c r="FI120" s="1266"/>
      <c r="FJ120" s="1266"/>
      <c r="FK120" s="1266"/>
      <c r="FL120" s="1266"/>
      <c r="FM120" s="1266"/>
      <c r="FN120" s="1266"/>
      <c r="FO120" s="1266"/>
      <c r="FP120" s="1266"/>
      <c r="FQ120" s="1266"/>
      <c r="FR120" s="1266"/>
      <c r="FS120" s="1266"/>
      <c r="FT120" s="1266"/>
      <c r="FU120" s="1266"/>
      <c r="FV120" s="1266"/>
      <c r="FW120" s="1266"/>
      <c r="FX120" s="1266"/>
      <c r="FY120" s="1266"/>
      <c r="FZ120" s="1266"/>
      <c r="GA120" s="1266"/>
      <c r="GB120" s="1266"/>
      <c r="GC120" s="1266"/>
      <c r="GD120" s="1266"/>
      <c r="GE120" s="1266"/>
      <c r="GF120" s="1266"/>
      <c r="GG120" s="1266"/>
      <c r="GH120" s="1266"/>
      <c r="GI120" s="1266"/>
      <c r="GJ120" s="1266"/>
      <c r="GK120" s="1266"/>
      <c r="GL120" s="1266"/>
      <c r="GM120" s="1266"/>
      <c r="GN120" s="1266"/>
      <c r="GO120" s="1266"/>
      <c r="GP120" s="1266"/>
      <c r="GQ120" s="1266"/>
      <c r="GR120" s="1266"/>
      <c r="GS120" s="1266"/>
      <c r="GT120" s="1266"/>
      <c r="GU120" s="1266"/>
      <c r="GV120" s="1266"/>
      <c r="GW120" s="1266"/>
      <c r="GX120" s="1266"/>
      <c r="GY120" s="1266"/>
      <c r="GZ120" s="1266"/>
      <c r="HA120" s="1266"/>
      <c r="HB120" s="1266"/>
      <c r="HC120" s="1266"/>
      <c r="HD120" s="1266"/>
      <c r="HE120" s="1266"/>
      <c r="HF120" s="1266"/>
      <c r="HG120" s="1266"/>
      <c r="HH120" s="1266"/>
      <c r="HI120" s="1266"/>
      <c r="HJ120" s="1266"/>
      <c r="HK120" s="1266"/>
      <c r="HL120" s="1266"/>
      <c r="HM120" s="1266"/>
      <c r="HN120" s="1266"/>
      <c r="HO120" s="1266"/>
      <c r="HP120" s="1266"/>
      <c r="HQ120" s="1266"/>
      <c r="HR120" s="1266"/>
      <c r="HS120" s="1266"/>
      <c r="HT120" s="1266"/>
      <c r="HU120" s="1266"/>
      <c r="HV120" s="1266"/>
      <c r="HW120" s="1266"/>
      <c r="HX120" s="1266"/>
      <c r="HY120" s="1266"/>
      <c r="HZ120" s="1266"/>
      <c r="IA120" s="1266"/>
      <c r="IB120" s="1266"/>
      <c r="IC120" s="1266"/>
      <c r="ID120" s="1266"/>
      <c r="IE120" s="1266"/>
      <c r="IF120" s="1266"/>
      <c r="IG120" s="1266"/>
      <c r="IH120" s="1266"/>
      <c r="II120" s="1266"/>
      <c r="IJ120" s="1266"/>
      <c r="IK120" s="1266"/>
      <c r="IL120" s="1266"/>
      <c r="IM120" s="1266"/>
      <c r="IN120" s="1266"/>
      <c r="IO120" s="1266"/>
      <c r="IP120" s="1266"/>
      <c r="IQ120" s="1266"/>
    </row>
    <row r="121" spans="1:251" ht="18" customHeight="1">
      <c r="A121" s="520">
        <v>112</v>
      </c>
      <c r="B121" s="533"/>
      <c r="C121" s="538"/>
      <c r="D121" s="1090" t="s">
        <v>893</v>
      </c>
      <c r="E121" s="535"/>
      <c r="F121" s="536"/>
      <c r="G121" s="1293"/>
      <c r="H121" s="746"/>
      <c r="I121" s="721"/>
      <c r="J121" s="1291">
        <v>0</v>
      </c>
      <c r="K121" s="1291"/>
      <c r="L121" s="1138">
        <f>SUM(I121:K121)</f>
        <v>0</v>
      </c>
      <c r="M121" s="537"/>
      <c r="N121" s="521"/>
      <c r="O121" s="521"/>
      <c r="P121" s="521"/>
      <c r="Q121" s="521"/>
      <c r="R121" s="521"/>
      <c r="S121" s="521"/>
      <c r="T121" s="521"/>
      <c r="U121" s="521"/>
      <c r="V121" s="521"/>
      <c r="W121" s="521"/>
      <c r="X121" s="521"/>
      <c r="Y121" s="521"/>
      <c r="Z121" s="521"/>
      <c r="AA121" s="521"/>
      <c r="AB121" s="521"/>
      <c r="AC121" s="521"/>
      <c r="AD121" s="521"/>
      <c r="AE121" s="521"/>
      <c r="AF121" s="521"/>
      <c r="AG121" s="521"/>
      <c r="AH121" s="521"/>
      <c r="AI121" s="521"/>
      <c r="AJ121" s="521"/>
      <c r="AK121" s="521"/>
      <c r="AL121" s="521"/>
      <c r="AM121" s="521"/>
      <c r="AN121" s="521"/>
      <c r="AO121" s="521"/>
      <c r="AP121" s="521"/>
      <c r="AQ121" s="521"/>
      <c r="AR121" s="521"/>
      <c r="AS121" s="521"/>
      <c r="AT121" s="521"/>
      <c r="AU121" s="521"/>
      <c r="AV121" s="521"/>
      <c r="AW121" s="521"/>
      <c r="AX121" s="521"/>
      <c r="AY121" s="521"/>
      <c r="AZ121" s="521"/>
      <c r="BA121" s="521"/>
      <c r="BB121" s="521"/>
      <c r="BC121" s="521"/>
      <c r="BD121" s="521"/>
      <c r="BE121" s="521"/>
      <c r="BF121" s="521"/>
      <c r="BG121" s="521"/>
      <c r="BH121" s="521"/>
      <c r="BI121" s="521"/>
      <c r="BJ121" s="521"/>
      <c r="BK121" s="521"/>
      <c r="BL121" s="521"/>
      <c r="BM121" s="521"/>
      <c r="BN121" s="521"/>
      <c r="BO121" s="521"/>
      <c r="BP121" s="521"/>
      <c r="BQ121" s="521"/>
      <c r="BR121" s="521"/>
      <c r="BS121" s="521"/>
      <c r="BT121" s="521"/>
      <c r="BU121" s="521"/>
      <c r="BV121" s="521"/>
      <c r="BW121" s="521"/>
      <c r="BX121" s="521"/>
      <c r="BY121" s="521"/>
      <c r="BZ121" s="521"/>
      <c r="CA121" s="521"/>
      <c r="CB121" s="521"/>
      <c r="CC121" s="521"/>
      <c r="CD121" s="521"/>
      <c r="CE121" s="521"/>
      <c r="CF121" s="521"/>
      <c r="CG121" s="521"/>
      <c r="CH121" s="521"/>
      <c r="CI121" s="521"/>
      <c r="CJ121" s="521"/>
      <c r="CK121" s="521"/>
      <c r="CL121" s="521"/>
      <c r="CM121" s="521"/>
      <c r="CN121" s="521"/>
      <c r="CO121" s="521"/>
      <c r="CP121" s="521"/>
      <c r="CQ121" s="521"/>
      <c r="CR121" s="521"/>
      <c r="CS121" s="521"/>
      <c r="CT121" s="521"/>
      <c r="CU121" s="521"/>
      <c r="CV121" s="521"/>
      <c r="CW121" s="521"/>
      <c r="CX121" s="521"/>
      <c r="CY121" s="521"/>
      <c r="CZ121" s="521"/>
      <c r="DA121" s="521"/>
      <c r="DB121" s="521"/>
      <c r="DC121" s="521"/>
      <c r="DD121" s="521"/>
      <c r="DE121" s="521"/>
      <c r="DF121" s="521"/>
      <c r="DG121" s="521"/>
      <c r="DH121" s="521"/>
      <c r="DI121" s="521"/>
      <c r="DJ121" s="521"/>
      <c r="DK121" s="521"/>
      <c r="DL121" s="521"/>
      <c r="DM121" s="521"/>
      <c r="DN121" s="521"/>
      <c r="DO121" s="521"/>
      <c r="DP121" s="521"/>
      <c r="DQ121" s="521"/>
      <c r="DR121" s="521"/>
      <c r="DS121" s="521"/>
      <c r="DT121" s="521"/>
      <c r="DU121" s="521"/>
      <c r="DV121" s="521"/>
      <c r="DW121" s="521"/>
      <c r="DX121" s="521"/>
      <c r="DY121" s="521"/>
      <c r="DZ121" s="521"/>
      <c r="EA121" s="521"/>
      <c r="EB121" s="521"/>
      <c r="EC121" s="521"/>
      <c r="ED121" s="521"/>
      <c r="EE121" s="521"/>
      <c r="EF121" s="521"/>
      <c r="EG121" s="521"/>
      <c r="EH121" s="521"/>
      <c r="EI121" s="521"/>
      <c r="EJ121" s="521"/>
      <c r="EK121" s="521"/>
      <c r="EL121" s="521"/>
      <c r="EM121" s="521"/>
      <c r="EN121" s="521"/>
      <c r="EO121" s="521"/>
      <c r="EP121" s="521"/>
      <c r="EQ121" s="521"/>
      <c r="ER121" s="521"/>
      <c r="ES121" s="521"/>
      <c r="ET121" s="521"/>
      <c r="EU121" s="521"/>
      <c r="EV121" s="521"/>
      <c r="EW121" s="521"/>
      <c r="EX121" s="521"/>
      <c r="EY121" s="521"/>
      <c r="EZ121" s="521"/>
      <c r="FA121" s="521"/>
      <c r="FB121" s="521"/>
      <c r="FC121" s="521"/>
      <c r="FD121" s="521"/>
      <c r="FE121" s="521"/>
      <c r="FF121" s="521"/>
      <c r="FG121" s="521"/>
      <c r="FH121" s="521"/>
      <c r="FI121" s="521"/>
      <c r="FJ121" s="521"/>
      <c r="FK121" s="521"/>
      <c r="FL121" s="521"/>
      <c r="FM121" s="521"/>
      <c r="FN121" s="521"/>
      <c r="FO121" s="521"/>
      <c r="FP121" s="521"/>
      <c r="FQ121" s="521"/>
      <c r="FR121" s="521"/>
      <c r="FS121" s="521"/>
      <c r="FT121" s="521"/>
      <c r="FU121" s="521"/>
      <c r="FV121" s="521"/>
      <c r="FW121" s="521"/>
      <c r="FX121" s="521"/>
      <c r="FY121" s="521"/>
      <c r="FZ121" s="521"/>
      <c r="GA121" s="521"/>
      <c r="GB121" s="521"/>
      <c r="GC121" s="521"/>
      <c r="GD121" s="521"/>
      <c r="GE121" s="521"/>
      <c r="GF121" s="521"/>
      <c r="GG121" s="521"/>
      <c r="GH121" s="521"/>
      <c r="GI121" s="521"/>
      <c r="GJ121" s="521"/>
      <c r="GK121" s="521"/>
      <c r="GL121" s="521"/>
      <c r="GM121" s="521"/>
      <c r="GN121" s="521"/>
      <c r="GO121" s="521"/>
      <c r="GP121" s="521"/>
      <c r="GQ121" s="521"/>
      <c r="GR121" s="521"/>
      <c r="GS121" s="521"/>
      <c r="GT121" s="521"/>
      <c r="GU121" s="521"/>
      <c r="GV121" s="521"/>
      <c r="GW121" s="521"/>
      <c r="GX121" s="521"/>
      <c r="GY121" s="521"/>
      <c r="GZ121" s="521"/>
      <c r="HA121" s="521"/>
      <c r="HB121" s="521"/>
      <c r="HC121" s="521"/>
      <c r="HD121" s="521"/>
      <c r="HE121" s="521"/>
      <c r="HF121" s="521"/>
      <c r="HG121" s="521"/>
      <c r="HH121" s="521"/>
      <c r="HI121" s="521"/>
      <c r="HJ121" s="521"/>
      <c r="HK121" s="521"/>
      <c r="HL121" s="521"/>
      <c r="HM121" s="521"/>
      <c r="HN121" s="521"/>
      <c r="HO121" s="521"/>
      <c r="HP121" s="521"/>
      <c r="HQ121" s="521"/>
      <c r="HR121" s="521"/>
      <c r="HS121" s="521"/>
      <c r="HT121" s="521"/>
      <c r="HU121" s="521"/>
      <c r="HV121" s="521"/>
      <c r="HW121" s="521"/>
      <c r="HX121" s="521"/>
      <c r="HY121" s="521"/>
      <c r="HZ121" s="521"/>
      <c r="IA121" s="521"/>
      <c r="IB121" s="521"/>
      <c r="IC121" s="521"/>
      <c r="ID121" s="521"/>
      <c r="IE121" s="521"/>
      <c r="IF121" s="521"/>
      <c r="IG121" s="521"/>
      <c r="IH121" s="521"/>
      <c r="II121" s="521"/>
      <c r="IJ121" s="521"/>
      <c r="IK121" s="521"/>
      <c r="IL121" s="521"/>
      <c r="IM121" s="521"/>
      <c r="IN121" s="521"/>
      <c r="IO121" s="521"/>
      <c r="IP121" s="521"/>
      <c r="IQ121" s="521"/>
    </row>
    <row r="122" spans="1:251" ht="22.5" customHeight="1">
      <c r="A122" s="520">
        <v>113</v>
      </c>
      <c r="B122" s="533"/>
      <c r="C122" s="534">
        <v>29</v>
      </c>
      <c r="D122" s="328" t="s">
        <v>630</v>
      </c>
      <c r="E122" s="535">
        <f>F122+G122+L124+M123</f>
        <v>33812</v>
      </c>
      <c r="F122" s="536"/>
      <c r="G122" s="1293"/>
      <c r="H122" s="746" t="s">
        <v>23</v>
      </c>
      <c r="I122" s="721"/>
      <c r="J122" s="535"/>
      <c r="K122" s="535"/>
      <c r="L122" s="546"/>
      <c r="M122" s="537"/>
      <c r="N122" s="521"/>
      <c r="O122" s="521"/>
      <c r="P122" s="521"/>
      <c r="Q122" s="521"/>
      <c r="R122" s="521"/>
      <c r="S122" s="521"/>
      <c r="T122" s="521"/>
      <c r="U122" s="521"/>
      <c r="V122" s="521"/>
      <c r="W122" s="521"/>
      <c r="X122" s="521"/>
      <c r="Y122" s="521"/>
      <c r="Z122" s="521"/>
      <c r="AA122" s="521"/>
      <c r="AB122" s="521"/>
      <c r="AC122" s="521"/>
      <c r="AD122" s="521"/>
      <c r="AE122" s="521"/>
      <c r="AF122" s="521"/>
      <c r="AG122" s="521"/>
      <c r="AH122" s="521"/>
      <c r="AI122" s="521"/>
      <c r="AJ122" s="521"/>
      <c r="AK122" s="521"/>
      <c r="AL122" s="521"/>
      <c r="AM122" s="521"/>
      <c r="AN122" s="521"/>
      <c r="AO122" s="521"/>
      <c r="AP122" s="521"/>
      <c r="AQ122" s="521"/>
      <c r="AR122" s="521"/>
      <c r="AS122" s="521"/>
      <c r="AT122" s="521"/>
      <c r="AU122" s="521"/>
      <c r="AV122" s="521"/>
      <c r="AW122" s="521"/>
      <c r="AX122" s="521"/>
      <c r="AY122" s="521"/>
      <c r="AZ122" s="521"/>
      <c r="BA122" s="521"/>
      <c r="BB122" s="521"/>
      <c r="BC122" s="521"/>
      <c r="BD122" s="521"/>
      <c r="BE122" s="521"/>
      <c r="BF122" s="521"/>
      <c r="BG122" s="521"/>
      <c r="BH122" s="521"/>
      <c r="BI122" s="521"/>
      <c r="BJ122" s="521"/>
      <c r="BK122" s="521"/>
      <c r="BL122" s="521"/>
      <c r="BM122" s="521"/>
      <c r="BN122" s="521"/>
      <c r="BO122" s="521"/>
      <c r="BP122" s="521"/>
      <c r="BQ122" s="521"/>
      <c r="BR122" s="521"/>
      <c r="BS122" s="521"/>
      <c r="BT122" s="521"/>
      <c r="BU122" s="521"/>
      <c r="BV122" s="521"/>
      <c r="BW122" s="521"/>
      <c r="BX122" s="521"/>
      <c r="BY122" s="521"/>
      <c r="BZ122" s="521"/>
      <c r="CA122" s="521"/>
      <c r="CB122" s="521"/>
      <c r="CC122" s="521"/>
      <c r="CD122" s="521"/>
      <c r="CE122" s="521"/>
      <c r="CF122" s="521"/>
      <c r="CG122" s="521"/>
      <c r="CH122" s="521"/>
      <c r="CI122" s="521"/>
      <c r="CJ122" s="521"/>
      <c r="CK122" s="521"/>
      <c r="CL122" s="521"/>
      <c r="CM122" s="521"/>
      <c r="CN122" s="521"/>
      <c r="CO122" s="521"/>
      <c r="CP122" s="521"/>
      <c r="CQ122" s="521"/>
      <c r="CR122" s="521"/>
      <c r="CS122" s="521"/>
      <c r="CT122" s="521"/>
      <c r="CU122" s="521"/>
      <c r="CV122" s="521"/>
      <c r="CW122" s="521"/>
      <c r="CX122" s="521"/>
      <c r="CY122" s="521"/>
      <c r="CZ122" s="521"/>
      <c r="DA122" s="521"/>
      <c r="DB122" s="521"/>
      <c r="DC122" s="521"/>
      <c r="DD122" s="521"/>
      <c r="DE122" s="521"/>
      <c r="DF122" s="521"/>
      <c r="DG122" s="521"/>
      <c r="DH122" s="521"/>
      <c r="DI122" s="521"/>
      <c r="DJ122" s="521"/>
      <c r="DK122" s="521"/>
      <c r="DL122" s="521"/>
      <c r="DM122" s="521"/>
      <c r="DN122" s="521"/>
      <c r="DO122" s="521"/>
      <c r="DP122" s="521"/>
      <c r="DQ122" s="521"/>
      <c r="DR122" s="521"/>
      <c r="DS122" s="521"/>
      <c r="DT122" s="521"/>
      <c r="DU122" s="521"/>
      <c r="DV122" s="521"/>
      <c r="DW122" s="521"/>
      <c r="DX122" s="521"/>
      <c r="DY122" s="521"/>
      <c r="DZ122" s="521"/>
      <c r="EA122" s="521"/>
      <c r="EB122" s="521"/>
      <c r="EC122" s="521"/>
      <c r="ED122" s="521"/>
      <c r="EE122" s="521"/>
      <c r="EF122" s="521"/>
      <c r="EG122" s="521"/>
      <c r="EH122" s="521"/>
      <c r="EI122" s="521"/>
      <c r="EJ122" s="521"/>
      <c r="EK122" s="521"/>
      <c r="EL122" s="521"/>
      <c r="EM122" s="521"/>
      <c r="EN122" s="521"/>
      <c r="EO122" s="521"/>
      <c r="EP122" s="521"/>
      <c r="EQ122" s="521"/>
      <c r="ER122" s="521"/>
      <c r="ES122" s="521"/>
      <c r="ET122" s="521"/>
      <c r="EU122" s="521"/>
      <c r="EV122" s="521"/>
      <c r="EW122" s="521"/>
      <c r="EX122" s="521"/>
      <c r="EY122" s="521"/>
      <c r="EZ122" s="521"/>
      <c r="FA122" s="521"/>
      <c r="FB122" s="521"/>
      <c r="FC122" s="521"/>
      <c r="FD122" s="521"/>
      <c r="FE122" s="521"/>
      <c r="FF122" s="521"/>
      <c r="FG122" s="521"/>
      <c r="FH122" s="521"/>
      <c r="FI122" s="521"/>
      <c r="FJ122" s="521"/>
      <c r="FK122" s="521"/>
      <c r="FL122" s="521"/>
      <c r="FM122" s="521"/>
      <c r="FN122" s="521"/>
      <c r="FO122" s="521"/>
      <c r="FP122" s="521"/>
      <c r="FQ122" s="521"/>
      <c r="FR122" s="521"/>
      <c r="FS122" s="521"/>
      <c r="FT122" s="521"/>
      <c r="FU122" s="521"/>
      <c r="FV122" s="521"/>
      <c r="FW122" s="521"/>
      <c r="FX122" s="521"/>
      <c r="FY122" s="521"/>
      <c r="FZ122" s="521"/>
      <c r="GA122" s="521"/>
      <c r="GB122" s="521"/>
      <c r="GC122" s="521"/>
      <c r="GD122" s="521"/>
      <c r="GE122" s="521"/>
      <c r="GF122" s="521"/>
      <c r="GG122" s="521"/>
      <c r="GH122" s="521"/>
      <c r="GI122" s="521"/>
      <c r="GJ122" s="521"/>
      <c r="GK122" s="521"/>
      <c r="GL122" s="521"/>
      <c r="GM122" s="521"/>
      <c r="GN122" s="521"/>
      <c r="GO122" s="521"/>
      <c r="GP122" s="521"/>
      <c r="GQ122" s="521"/>
      <c r="GR122" s="521"/>
      <c r="GS122" s="521"/>
      <c r="GT122" s="521"/>
      <c r="GU122" s="521"/>
      <c r="GV122" s="521"/>
      <c r="GW122" s="521"/>
      <c r="GX122" s="521"/>
      <c r="GY122" s="521"/>
      <c r="GZ122" s="521"/>
      <c r="HA122" s="521"/>
      <c r="HB122" s="521"/>
      <c r="HC122" s="521"/>
      <c r="HD122" s="521"/>
      <c r="HE122" s="521"/>
      <c r="HF122" s="521"/>
      <c r="HG122" s="521"/>
      <c r="HH122" s="521"/>
      <c r="HI122" s="521"/>
      <c r="HJ122" s="521"/>
      <c r="HK122" s="521"/>
      <c r="HL122" s="521"/>
      <c r="HM122" s="521"/>
      <c r="HN122" s="521"/>
      <c r="HO122" s="521"/>
      <c r="HP122" s="521"/>
      <c r="HQ122" s="521"/>
      <c r="HR122" s="521"/>
      <c r="HS122" s="521"/>
      <c r="HT122" s="521"/>
      <c r="HU122" s="521"/>
      <c r="HV122" s="521"/>
      <c r="HW122" s="521"/>
      <c r="HX122" s="521"/>
      <c r="HY122" s="521"/>
      <c r="HZ122" s="521"/>
      <c r="IA122" s="521"/>
      <c r="IB122" s="521"/>
      <c r="IC122" s="521"/>
      <c r="ID122" s="521"/>
      <c r="IE122" s="521"/>
      <c r="IF122" s="521"/>
      <c r="IG122" s="521"/>
      <c r="IH122" s="521"/>
      <c r="II122" s="521"/>
      <c r="IJ122" s="521"/>
      <c r="IK122" s="521"/>
      <c r="IL122" s="521"/>
      <c r="IM122" s="521"/>
      <c r="IN122" s="521"/>
      <c r="IO122" s="521"/>
      <c r="IP122" s="521"/>
      <c r="IQ122" s="521"/>
    </row>
    <row r="123" spans="1:251" s="1267" customFormat="1" ht="18" customHeight="1">
      <c r="A123" s="520">
        <v>114</v>
      </c>
      <c r="B123" s="1260"/>
      <c r="C123" s="1261"/>
      <c r="D123" s="589" t="s">
        <v>283</v>
      </c>
      <c r="E123" s="1258"/>
      <c r="F123" s="1262"/>
      <c r="G123" s="1294"/>
      <c r="H123" s="1263"/>
      <c r="I123" s="1264"/>
      <c r="J123" s="1258">
        <v>40000</v>
      </c>
      <c r="K123" s="1258"/>
      <c r="L123" s="1259">
        <f>SUM(I123:K123)</f>
        <v>40000</v>
      </c>
      <c r="M123" s="1265"/>
      <c r="N123" s="1266"/>
      <c r="O123" s="1266"/>
      <c r="P123" s="1266"/>
      <c r="Q123" s="1266"/>
      <c r="R123" s="1266"/>
      <c r="S123" s="1266"/>
      <c r="T123" s="1266"/>
      <c r="U123" s="1266"/>
      <c r="V123" s="1266"/>
      <c r="W123" s="1266"/>
      <c r="X123" s="1266"/>
      <c r="Y123" s="1266"/>
      <c r="Z123" s="1266"/>
      <c r="AA123" s="1266"/>
      <c r="AB123" s="1266"/>
      <c r="AC123" s="1266"/>
      <c r="AD123" s="1266"/>
      <c r="AE123" s="1266"/>
      <c r="AF123" s="1266"/>
      <c r="AG123" s="1266"/>
      <c r="AH123" s="1266"/>
      <c r="AI123" s="1266"/>
      <c r="AJ123" s="1266"/>
      <c r="AK123" s="1266"/>
      <c r="AL123" s="1266"/>
      <c r="AM123" s="1266"/>
      <c r="AN123" s="1266"/>
      <c r="AO123" s="1266"/>
      <c r="AP123" s="1266"/>
      <c r="AQ123" s="1266"/>
      <c r="AR123" s="1266"/>
      <c r="AS123" s="1266"/>
      <c r="AT123" s="1266"/>
      <c r="AU123" s="1266"/>
      <c r="AV123" s="1266"/>
      <c r="AW123" s="1266"/>
      <c r="AX123" s="1266"/>
      <c r="AY123" s="1266"/>
      <c r="AZ123" s="1266"/>
      <c r="BA123" s="1266"/>
      <c r="BB123" s="1266"/>
      <c r="BC123" s="1266"/>
      <c r="BD123" s="1266"/>
      <c r="BE123" s="1266"/>
      <c r="BF123" s="1266"/>
      <c r="BG123" s="1266"/>
      <c r="BH123" s="1266"/>
      <c r="BI123" s="1266"/>
      <c r="BJ123" s="1266"/>
      <c r="BK123" s="1266"/>
      <c r="BL123" s="1266"/>
      <c r="BM123" s="1266"/>
      <c r="BN123" s="1266"/>
      <c r="BO123" s="1266"/>
      <c r="BP123" s="1266"/>
      <c r="BQ123" s="1266"/>
      <c r="BR123" s="1266"/>
      <c r="BS123" s="1266"/>
      <c r="BT123" s="1266"/>
      <c r="BU123" s="1266"/>
      <c r="BV123" s="1266"/>
      <c r="BW123" s="1266"/>
      <c r="BX123" s="1266"/>
      <c r="BY123" s="1266"/>
      <c r="BZ123" s="1266"/>
      <c r="CA123" s="1266"/>
      <c r="CB123" s="1266"/>
      <c r="CC123" s="1266"/>
      <c r="CD123" s="1266"/>
      <c r="CE123" s="1266"/>
      <c r="CF123" s="1266"/>
      <c r="CG123" s="1266"/>
      <c r="CH123" s="1266"/>
      <c r="CI123" s="1266"/>
      <c r="CJ123" s="1266"/>
      <c r="CK123" s="1266"/>
      <c r="CL123" s="1266"/>
      <c r="CM123" s="1266"/>
      <c r="CN123" s="1266"/>
      <c r="CO123" s="1266"/>
      <c r="CP123" s="1266"/>
      <c r="CQ123" s="1266"/>
      <c r="CR123" s="1266"/>
      <c r="CS123" s="1266"/>
      <c r="CT123" s="1266"/>
      <c r="CU123" s="1266"/>
      <c r="CV123" s="1266"/>
      <c r="CW123" s="1266"/>
      <c r="CX123" s="1266"/>
      <c r="CY123" s="1266"/>
      <c r="CZ123" s="1266"/>
      <c r="DA123" s="1266"/>
      <c r="DB123" s="1266"/>
      <c r="DC123" s="1266"/>
      <c r="DD123" s="1266"/>
      <c r="DE123" s="1266"/>
      <c r="DF123" s="1266"/>
      <c r="DG123" s="1266"/>
      <c r="DH123" s="1266"/>
      <c r="DI123" s="1266"/>
      <c r="DJ123" s="1266"/>
      <c r="DK123" s="1266"/>
      <c r="DL123" s="1266"/>
      <c r="DM123" s="1266"/>
      <c r="DN123" s="1266"/>
      <c r="DO123" s="1266"/>
      <c r="DP123" s="1266"/>
      <c r="DQ123" s="1266"/>
      <c r="DR123" s="1266"/>
      <c r="DS123" s="1266"/>
      <c r="DT123" s="1266"/>
      <c r="DU123" s="1266"/>
      <c r="DV123" s="1266"/>
      <c r="DW123" s="1266"/>
      <c r="DX123" s="1266"/>
      <c r="DY123" s="1266"/>
      <c r="DZ123" s="1266"/>
      <c r="EA123" s="1266"/>
      <c r="EB123" s="1266"/>
      <c r="EC123" s="1266"/>
      <c r="ED123" s="1266"/>
      <c r="EE123" s="1266"/>
      <c r="EF123" s="1266"/>
      <c r="EG123" s="1266"/>
      <c r="EH123" s="1266"/>
      <c r="EI123" s="1266"/>
      <c r="EJ123" s="1266"/>
      <c r="EK123" s="1266"/>
      <c r="EL123" s="1266"/>
      <c r="EM123" s="1266"/>
      <c r="EN123" s="1266"/>
      <c r="EO123" s="1266"/>
      <c r="EP123" s="1266"/>
      <c r="EQ123" s="1266"/>
      <c r="ER123" s="1266"/>
      <c r="ES123" s="1266"/>
      <c r="ET123" s="1266"/>
      <c r="EU123" s="1266"/>
      <c r="EV123" s="1266"/>
      <c r="EW123" s="1266"/>
      <c r="EX123" s="1266"/>
      <c r="EY123" s="1266"/>
      <c r="EZ123" s="1266"/>
      <c r="FA123" s="1266"/>
      <c r="FB123" s="1266"/>
      <c r="FC123" s="1266"/>
      <c r="FD123" s="1266"/>
      <c r="FE123" s="1266"/>
      <c r="FF123" s="1266"/>
      <c r="FG123" s="1266"/>
      <c r="FH123" s="1266"/>
      <c r="FI123" s="1266"/>
      <c r="FJ123" s="1266"/>
      <c r="FK123" s="1266"/>
      <c r="FL123" s="1266"/>
      <c r="FM123" s="1266"/>
      <c r="FN123" s="1266"/>
      <c r="FO123" s="1266"/>
      <c r="FP123" s="1266"/>
      <c r="FQ123" s="1266"/>
      <c r="FR123" s="1266"/>
      <c r="FS123" s="1266"/>
      <c r="FT123" s="1266"/>
      <c r="FU123" s="1266"/>
      <c r="FV123" s="1266"/>
      <c r="FW123" s="1266"/>
      <c r="FX123" s="1266"/>
      <c r="FY123" s="1266"/>
      <c r="FZ123" s="1266"/>
      <c r="GA123" s="1266"/>
      <c r="GB123" s="1266"/>
      <c r="GC123" s="1266"/>
      <c r="GD123" s="1266"/>
      <c r="GE123" s="1266"/>
      <c r="GF123" s="1266"/>
      <c r="GG123" s="1266"/>
      <c r="GH123" s="1266"/>
      <c r="GI123" s="1266"/>
      <c r="GJ123" s="1266"/>
      <c r="GK123" s="1266"/>
      <c r="GL123" s="1266"/>
      <c r="GM123" s="1266"/>
      <c r="GN123" s="1266"/>
      <c r="GO123" s="1266"/>
      <c r="GP123" s="1266"/>
      <c r="GQ123" s="1266"/>
      <c r="GR123" s="1266"/>
      <c r="GS123" s="1266"/>
      <c r="GT123" s="1266"/>
      <c r="GU123" s="1266"/>
      <c r="GV123" s="1266"/>
      <c r="GW123" s="1266"/>
      <c r="GX123" s="1266"/>
      <c r="GY123" s="1266"/>
      <c r="GZ123" s="1266"/>
      <c r="HA123" s="1266"/>
      <c r="HB123" s="1266"/>
      <c r="HC123" s="1266"/>
      <c r="HD123" s="1266"/>
      <c r="HE123" s="1266"/>
      <c r="HF123" s="1266"/>
      <c r="HG123" s="1266"/>
      <c r="HH123" s="1266"/>
      <c r="HI123" s="1266"/>
      <c r="HJ123" s="1266"/>
      <c r="HK123" s="1266"/>
      <c r="HL123" s="1266"/>
      <c r="HM123" s="1266"/>
      <c r="HN123" s="1266"/>
      <c r="HO123" s="1266"/>
      <c r="HP123" s="1266"/>
      <c r="HQ123" s="1266"/>
      <c r="HR123" s="1266"/>
      <c r="HS123" s="1266"/>
      <c r="HT123" s="1266"/>
      <c r="HU123" s="1266"/>
      <c r="HV123" s="1266"/>
      <c r="HW123" s="1266"/>
      <c r="HX123" s="1266"/>
      <c r="HY123" s="1266"/>
      <c r="HZ123" s="1266"/>
      <c r="IA123" s="1266"/>
      <c r="IB123" s="1266"/>
      <c r="IC123" s="1266"/>
      <c r="ID123" s="1266"/>
      <c r="IE123" s="1266"/>
      <c r="IF123" s="1266"/>
      <c r="IG123" s="1266"/>
      <c r="IH123" s="1266"/>
      <c r="II123" s="1266"/>
      <c r="IJ123" s="1266"/>
      <c r="IK123" s="1266"/>
      <c r="IL123" s="1266"/>
      <c r="IM123" s="1266"/>
      <c r="IN123" s="1266"/>
      <c r="IO123" s="1266"/>
      <c r="IP123" s="1266"/>
      <c r="IQ123" s="1266"/>
    </row>
    <row r="124" spans="1:251" s="1267" customFormat="1" ht="18" customHeight="1">
      <c r="A124" s="520">
        <v>115</v>
      </c>
      <c r="B124" s="1260"/>
      <c r="C124" s="1261"/>
      <c r="D124" s="478" t="s">
        <v>757</v>
      </c>
      <c r="E124" s="1258"/>
      <c r="F124" s="1262"/>
      <c r="G124" s="1294"/>
      <c r="H124" s="1263"/>
      <c r="I124" s="1264"/>
      <c r="J124" s="1351">
        <v>33812</v>
      </c>
      <c r="K124" s="1351"/>
      <c r="L124" s="1447">
        <f>SUM(I124:K124)</f>
        <v>33812</v>
      </c>
      <c r="M124" s="1265"/>
      <c r="N124" s="1266"/>
      <c r="O124" s="1266"/>
      <c r="P124" s="1266"/>
      <c r="Q124" s="1266"/>
      <c r="R124" s="1266"/>
      <c r="S124" s="1266"/>
      <c r="T124" s="1266"/>
      <c r="U124" s="1266"/>
      <c r="V124" s="1266"/>
      <c r="W124" s="1266"/>
      <c r="X124" s="1266"/>
      <c r="Y124" s="1266"/>
      <c r="Z124" s="1266"/>
      <c r="AA124" s="1266"/>
      <c r="AB124" s="1266"/>
      <c r="AC124" s="1266"/>
      <c r="AD124" s="1266"/>
      <c r="AE124" s="1266"/>
      <c r="AF124" s="1266"/>
      <c r="AG124" s="1266"/>
      <c r="AH124" s="1266"/>
      <c r="AI124" s="1266"/>
      <c r="AJ124" s="1266"/>
      <c r="AK124" s="1266"/>
      <c r="AL124" s="1266"/>
      <c r="AM124" s="1266"/>
      <c r="AN124" s="1266"/>
      <c r="AO124" s="1266"/>
      <c r="AP124" s="1266"/>
      <c r="AQ124" s="1266"/>
      <c r="AR124" s="1266"/>
      <c r="AS124" s="1266"/>
      <c r="AT124" s="1266"/>
      <c r="AU124" s="1266"/>
      <c r="AV124" s="1266"/>
      <c r="AW124" s="1266"/>
      <c r="AX124" s="1266"/>
      <c r="AY124" s="1266"/>
      <c r="AZ124" s="1266"/>
      <c r="BA124" s="1266"/>
      <c r="BB124" s="1266"/>
      <c r="BC124" s="1266"/>
      <c r="BD124" s="1266"/>
      <c r="BE124" s="1266"/>
      <c r="BF124" s="1266"/>
      <c r="BG124" s="1266"/>
      <c r="BH124" s="1266"/>
      <c r="BI124" s="1266"/>
      <c r="BJ124" s="1266"/>
      <c r="BK124" s="1266"/>
      <c r="BL124" s="1266"/>
      <c r="BM124" s="1266"/>
      <c r="BN124" s="1266"/>
      <c r="BO124" s="1266"/>
      <c r="BP124" s="1266"/>
      <c r="BQ124" s="1266"/>
      <c r="BR124" s="1266"/>
      <c r="BS124" s="1266"/>
      <c r="BT124" s="1266"/>
      <c r="BU124" s="1266"/>
      <c r="BV124" s="1266"/>
      <c r="BW124" s="1266"/>
      <c r="BX124" s="1266"/>
      <c r="BY124" s="1266"/>
      <c r="BZ124" s="1266"/>
      <c r="CA124" s="1266"/>
      <c r="CB124" s="1266"/>
      <c r="CC124" s="1266"/>
      <c r="CD124" s="1266"/>
      <c r="CE124" s="1266"/>
      <c r="CF124" s="1266"/>
      <c r="CG124" s="1266"/>
      <c r="CH124" s="1266"/>
      <c r="CI124" s="1266"/>
      <c r="CJ124" s="1266"/>
      <c r="CK124" s="1266"/>
      <c r="CL124" s="1266"/>
      <c r="CM124" s="1266"/>
      <c r="CN124" s="1266"/>
      <c r="CO124" s="1266"/>
      <c r="CP124" s="1266"/>
      <c r="CQ124" s="1266"/>
      <c r="CR124" s="1266"/>
      <c r="CS124" s="1266"/>
      <c r="CT124" s="1266"/>
      <c r="CU124" s="1266"/>
      <c r="CV124" s="1266"/>
      <c r="CW124" s="1266"/>
      <c r="CX124" s="1266"/>
      <c r="CY124" s="1266"/>
      <c r="CZ124" s="1266"/>
      <c r="DA124" s="1266"/>
      <c r="DB124" s="1266"/>
      <c r="DC124" s="1266"/>
      <c r="DD124" s="1266"/>
      <c r="DE124" s="1266"/>
      <c r="DF124" s="1266"/>
      <c r="DG124" s="1266"/>
      <c r="DH124" s="1266"/>
      <c r="DI124" s="1266"/>
      <c r="DJ124" s="1266"/>
      <c r="DK124" s="1266"/>
      <c r="DL124" s="1266"/>
      <c r="DM124" s="1266"/>
      <c r="DN124" s="1266"/>
      <c r="DO124" s="1266"/>
      <c r="DP124" s="1266"/>
      <c r="DQ124" s="1266"/>
      <c r="DR124" s="1266"/>
      <c r="DS124" s="1266"/>
      <c r="DT124" s="1266"/>
      <c r="DU124" s="1266"/>
      <c r="DV124" s="1266"/>
      <c r="DW124" s="1266"/>
      <c r="DX124" s="1266"/>
      <c r="DY124" s="1266"/>
      <c r="DZ124" s="1266"/>
      <c r="EA124" s="1266"/>
      <c r="EB124" s="1266"/>
      <c r="EC124" s="1266"/>
      <c r="ED124" s="1266"/>
      <c r="EE124" s="1266"/>
      <c r="EF124" s="1266"/>
      <c r="EG124" s="1266"/>
      <c r="EH124" s="1266"/>
      <c r="EI124" s="1266"/>
      <c r="EJ124" s="1266"/>
      <c r="EK124" s="1266"/>
      <c r="EL124" s="1266"/>
      <c r="EM124" s="1266"/>
      <c r="EN124" s="1266"/>
      <c r="EO124" s="1266"/>
      <c r="EP124" s="1266"/>
      <c r="EQ124" s="1266"/>
      <c r="ER124" s="1266"/>
      <c r="ES124" s="1266"/>
      <c r="ET124" s="1266"/>
      <c r="EU124" s="1266"/>
      <c r="EV124" s="1266"/>
      <c r="EW124" s="1266"/>
      <c r="EX124" s="1266"/>
      <c r="EY124" s="1266"/>
      <c r="EZ124" s="1266"/>
      <c r="FA124" s="1266"/>
      <c r="FB124" s="1266"/>
      <c r="FC124" s="1266"/>
      <c r="FD124" s="1266"/>
      <c r="FE124" s="1266"/>
      <c r="FF124" s="1266"/>
      <c r="FG124" s="1266"/>
      <c r="FH124" s="1266"/>
      <c r="FI124" s="1266"/>
      <c r="FJ124" s="1266"/>
      <c r="FK124" s="1266"/>
      <c r="FL124" s="1266"/>
      <c r="FM124" s="1266"/>
      <c r="FN124" s="1266"/>
      <c r="FO124" s="1266"/>
      <c r="FP124" s="1266"/>
      <c r="FQ124" s="1266"/>
      <c r="FR124" s="1266"/>
      <c r="FS124" s="1266"/>
      <c r="FT124" s="1266"/>
      <c r="FU124" s="1266"/>
      <c r="FV124" s="1266"/>
      <c r="FW124" s="1266"/>
      <c r="FX124" s="1266"/>
      <c r="FY124" s="1266"/>
      <c r="FZ124" s="1266"/>
      <c r="GA124" s="1266"/>
      <c r="GB124" s="1266"/>
      <c r="GC124" s="1266"/>
      <c r="GD124" s="1266"/>
      <c r="GE124" s="1266"/>
      <c r="GF124" s="1266"/>
      <c r="GG124" s="1266"/>
      <c r="GH124" s="1266"/>
      <c r="GI124" s="1266"/>
      <c r="GJ124" s="1266"/>
      <c r="GK124" s="1266"/>
      <c r="GL124" s="1266"/>
      <c r="GM124" s="1266"/>
      <c r="GN124" s="1266"/>
      <c r="GO124" s="1266"/>
      <c r="GP124" s="1266"/>
      <c r="GQ124" s="1266"/>
      <c r="GR124" s="1266"/>
      <c r="GS124" s="1266"/>
      <c r="GT124" s="1266"/>
      <c r="GU124" s="1266"/>
      <c r="GV124" s="1266"/>
      <c r="GW124" s="1266"/>
      <c r="GX124" s="1266"/>
      <c r="GY124" s="1266"/>
      <c r="GZ124" s="1266"/>
      <c r="HA124" s="1266"/>
      <c r="HB124" s="1266"/>
      <c r="HC124" s="1266"/>
      <c r="HD124" s="1266"/>
      <c r="HE124" s="1266"/>
      <c r="HF124" s="1266"/>
      <c r="HG124" s="1266"/>
      <c r="HH124" s="1266"/>
      <c r="HI124" s="1266"/>
      <c r="HJ124" s="1266"/>
      <c r="HK124" s="1266"/>
      <c r="HL124" s="1266"/>
      <c r="HM124" s="1266"/>
      <c r="HN124" s="1266"/>
      <c r="HO124" s="1266"/>
      <c r="HP124" s="1266"/>
      <c r="HQ124" s="1266"/>
      <c r="HR124" s="1266"/>
      <c r="HS124" s="1266"/>
      <c r="HT124" s="1266"/>
      <c r="HU124" s="1266"/>
      <c r="HV124" s="1266"/>
      <c r="HW124" s="1266"/>
      <c r="HX124" s="1266"/>
      <c r="HY124" s="1266"/>
      <c r="HZ124" s="1266"/>
      <c r="IA124" s="1266"/>
      <c r="IB124" s="1266"/>
      <c r="IC124" s="1266"/>
      <c r="ID124" s="1266"/>
      <c r="IE124" s="1266"/>
      <c r="IF124" s="1266"/>
      <c r="IG124" s="1266"/>
      <c r="IH124" s="1266"/>
      <c r="II124" s="1266"/>
      <c r="IJ124" s="1266"/>
      <c r="IK124" s="1266"/>
      <c r="IL124" s="1266"/>
      <c r="IM124" s="1266"/>
      <c r="IN124" s="1266"/>
      <c r="IO124" s="1266"/>
      <c r="IP124" s="1266"/>
      <c r="IQ124" s="1266"/>
    </row>
    <row r="125" spans="1:251" ht="18" customHeight="1">
      <c r="A125" s="520">
        <v>116</v>
      </c>
      <c r="B125" s="533"/>
      <c r="C125" s="538"/>
      <c r="D125" s="1090" t="s">
        <v>892</v>
      </c>
      <c r="E125" s="535"/>
      <c r="F125" s="536"/>
      <c r="G125" s="1293"/>
      <c r="H125" s="746"/>
      <c r="I125" s="721"/>
      <c r="J125" s="1291">
        <v>0</v>
      </c>
      <c r="K125" s="1291"/>
      <c r="L125" s="1138">
        <f>SUM(I125:K125)</f>
        <v>0</v>
      </c>
      <c r="M125" s="537"/>
      <c r="N125" s="521"/>
      <c r="O125" s="521"/>
      <c r="P125" s="521"/>
      <c r="Q125" s="521"/>
      <c r="R125" s="521"/>
      <c r="S125" s="521"/>
      <c r="T125" s="521"/>
      <c r="U125" s="521"/>
      <c r="V125" s="521"/>
      <c r="W125" s="521"/>
      <c r="X125" s="521"/>
      <c r="Y125" s="521"/>
      <c r="Z125" s="521"/>
      <c r="AA125" s="521"/>
      <c r="AB125" s="521"/>
      <c r="AC125" s="521"/>
      <c r="AD125" s="521"/>
      <c r="AE125" s="521"/>
      <c r="AF125" s="521"/>
      <c r="AG125" s="521"/>
      <c r="AH125" s="521"/>
      <c r="AI125" s="521"/>
      <c r="AJ125" s="521"/>
      <c r="AK125" s="521"/>
      <c r="AL125" s="521"/>
      <c r="AM125" s="521"/>
      <c r="AN125" s="521"/>
      <c r="AO125" s="521"/>
      <c r="AP125" s="521"/>
      <c r="AQ125" s="521"/>
      <c r="AR125" s="521"/>
      <c r="AS125" s="521"/>
      <c r="AT125" s="521"/>
      <c r="AU125" s="521"/>
      <c r="AV125" s="521"/>
      <c r="AW125" s="521"/>
      <c r="AX125" s="521"/>
      <c r="AY125" s="521"/>
      <c r="AZ125" s="521"/>
      <c r="BA125" s="521"/>
      <c r="BB125" s="521"/>
      <c r="BC125" s="521"/>
      <c r="BD125" s="521"/>
      <c r="BE125" s="521"/>
      <c r="BF125" s="521"/>
      <c r="BG125" s="521"/>
      <c r="BH125" s="521"/>
      <c r="BI125" s="521"/>
      <c r="BJ125" s="521"/>
      <c r="BK125" s="521"/>
      <c r="BL125" s="521"/>
      <c r="BM125" s="521"/>
      <c r="BN125" s="521"/>
      <c r="BO125" s="521"/>
      <c r="BP125" s="521"/>
      <c r="BQ125" s="521"/>
      <c r="BR125" s="521"/>
      <c r="BS125" s="521"/>
      <c r="BT125" s="521"/>
      <c r="BU125" s="521"/>
      <c r="BV125" s="521"/>
      <c r="BW125" s="521"/>
      <c r="BX125" s="521"/>
      <c r="BY125" s="521"/>
      <c r="BZ125" s="521"/>
      <c r="CA125" s="521"/>
      <c r="CB125" s="521"/>
      <c r="CC125" s="521"/>
      <c r="CD125" s="521"/>
      <c r="CE125" s="521"/>
      <c r="CF125" s="521"/>
      <c r="CG125" s="521"/>
      <c r="CH125" s="521"/>
      <c r="CI125" s="521"/>
      <c r="CJ125" s="521"/>
      <c r="CK125" s="521"/>
      <c r="CL125" s="521"/>
      <c r="CM125" s="521"/>
      <c r="CN125" s="521"/>
      <c r="CO125" s="521"/>
      <c r="CP125" s="521"/>
      <c r="CQ125" s="521"/>
      <c r="CR125" s="521"/>
      <c r="CS125" s="521"/>
      <c r="CT125" s="521"/>
      <c r="CU125" s="521"/>
      <c r="CV125" s="521"/>
      <c r="CW125" s="521"/>
      <c r="CX125" s="521"/>
      <c r="CY125" s="521"/>
      <c r="CZ125" s="521"/>
      <c r="DA125" s="521"/>
      <c r="DB125" s="521"/>
      <c r="DC125" s="521"/>
      <c r="DD125" s="521"/>
      <c r="DE125" s="521"/>
      <c r="DF125" s="521"/>
      <c r="DG125" s="521"/>
      <c r="DH125" s="521"/>
      <c r="DI125" s="521"/>
      <c r="DJ125" s="521"/>
      <c r="DK125" s="521"/>
      <c r="DL125" s="521"/>
      <c r="DM125" s="521"/>
      <c r="DN125" s="521"/>
      <c r="DO125" s="521"/>
      <c r="DP125" s="521"/>
      <c r="DQ125" s="521"/>
      <c r="DR125" s="521"/>
      <c r="DS125" s="521"/>
      <c r="DT125" s="521"/>
      <c r="DU125" s="521"/>
      <c r="DV125" s="521"/>
      <c r="DW125" s="521"/>
      <c r="DX125" s="521"/>
      <c r="DY125" s="521"/>
      <c r="DZ125" s="521"/>
      <c r="EA125" s="521"/>
      <c r="EB125" s="521"/>
      <c r="EC125" s="521"/>
      <c r="ED125" s="521"/>
      <c r="EE125" s="521"/>
      <c r="EF125" s="521"/>
      <c r="EG125" s="521"/>
      <c r="EH125" s="521"/>
      <c r="EI125" s="521"/>
      <c r="EJ125" s="521"/>
      <c r="EK125" s="521"/>
      <c r="EL125" s="521"/>
      <c r="EM125" s="521"/>
      <c r="EN125" s="521"/>
      <c r="EO125" s="521"/>
      <c r="EP125" s="521"/>
      <c r="EQ125" s="521"/>
      <c r="ER125" s="521"/>
      <c r="ES125" s="521"/>
      <c r="ET125" s="521"/>
      <c r="EU125" s="521"/>
      <c r="EV125" s="521"/>
      <c r="EW125" s="521"/>
      <c r="EX125" s="521"/>
      <c r="EY125" s="521"/>
      <c r="EZ125" s="521"/>
      <c r="FA125" s="521"/>
      <c r="FB125" s="521"/>
      <c r="FC125" s="521"/>
      <c r="FD125" s="521"/>
      <c r="FE125" s="521"/>
      <c r="FF125" s="521"/>
      <c r="FG125" s="521"/>
      <c r="FH125" s="521"/>
      <c r="FI125" s="521"/>
      <c r="FJ125" s="521"/>
      <c r="FK125" s="521"/>
      <c r="FL125" s="521"/>
      <c r="FM125" s="521"/>
      <c r="FN125" s="521"/>
      <c r="FO125" s="521"/>
      <c r="FP125" s="521"/>
      <c r="FQ125" s="521"/>
      <c r="FR125" s="521"/>
      <c r="FS125" s="521"/>
      <c r="FT125" s="521"/>
      <c r="FU125" s="521"/>
      <c r="FV125" s="521"/>
      <c r="FW125" s="521"/>
      <c r="FX125" s="521"/>
      <c r="FY125" s="521"/>
      <c r="FZ125" s="521"/>
      <c r="GA125" s="521"/>
      <c r="GB125" s="521"/>
      <c r="GC125" s="521"/>
      <c r="GD125" s="521"/>
      <c r="GE125" s="521"/>
      <c r="GF125" s="521"/>
      <c r="GG125" s="521"/>
      <c r="GH125" s="521"/>
      <c r="GI125" s="521"/>
      <c r="GJ125" s="521"/>
      <c r="GK125" s="521"/>
      <c r="GL125" s="521"/>
      <c r="GM125" s="521"/>
      <c r="GN125" s="521"/>
      <c r="GO125" s="521"/>
      <c r="GP125" s="521"/>
      <c r="GQ125" s="521"/>
      <c r="GR125" s="521"/>
      <c r="GS125" s="521"/>
      <c r="GT125" s="521"/>
      <c r="GU125" s="521"/>
      <c r="GV125" s="521"/>
      <c r="GW125" s="521"/>
      <c r="GX125" s="521"/>
      <c r="GY125" s="521"/>
      <c r="GZ125" s="521"/>
      <c r="HA125" s="521"/>
      <c r="HB125" s="521"/>
      <c r="HC125" s="521"/>
      <c r="HD125" s="521"/>
      <c r="HE125" s="521"/>
      <c r="HF125" s="521"/>
      <c r="HG125" s="521"/>
      <c r="HH125" s="521"/>
      <c r="HI125" s="521"/>
      <c r="HJ125" s="521"/>
      <c r="HK125" s="521"/>
      <c r="HL125" s="521"/>
      <c r="HM125" s="521"/>
      <c r="HN125" s="521"/>
      <c r="HO125" s="521"/>
      <c r="HP125" s="521"/>
      <c r="HQ125" s="521"/>
      <c r="HR125" s="521"/>
      <c r="HS125" s="521"/>
      <c r="HT125" s="521"/>
      <c r="HU125" s="521"/>
      <c r="HV125" s="521"/>
      <c r="HW125" s="521"/>
      <c r="HX125" s="521"/>
      <c r="HY125" s="521"/>
      <c r="HZ125" s="521"/>
      <c r="IA125" s="521"/>
      <c r="IB125" s="521"/>
      <c r="IC125" s="521"/>
      <c r="ID125" s="521"/>
      <c r="IE125" s="521"/>
      <c r="IF125" s="521"/>
      <c r="IG125" s="521"/>
      <c r="IH125" s="521"/>
      <c r="II125" s="521"/>
      <c r="IJ125" s="521"/>
      <c r="IK125" s="521"/>
      <c r="IL125" s="521"/>
      <c r="IM125" s="521"/>
      <c r="IN125" s="521"/>
      <c r="IO125" s="521"/>
      <c r="IP125" s="521"/>
      <c r="IQ125" s="521"/>
    </row>
    <row r="126" spans="1:251" ht="29.25" customHeight="1">
      <c r="A126" s="520">
        <v>117</v>
      </c>
      <c r="B126" s="533"/>
      <c r="C126" s="538">
        <v>30</v>
      </c>
      <c r="D126" s="997" t="s">
        <v>631</v>
      </c>
      <c r="E126" s="535">
        <f>F126+G126+L128+M127</f>
        <v>12048</v>
      </c>
      <c r="F126" s="536"/>
      <c r="G126" s="1293"/>
      <c r="H126" s="746" t="s">
        <v>23</v>
      </c>
      <c r="I126" s="721"/>
      <c r="J126" s="535"/>
      <c r="K126" s="535"/>
      <c r="L126" s="546"/>
      <c r="M126" s="537"/>
      <c r="N126" s="521"/>
      <c r="O126" s="521"/>
      <c r="P126" s="521"/>
      <c r="Q126" s="521"/>
      <c r="R126" s="521"/>
      <c r="S126" s="521"/>
      <c r="T126" s="521"/>
      <c r="U126" s="521"/>
      <c r="V126" s="521"/>
      <c r="W126" s="521"/>
      <c r="X126" s="521"/>
      <c r="Y126" s="521"/>
      <c r="Z126" s="521"/>
      <c r="AA126" s="521"/>
      <c r="AB126" s="521"/>
      <c r="AC126" s="521"/>
      <c r="AD126" s="521"/>
      <c r="AE126" s="521"/>
      <c r="AF126" s="521"/>
      <c r="AG126" s="521"/>
      <c r="AH126" s="521"/>
      <c r="AI126" s="521"/>
      <c r="AJ126" s="521"/>
      <c r="AK126" s="521"/>
      <c r="AL126" s="521"/>
      <c r="AM126" s="521"/>
      <c r="AN126" s="521"/>
      <c r="AO126" s="521"/>
      <c r="AP126" s="521"/>
      <c r="AQ126" s="521"/>
      <c r="AR126" s="521"/>
      <c r="AS126" s="521"/>
      <c r="AT126" s="521"/>
      <c r="AU126" s="521"/>
      <c r="AV126" s="521"/>
      <c r="AW126" s="521"/>
      <c r="AX126" s="521"/>
      <c r="AY126" s="521"/>
      <c r="AZ126" s="521"/>
      <c r="BA126" s="521"/>
      <c r="BB126" s="521"/>
      <c r="BC126" s="521"/>
      <c r="BD126" s="521"/>
      <c r="BE126" s="521"/>
      <c r="BF126" s="521"/>
      <c r="BG126" s="521"/>
      <c r="BH126" s="521"/>
      <c r="BI126" s="521"/>
      <c r="BJ126" s="521"/>
      <c r="BK126" s="521"/>
      <c r="BL126" s="521"/>
      <c r="BM126" s="521"/>
      <c r="BN126" s="521"/>
      <c r="BO126" s="521"/>
      <c r="BP126" s="521"/>
      <c r="BQ126" s="521"/>
      <c r="BR126" s="521"/>
      <c r="BS126" s="521"/>
      <c r="BT126" s="521"/>
      <c r="BU126" s="521"/>
      <c r="BV126" s="521"/>
      <c r="BW126" s="521"/>
      <c r="BX126" s="521"/>
      <c r="BY126" s="521"/>
      <c r="BZ126" s="521"/>
      <c r="CA126" s="521"/>
      <c r="CB126" s="521"/>
      <c r="CC126" s="521"/>
      <c r="CD126" s="521"/>
      <c r="CE126" s="521"/>
      <c r="CF126" s="521"/>
      <c r="CG126" s="521"/>
      <c r="CH126" s="521"/>
      <c r="CI126" s="521"/>
      <c r="CJ126" s="521"/>
      <c r="CK126" s="521"/>
      <c r="CL126" s="521"/>
      <c r="CM126" s="521"/>
      <c r="CN126" s="521"/>
      <c r="CO126" s="521"/>
      <c r="CP126" s="521"/>
      <c r="CQ126" s="521"/>
      <c r="CR126" s="521"/>
      <c r="CS126" s="521"/>
      <c r="CT126" s="521"/>
      <c r="CU126" s="521"/>
      <c r="CV126" s="521"/>
      <c r="CW126" s="521"/>
      <c r="CX126" s="521"/>
      <c r="CY126" s="521"/>
      <c r="CZ126" s="521"/>
      <c r="DA126" s="521"/>
      <c r="DB126" s="521"/>
      <c r="DC126" s="521"/>
      <c r="DD126" s="521"/>
      <c r="DE126" s="521"/>
      <c r="DF126" s="521"/>
      <c r="DG126" s="521"/>
      <c r="DH126" s="521"/>
      <c r="DI126" s="521"/>
      <c r="DJ126" s="521"/>
      <c r="DK126" s="521"/>
      <c r="DL126" s="521"/>
      <c r="DM126" s="521"/>
      <c r="DN126" s="521"/>
      <c r="DO126" s="521"/>
      <c r="DP126" s="521"/>
      <c r="DQ126" s="521"/>
      <c r="DR126" s="521"/>
      <c r="DS126" s="521"/>
      <c r="DT126" s="521"/>
      <c r="DU126" s="521"/>
      <c r="DV126" s="521"/>
      <c r="DW126" s="521"/>
      <c r="DX126" s="521"/>
      <c r="DY126" s="521"/>
      <c r="DZ126" s="521"/>
      <c r="EA126" s="521"/>
      <c r="EB126" s="521"/>
      <c r="EC126" s="521"/>
      <c r="ED126" s="521"/>
      <c r="EE126" s="521"/>
      <c r="EF126" s="521"/>
      <c r="EG126" s="521"/>
      <c r="EH126" s="521"/>
      <c r="EI126" s="521"/>
      <c r="EJ126" s="521"/>
      <c r="EK126" s="521"/>
      <c r="EL126" s="521"/>
      <c r="EM126" s="521"/>
      <c r="EN126" s="521"/>
      <c r="EO126" s="521"/>
      <c r="EP126" s="521"/>
      <c r="EQ126" s="521"/>
      <c r="ER126" s="521"/>
      <c r="ES126" s="521"/>
      <c r="ET126" s="521"/>
      <c r="EU126" s="521"/>
      <c r="EV126" s="521"/>
      <c r="EW126" s="521"/>
      <c r="EX126" s="521"/>
      <c r="EY126" s="521"/>
      <c r="EZ126" s="521"/>
      <c r="FA126" s="521"/>
      <c r="FB126" s="521"/>
      <c r="FC126" s="521"/>
      <c r="FD126" s="521"/>
      <c r="FE126" s="521"/>
      <c r="FF126" s="521"/>
      <c r="FG126" s="521"/>
      <c r="FH126" s="521"/>
      <c r="FI126" s="521"/>
      <c r="FJ126" s="521"/>
      <c r="FK126" s="521"/>
      <c r="FL126" s="521"/>
      <c r="FM126" s="521"/>
      <c r="FN126" s="521"/>
      <c r="FO126" s="521"/>
      <c r="FP126" s="521"/>
      <c r="FQ126" s="521"/>
      <c r="FR126" s="521"/>
      <c r="FS126" s="521"/>
      <c r="FT126" s="521"/>
      <c r="FU126" s="521"/>
      <c r="FV126" s="521"/>
      <c r="FW126" s="521"/>
      <c r="FX126" s="521"/>
      <c r="FY126" s="521"/>
      <c r="FZ126" s="521"/>
      <c r="GA126" s="521"/>
      <c r="GB126" s="521"/>
      <c r="GC126" s="521"/>
      <c r="GD126" s="521"/>
      <c r="GE126" s="521"/>
      <c r="GF126" s="521"/>
      <c r="GG126" s="521"/>
      <c r="GH126" s="521"/>
      <c r="GI126" s="521"/>
      <c r="GJ126" s="521"/>
      <c r="GK126" s="521"/>
      <c r="GL126" s="521"/>
      <c r="GM126" s="521"/>
      <c r="GN126" s="521"/>
      <c r="GO126" s="521"/>
      <c r="GP126" s="521"/>
      <c r="GQ126" s="521"/>
      <c r="GR126" s="521"/>
      <c r="GS126" s="521"/>
      <c r="GT126" s="521"/>
      <c r="GU126" s="521"/>
      <c r="GV126" s="521"/>
      <c r="GW126" s="521"/>
      <c r="GX126" s="521"/>
      <c r="GY126" s="521"/>
      <c r="GZ126" s="521"/>
      <c r="HA126" s="521"/>
      <c r="HB126" s="521"/>
      <c r="HC126" s="521"/>
      <c r="HD126" s="521"/>
      <c r="HE126" s="521"/>
      <c r="HF126" s="521"/>
      <c r="HG126" s="521"/>
      <c r="HH126" s="521"/>
      <c r="HI126" s="521"/>
      <c r="HJ126" s="521"/>
      <c r="HK126" s="521"/>
      <c r="HL126" s="521"/>
      <c r="HM126" s="521"/>
      <c r="HN126" s="521"/>
      <c r="HO126" s="521"/>
      <c r="HP126" s="521"/>
      <c r="HQ126" s="521"/>
      <c r="HR126" s="521"/>
      <c r="HS126" s="521"/>
      <c r="HT126" s="521"/>
      <c r="HU126" s="521"/>
      <c r="HV126" s="521"/>
      <c r="HW126" s="521"/>
      <c r="HX126" s="521"/>
      <c r="HY126" s="521"/>
      <c r="HZ126" s="521"/>
      <c r="IA126" s="521"/>
      <c r="IB126" s="521"/>
      <c r="IC126" s="521"/>
      <c r="ID126" s="521"/>
      <c r="IE126" s="521"/>
      <c r="IF126" s="521"/>
      <c r="IG126" s="521"/>
      <c r="IH126" s="521"/>
      <c r="II126" s="521"/>
      <c r="IJ126" s="521"/>
      <c r="IK126" s="521"/>
      <c r="IL126" s="521"/>
      <c r="IM126" s="521"/>
      <c r="IN126" s="521"/>
      <c r="IO126" s="521"/>
      <c r="IP126" s="521"/>
      <c r="IQ126" s="521"/>
    </row>
    <row r="127" spans="1:251" s="1267" customFormat="1" ht="18" customHeight="1">
      <c r="A127" s="520">
        <v>118</v>
      </c>
      <c r="B127" s="1260"/>
      <c r="C127" s="1261"/>
      <c r="D127" s="589" t="s">
        <v>283</v>
      </c>
      <c r="E127" s="1258"/>
      <c r="F127" s="1262"/>
      <c r="G127" s="1294"/>
      <c r="H127" s="1263"/>
      <c r="I127" s="1264"/>
      <c r="J127" s="1258">
        <v>6000</v>
      </c>
      <c r="K127" s="1258"/>
      <c r="L127" s="1259">
        <f>SUM(I127:K127)</f>
        <v>6000</v>
      </c>
      <c r="M127" s="1265"/>
      <c r="N127" s="1266"/>
      <c r="O127" s="1266"/>
      <c r="P127" s="1266"/>
      <c r="Q127" s="1266"/>
      <c r="R127" s="1266"/>
      <c r="S127" s="1266"/>
      <c r="T127" s="1266"/>
      <c r="U127" s="1266"/>
      <c r="V127" s="1266"/>
      <c r="W127" s="1266"/>
      <c r="X127" s="1266"/>
      <c r="Y127" s="1266"/>
      <c r="Z127" s="1266"/>
      <c r="AA127" s="1266"/>
      <c r="AB127" s="1266"/>
      <c r="AC127" s="1266"/>
      <c r="AD127" s="1266"/>
      <c r="AE127" s="1266"/>
      <c r="AF127" s="1266"/>
      <c r="AG127" s="1266"/>
      <c r="AH127" s="1266"/>
      <c r="AI127" s="1266"/>
      <c r="AJ127" s="1266"/>
      <c r="AK127" s="1266"/>
      <c r="AL127" s="1266"/>
      <c r="AM127" s="1266"/>
      <c r="AN127" s="1266"/>
      <c r="AO127" s="1266"/>
      <c r="AP127" s="1266"/>
      <c r="AQ127" s="1266"/>
      <c r="AR127" s="1266"/>
      <c r="AS127" s="1266"/>
      <c r="AT127" s="1266"/>
      <c r="AU127" s="1266"/>
      <c r="AV127" s="1266"/>
      <c r="AW127" s="1266"/>
      <c r="AX127" s="1266"/>
      <c r="AY127" s="1266"/>
      <c r="AZ127" s="1266"/>
      <c r="BA127" s="1266"/>
      <c r="BB127" s="1266"/>
      <c r="BC127" s="1266"/>
      <c r="BD127" s="1266"/>
      <c r="BE127" s="1266"/>
      <c r="BF127" s="1266"/>
      <c r="BG127" s="1266"/>
      <c r="BH127" s="1266"/>
      <c r="BI127" s="1266"/>
      <c r="BJ127" s="1266"/>
      <c r="BK127" s="1266"/>
      <c r="BL127" s="1266"/>
      <c r="BM127" s="1266"/>
      <c r="BN127" s="1266"/>
      <c r="BO127" s="1266"/>
      <c r="BP127" s="1266"/>
      <c r="BQ127" s="1266"/>
      <c r="BR127" s="1266"/>
      <c r="BS127" s="1266"/>
      <c r="BT127" s="1266"/>
      <c r="BU127" s="1266"/>
      <c r="BV127" s="1266"/>
      <c r="BW127" s="1266"/>
      <c r="BX127" s="1266"/>
      <c r="BY127" s="1266"/>
      <c r="BZ127" s="1266"/>
      <c r="CA127" s="1266"/>
      <c r="CB127" s="1266"/>
      <c r="CC127" s="1266"/>
      <c r="CD127" s="1266"/>
      <c r="CE127" s="1266"/>
      <c r="CF127" s="1266"/>
      <c r="CG127" s="1266"/>
      <c r="CH127" s="1266"/>
      <c r="CI127" s="1266"/>
      <c r="CJ127" s="1266"/>
      <c r="CK127" s="1266"/>
      <c r="CL127" s="1266"/>
      <c r="CM127" s="1266"/>
      <c r="CN127" s="1266"/>
      <c r="CO127" s="1266"/>
      <c r="CP127" s="1266"/>
      <c r="CQ127" s="1266"/>
      <c r="CR127" s="1266"/>
      <c r="CS127" s="1266"/>
      <c r="CT127" s="1266"/>
      <c r="CU127" s="1266"/>
      <c r="CV127" s="1266"/>
      <c r="CW127" s="1266"/>
      <c r="CX127" s="1266"/>
      <c r="CY127" s="1266"/>
      <c r="CZ127" s="1266"/>
      <c r="DA127" s="1266"/>
      <c r="DB127" s="1266"/>
      <c r="DC127" s="1266"/>
      <c r="DD127" s="1266"/>
      <c r="DE127" s="1266"/>
      <c r="DF127" s="1266"/>
      <c r="DG127" s="1266"/>
      <c r="DH127" s="1266"/>
      <c r="DI127" s="1266"/>
      <c r="DJ127" s="1266"/>
      <c r="DK127" s="1266"/>
      <c r="DL127" s="1266"/>
      <c r="DM127" s="1266"/>
      <c r="DN127" s="1266"/>
      <c r="DO127" s="1266"/>
      <c r="DP127" s="1266"/>
      <c r="DQ127" s="1266"/>
      <c r="DR127" s="1266"/>
      <c r="DS127" s="1266"/>
      <c r="DT127" s="1266"/>
      <c r="DU127" s="1266"/>
      <c r="DV127" s="1266"/>
      <c r="DW127" s="1266"/>
      <c r="DX127" s="1266"/>
      <c r="DY127" s="1266"/>
      <c r="DZ127" s="1266"/>
      <c r="EA127" s="1266"/>
      <c r="EB127" s="1266"/>
      <c r="EC127" s="1266"/>
      <c r="ED127" s="1266"/>
      <c r="EE127" s="1266"/>
      <c r="EF127" s="1266"/>
      <c r="EG127" s="1266"/>
      <c r="EH127" s="1266"/>
      <c r="EI127" s="1266"/>
      <c r="EJ127" s="1266"/>
      <c r="EK127" s="1266"/>
      <c r="EL127" s="1266"/>
      <c r="EM127" s="1266"/>
      <c r="EN127" s="1266"/>
      <c r="EO127" s="1266"/>
      <c r="EP127" s="1266"/>
      <c r="EQ127" s="1266"/>
      <c r="ER127" s="1266"/>
      <c r="ES127" s="1266"/>
      <c r="ET127" s="1266"/>
      <c r="EU127" s="1266"/>
      <c r="EV127" s="1266"/>
      <c r="EW127" s="1266"/>
      <c r="EX127" s="1266"/>
      <c r="EY127" s="1266"/>
      <c r="EZ127" s="1266"/>
      <c r="FA127" s="1266"/>
      <c r="FB127" s="1266"/>
      <c r="FC127" s="1266"/>
      <c r="FD127" s="1266"/>
      <c r="FE127" s="1266"/>
      <c r="FF127" s="1266"/>
      <c r="FG127" s="1266"/>
      <c r="FH127" s="1266"/>
      <c r="FI127" s="1266"/>
      <c r="FJ127" s="1266"/>
      <c r="FK127" s="1266"/>
      <c r="FL127" s="1266"/>
      <c r="FM127" s="1266"/>
      <c r="FN127" s="1266"/>
      <c r="FO127" s="1266"/>
      <c r="FP127" s="1266"/>
      <c r="FQ127" s="1266"/>
      <c r="FR127" s="1266"/>
      <c r="FS127" s="1266"/>
      <c r="FT127" s="1266"/>
      <c r="FU127" s="1266"/>
      <c r="FV127" s="1266"/>
      <c r="FW127" s="1266"/>
      <c r="FX127" s="1266"/>
      <c r="FY127" s="1266"/>
      <c r="FZ127" s="1266"/>
      <c r="GA127" s="1266"/>
      <c r="GB127" s="1266"/>
      <c r="GC127" s="1266"/>
      <c r="GD127" s="1266"/>
      <c r="GE127" s="1266"/>
      <c r="GF127" s="1266"/>
      <c r="GG127" s="1266"/>
      <c r="GH127" s="1266"/>
      <c r="GI127" s="1266"/>
      <c r="GJ127" s="1266"/>
      <c r="GK127" s="1266"/>
      <c r="GL127" s="1266"/>
      <c r="GM127" s="1266"/>
      <c r="GN127" s="1266"/>
      <c r="GO127" s="1266"/>
      <c r="GP127" s="1266"/>
      <c r="GQ127" s="1266"/>
      <c r="GR127" s="1266"/>
      <c r="GS127" s="1266"/>
      <c r="GT127" s="1266"/>
      <c r="GU127" s="1266"/>
      <c r="GV127" s="1266"/>
      <c r="GW127" s="1266"/>
      <c r="GX127" s="1266"/>
      <c r="GY127" s="1266"/>
      <c r="GZ127" s="1266"/>
      <c r="HA127" s="1266"/>
      <c r="HB127" s="1266"/>
      <c r="HC127" s="1266"/>
      <c r="HD127" s="1266"/>
      <c r="HE127" s="1266"/>
      <c r="HF127" s="1266"/>
      <c r="HG127" s="1266"/>
      <c r="HH127" s="1266"/>
      <c r="HI127" s="1266"/>
      <c r="HJ127" s="1266"/>
      <c r="HK127" s="1266"/>
      <c r="HL127" s="1266"/>
      <c r="HM127" s="1266"/>
      <c r="HN127" s="1266"/>
      <c r="HO127" s="1266"/>
      <c r="HP127" s="1266"/>
      <c r="HQ127" s="1266"/>
      <c r="HR127" s="1266"/>
      <c r="HS127" s="1266"/>
      <c r="HT127" s="1266"/>
      <c r="HU127" s="1266"/>
      <c r="HV127" s="1266"/>
      <c r="HW127" s="1266"/>
      <c r="HX127" s="1266"/>
      <c r="HY127" s="1266"/>
      <c r="HZ127" s="1266"/>
      <c r="IA127" s="1266"/>
      <c r="IB127" s="1266"/>
      <c r="IC127" s="1266"/>
      <c r="ID127" s="1266"/>
      <c r="IE127" s="1266"/>
      <c r="IF127" s="1266"/>
      <c r="IG127" s="1266"/>
      <c r="IH127" s="1266"/>
      <c r="II127" s="1266"/>
      <c r="IJ127" s="1266"/>
      <c r="IK127" s="1266"/>
      <c r="IL127" s="1266"/>
      <c r="IM127" s="1266"/>
      <c r="IN127" s="1266"/>
      <c r="IO127" s="1266"/>
      <c r="IP127" s="1266"/>
      <c r="IQ127" s="1266"/>
    </row>
    <row r="128" spans="1:251" s="1267" customFormat="1" ht="18" customHeight="1">
      <c r="A128" s="520">
        <v>119</v>
      </c>
      <c r="B128" s="1260"/>
      <c r="C128" s="1261"/>
      <c r="D128" s="478" t="s">
        <v>757</v>
      </c>
      <c r="E128" s="1258"/>
      <c r="F128" s="1262"/>
      <c r="G128" s="1294"/>
      <c r="H128" s="1263"/>
      <c r="I128" s="1264"/>
      <c r="J128" s="1351">
        <v>12048</v>
      </c>
      <c r="K128" s="1351"/>
      <c r="L128" s="1447">
        <f>SUM(I128:K128)</f>
        <v>12048</v>
      </c>
      <c r="M128" s="1265"/>
      <c r="N128" s="1266"/>
      <c r="O128" s="1266"/>
      <c r="P128" s="1266"/>
      <c r="Q128" s="1266"/>
      <c r="R128" s="1266"/>
      <c r="S128" s="1266"/>
      <c r="T128" s="1266"/>
      <c r="U128" s="1266"/>
      <c r="V128" s="1266"/>
      <c r="W128" s="1266"/>
      <c r="X128" s="1266"/>
      <c r="Y128" s="1266"/>
      <c r="Z128" s="1266"/>
      <c r="AA128" s="1266"/>
      <c r="AB128" s="1266"/>
      <c r="AC128" s="1266"/>
      <c r="AD128" s="1266"/>
      <c r="AE128" s="1266"/>
      <c r="AF128" s="1266"/>
      <c r="AG128" s="1266"/>
      <c r="AH128" s="1266"/>
      <c r="AI128" s="1266"/>
      <c r="AJ128" s="1266"/>
      <c r="AK128" s="1266"/>
      <c r="AL128" s="1266"/>
      <c r="AM128" s="1266"/>
      <c r="AN128" s="1266"/>
      <c r="AO128" s="1266"/>
      <c r="AP128" s="1266"/>
      <c r="AQ128" s="1266"/>
      <c r="AR128" s="1266"/>
      <c r="AS128" s="1266"/>
      <c r="AT128" s="1266"/>
      <c r="AU128" s="1266"/>
      <c r="AV128" s="1266"/>
      <c r="AW128" s="1266"/>
      <c r="AX128" s="1266"/>
      <c r="AY128" s="1266"/>
      <c r="AZ128" s="1266"/>
      <c r="BA128" s="1266"/>
      <c r="BB128" s="1266"/>
      <c r="BC128" s="1266"/>
      <c r="BD128" s="1266"/>
      <c r="BE128" s="1266"/>
      <c r="BF128" s="1266"/>
      <c r="BG128" s="1266"/>
      <c r="BH128" s="1266"/>
      <c r="BI128" s="1266"/>
      <c r="BJ128" s="1266"/>
      <c r="BK128" s="1266"/>
      <c r="BL128" s="1266"/>
      <c r="BM128" s="1266"/>
      <c r="BN128" s="1266"/>
      <c r="BO128" s="1266"/>
      <c r="BP128" s="1266"/>
      <c r="BQ128" s="1266"/>
      <c r="BR128" s="1266"/>
      <c r="BS128" s="1266"/>
      <c r="BT128" s="1266"/>
      <c r="BU128" s="1266"/>
      <c r="BV128" s="1266"/>
      <c r="BW128" s="1266"/>
      <c r="BX128" s="1266"/>
      <c r="BY128" s="1266"/>
      <c r="BZ128" s="1266"/>
      <c r="CA128" s="1266"/>
      <c r="CB128" s="1266"/>
      <c r="CC128" s="1266"/>
      <c r="CD128" s="1266"/>
      <c r="CE128" s="1266"/>
      <c r="CF128" s="1266"/>
      <c r="CG128" s="1266"/>
      <c r="CH128" s="1266"/>
      <c r="CI128" s="1266"/>
      <c r="CJ128" s="1266"/>
      <c r="CK128" s="1266"/>
      <c r="CL128" s="1266"/>
      <c r="CM128" s="1266"/>
      <c r="CN128" s="1266"/>
      <c r="CO128" s="1266"/>
      <c r="CP128" s="1266"/>
      <c r="CQ128" s="1266"/>
      <c r="CR128" s="1266"/>
      <c r="CS128" s="1266"/>
      <c r="CT128" s="1266"/>
      <c r="CU128" s="1266"/>
      <c r="CV128" s="1266"/>
      <c r="CW128" s="1266"/>
      <c r="CX128" s="1266"/>
      <c r="CY128" s="1266"/>
      <c r="CZ128" s="1266"/>
      <c r="DA128" s="1266"/>
      <c r="DB128" s="1266"/>
      <c r="DC128" s="1266"/>
      <c r="DD128" s="1266"/>
      <c r="DE128" s="1266"/>
      <c r="DF128" s="1266"/>
      <c r="DG128" s="1266"/>
      <c r="DH128" s="1266"/>
      <c r="DI128" s="1266"/>
      <c r="DJ128" s="1266"/>
      <c r="DK128" s="1266"/>
      <c r="DL128" s="1266"/>
      <c r="DM128" s="1266"/>
      <c r="DN128" s="1266"/>
      <c r="DO128" s="1266"/>
      <c r="DP128" s="1266"/>
      <c r="DQ128" s="1266"/>
      <c r="DR128" s="1266"/>
      <c r="DS128" s="1266"/>
      <c r="DT128" s="1266"/>
      <c r="DU128" s="1266"/>
      <c r="DV128" s="1266"/>
      <c r="DW128" s="1266"/>
      <c r="DX128" s="1266"/>
      <c r="DY128" s="1266"/>
      <c r="DZ128" s="1266"/>
      <c r="EA128" s="1266"/>
      <c r="EB128" s="1266"/>
      <c r="EC128" s="1266"/>
      <c r="ED128" s="1266"/>
      <c r="EE128" s="1266"/>
      <c r="EF128" s="1266"/>
      <c r="EG128" s="1266"/>
      <c r="EH128" s="1266"/>
      <c r="EI128" s="1266"/>
      <c r="EJ128" s="1266"/>
      <c r="EK128" s="1266"/>
      <c r="EL128" s="1266"/>
      <c r="EM128" s="1266"/>
      <c r="EN128" s="1266"/>
      <c r="EO128" s="1266"/>
      <c r="EP128" s="1266"/>
      <c r="EQ128" s="1266"/>
      <c r="ER128" s="1266"/>
      <c r="ES128" s="1266"/>
      <c r="ET128" s="1266"/>
      <c r="EU128" s="1266"/>
      <c r="EV128" s="1266"/>
      <c r="EW128" s="1266"/>
      <c r="EX128" s="1266"/>
      <c r="EY128" s="1266"/>
      <c r="EZ128" s="1266"/>
      <c r="FA128" s="1266"/>
      <c r="FB128" s="1266"/>
      <c r="FC128" s="1266"/>
      <c r="FD128" s="1266"/>
      <c r="FE128" s="1266"/>
      <c r="FF128" s="1266"/>
      <c r="FG128" s="1266"/>
      <c r="FH128" s="1266"/>
      <c r="FI128" s="1266"/>
      <c r="FJ128" s="1266"/>
      <c r="FK128" s="1266"/>
      <c r="FL128" s="1266"/>
      <c r="FM128" s="1266"/>
      <c r="FN128" s="1266"/>
      <c r="FO128" s="1266"/>
      <c r="FP128" s="1266"/>
      <c r="FQ128" s="1266"/>
      <c r="FR128" s="1266"/>
      <c r="FS128" s="1266"/>
      <c r="FT128" s="1266"/>
      <c r="FU128" s="1266"/>
      <c r="FV128" s="1266"/>
      <c r="FW128" s="1266"/>
      <c r="FX128" s="1266"/>
      <c r="FY128" s="1266"/>
      <c r="FZ128" s="1266"/>
      <c r="GA128" s="1266"/>
      <c r="GB128" s="1266"/>
      <c r="GC128" s="1266"/>
      <c r="GD128" s="1266"/>
      <c r="GE128" s="1266"/>
      <c r="GF128" s="1266"/>
      <c r="GG128" s="1266"/>
      <c r="GH128" s="1266"/>
      <c r="GI128" s="1266"/>
      <c r="GJ128" s="1266"/>
      <c r="GK128" s="1266"/>
      <c r="GL128" s="1266"/>
      <c r="GM128" s="1266"/>
      <c r="GN128" s="1266"/>
      <c r="GO128" s="1266"/>
      <c r="GP128" s="1266"/>
      <c r="GQ128" s="1266"/>
      <c r="GR128" s="1266"/>
      <c r="GS128" s="1266"/>
      <c r="GT128" s="1266"/>
      <c r="GU128" s="1266"/>
      <c r="GV128" s="1266"/>
      <c r="GW128" s="1266"/>
      <c r="GX128" s="1266"/>
      <c r="GY128" s="1266"/>
      <c r="GZ128" s="1266"/>
      <c r="HA128" s="1266"/>
      <c r="HB128" s="1266"/>
      <c r="HC128" s="1266"/>
      <c r="HD128" s="1266"/>
      <c r="HE128" s="1266"/>
      <c r="HF128" s="1266"/>
      <c r="HG128" s="1266"/>
      <c r="HH128" s="1266"/>
      <c r="HI128" s="1266"/>
      <c r="HJ128" s="1266"/>
      <c r="HK128" s="1266"/>
      <c r="HL128" s="1266"/>
      <c r="HM128" s="1266"/>
      <c r="HN128" s="1266"/>
      <c r="HO128" s="1266"/>
      <c r="HP128" s="1266"/>
      <c r="HQ128" s="1266"/>
      <c r="HR128" s="1266"/>
      <c r="HS128" s="1266"/>
      <c r="HT128" s="1266"/>
      <c r="HU128" s="1266"/>
      <c r="HV128" s="1266"/>
      <c r="HW128" s="1266"/>
      <c r="HX128" s="1266"/>
      <c r="HY128" s="1266"/>
      <c r="HZ128" s="1266"/>
      <c r="IA128" s="1266"/>
      <c r="IB128" s="1266"/>
      <c r="IC128" s="1266"/>
      <c r="ID128" s="1266"/>
      <c r="IE128" s="1266"/>
      <c r="IF128" s="1266"/>
      <c r="IG128" s="1266"/>
      <c r="IH128" s="1266"/>
      <c r="II128" s="1266"/>
      <c r="IJ128" s="1266"/>
      <c r="IK128" s="1266"/>
      <c r="IL128" s="1266"/>
      <c r="IM128" s="1266"/>
      <c r="IN128" s="1266"/>
      <c r="IO128" s="1266"/>
      <c r="IP128" s="1266"/>
      <c r="IQ128" s="1266"/>
    </row>
    <row r="129" spans="1:251" ht="18" customHeight="1">
      <c r="A129" s="520">
        <v>120</v>
      </c>
      <c r="B129" s="533"/>
      <c r="C129" s="538"/>
      <c r="D129" s="1090" t="s">
        <v>892</v>
      </c>
      <c r="E129" s="535"/>
      <c r="F129" s="536"/>
      <c r="G129" s="1293"/>
      <c r="H129" s="746"/>
      <c r="I129" s="721"/>
      <c r="J129" s="1291">
        <v>8849</v>
      </c>
      <c r="K129" s="1291"/>
      <c r="L129" s="1138">
        <f>SUM(I129:K129)</f>
        <v>8849</v>
      </c>
      <c r="M129" s="537"/>
      <c r="N129" s="521"/>
      <c r="O129" s="521"/>
      <c r="P129" s="521"/>
      <c r="Q129" s="521"/>
      <c r="R129" s="521"/>
      <c r="S129" s="521"/>
      <c r="T129" s="521"/>
      <c r="U129" s="521"/>
      <c r="V129" s="521"/>
      <c r="W129" s="521"/>
      <c r="X129" s="521"/>
      <c r="Y129" s="521"/>
      <c r="Z129" s="521"/>
      <c r="AA129" s="521"/>
      <c r="AB129" s="521"/>
      <c r="AC129" s="521"/>
      <c r="AD129" s="521"/>
      <c r="AE129" s="521"/>
      <c r="AF129" s="521"/>
      <c r="AG129" s="521"/>
      <c r="AH129" s="521"/>
      <c r="AI129" s="521"/>
      <c r="AJ129" s="521"/>
      <c r="AK129" s="521"/>
      <c r="AL129" s="521"/>
      <c r="AM129" s="521"/>
      <c r="AN129" s="521"/>
      <c r="AO129" s="521"/>
      <c r="AP129" s="521"/>
      <c r="AQ129" s="521"/>
      <c r="AR129" s="521"/>
      <c r="AS129" s="521"/>
      <c r="AT129" s="521"/>
      <c r="AU129" s="521"/>
      <c r="AV129" s="521"/>
      <c r="AW129" s="521"/>
      <c r="AX129" s="521"/>
      <c r="AY129" s="521"/>
      <c r="AZ129" s="521"/>
      <c r="BA129" s="521"/>
      <c r="BB129" s="521"/>
      <c r="BC129" s="521"/>
      <c r="BD129" s="521"/>
      <c r="BE129" s="521"/>
      <c r="BF129" s="521"/>
      <c r="BG129" s="521"/>
      <c r="BH129" s="521"/>
      <c r="BI129" s="521"/>
      <c r="BJ129" s="521"/>
      <c r="BK129" s="521"/>
      <c r="BL129" s="521"/>
      <c r="BM129" s="521"/>
      <c r="BN129" s="521"/>
      <c r="BO129" s="521"/>
      <c r="BP129" s="521"/>
      <c r="BQ129" s="521"/>
      <c r="BR129" s="521"/>
      <c r="BS129" s="521"/>
      <c r="BT129" s="521"/>
      <c r="BU129" s="521"/>
      <c r="BV129" s="521"/>
      <c r="BW129" s="521"/>
      <c r="BX129" s="521"/>
      <c r="BY129" s="521"/>
      <c r="BZ129" s="521"/>
      <c r="CA129" s="521"/>
      <c r="CB129" s="521"/>
      <c r="CC129" s="521"/>
      <c r="CD129" s="521"/>
      <c r="CE129" s="521"/>
      <c r="CF129" s="521"/>
      <c r="CG129" s="521"/>
      <c r="CH129" s="521"/>
      <c r="CI129" s="521"/>
      <c r="CJ129" s="521"/>
      <c r="CK129" s="521"/>
      <c r="CL129" s="521"/>
      <c r="CM129" s="521"/>
      <c r="CN129" s="521"/>
      <c r="CO129" s="521"/>
      <c r="CP129" s="521"/>
      <c r="CQ129" s="521"/>
      <c r="CR129" s="521"/>
      <c r="CS129" s="521"/>
      <c r="CT129" s="521"/>
      <c r="CU129" s="521"/>
      <c r="CV129" s="521"/>
      <c r="CW129" s="521"/>
      <c r="CX129" s="521"/>
      <c r="CY129" s="521"/>
      <c r="CZ129" s="521"/>
      <c r="DA129" s="521"/>
      <c r="DB129" s="521"/>
      <c r="DC129" s="521"/>
      <c r="DD129" s="521"/>
      <c r="DE129" s="521"/>
      <c r="DF129" s="521"/>
      <c r="DG129" s="521"/>
      <c r="DH129" s="521"/>
      <c r="DI129" s="521"/>
      <c r="DJ129" s="521"/>
      <c r="DK129" s="521"/>
      <c r="DL129" s="521"/>
      <c r="DM129" s="521"/>
      <c r="DN129" s="521"/>
      <c r="DO129" s="521"/>
      <c r="DP129" s="521"/>
      <c r="DQ129" s="521"/>
      <c r="DR129" s="521"/>
      <c r="DS129" s="521"/>
      <c r="DT129" s="521"/>
      <c r="DU129" s="521"/>
      <c r="DV129" s="521"/>
      <c r="DW129" s="521"/>
      <c r="DX129" s="521"/>
      <c r="DY129" s="521"/>
      <c r="DZ129" s="521"/>
      <c r="EA129" s="521"/>
      <c r="EB129" s="521"/>
      <c r="EC129" s="521"/>
      <c r="ED129" s="521"/>
      <c r="EE129" s="521"/>
      <c r="EF129" s="521"/>
      <c r="EG129" s="521"/>
      <c r="EH129" s="521"/>
      <c r="EI129" s="521"/>
      <c r="EJ129" s="521"/>
      <c r="EK129" s="521"/>
      <c r="EL129" s="521"/>
      <c r="EM129" s="521"/>
      <c r="EN129" s="521"/>
      <c r="EO129" s="521"/>
      <c r="EP129" s="521"/>
      <c r="EQ129" s="521"/>
      <c r="ER129" s="521"/>
      <c r="ES129" s="521"/>
      <c r="ET129" s="521"/>
      <c r="EU129" s="521"/>
      <c r="EV129" s="521"/>
      <c r="EW129" s="521"/>
      <c r="EX129" s="521"/>
      <c r="EY129" s="521"/>
      <c r="EZ129" s="521"/>
      <c r="FA129" s="521"/>
      <c r="FB129" s="521"/>
      <c r="FC129" s="521"/>
      <c r="FD129" s="521"/>
      <c r="FE129" s="521"/>
      <c r="FF129" s="521"/>
      <c r="FG129" s="521"/>
      <c r="FH129" s="521"/>
      <c r="FI129" s="521"/>
      <c r="FJ129" s="521"/>
      <c r="FK129" s="521"/>
      <c r="FL129" s="521"/>
      <c r="FM129" s="521"/>
      <c r="FN129" s="521"/>
      <c r="FO129" s="521"/>
      <c r="FP129" s="521"/>
      <c r="FQ129" s="521"/>
      <c r="FR129" s="521"/>
      <c r="FS129" s="521"/>
      <c r="FT129" s="521"/>
      <c r="FU129" s="521"/>
      <c r="FV129" s="521"/>
      <c r="FW129" s="521"/>
      <c r="FX129" s="521"/>
      <c r="FY129" s="521"/>
      <c r="FZ129" s="521"/>
      <c r="GA129" s="521"/>
      <c r="GB129" s="521"/>
      <c r="GC129" s="521"/>
      <c r="GD129" s="521"/>
      <c r="GE129" s="521"/>
      <c r="GF129" s="521"/>
      <c r="GG129" s="521"/>
      <c r="GH129" s="521"/>
      <c r="GI129" s="521"/>
      <c r="GJ129" s="521"/>
      <c r="GK129" s="521"/>
      <c r="GL129" s="521"/>
      <c r="GM129" s="521"/>
      <c r="GN129" s="521"/>
      <c r="GO129" s="521"/>
      <c r="GP129" s="521"/>
      <c r="GQ129" s="521"/>
      <c r="GR129" s="521"/>
      <c r="GS129" s="521"/>
      <c r="GT129" s="521"/>
      <c r="GU129" s="521"/>
      <c r="GV129" s="521"/>
      <c r="GW129" s="521"/>
      <c r="GX129" s="521"/>
      <c r="GY129" s="521"/>
      <c r="GZ129" s="521"/>
      <c r="HA129" s="521"/>
      <c r="HB129" s="521"/>
      <c r="HC129" s="521"/>
      <c r="HD129" s="521"/>
      <c r="HE129" s="521"/>
      <c r="HF129" s="521"/>
      <c r="HG129" s="521"/>
      <c r="HH129" s="521"/>
      <c r="HI129" s="521"/>
      <c r="HJ129" s="521"/>
      <c r="HK129" s="521"/>
      <c r="HL129" s="521"/>
      <c r="HM129" s="521"/>
      <c r="HN129" s="521"/>
      <c r="HO129" s="521"/>
      <c r="HP129" s="521"/>
      <c r="HQ129" s="521"/>
      <c r="HR129" s="521"/>
      <c r="HS129" s="521"/>
      <c r="HT129" s="521"/>
      <c r="HU129" s="521"/>
      <c r="HV129" s="521"/>
      <c r="HW129" s="521"/>
      <c r="HX129" s="521"/>
      <c r="HY129" s="521"/>
      <c r="HZ129" s="521"/>
      <c r="IA129" s="521"/>
      <c r="IB129" s="521"/>
      <c r="IC129" s="521"/>
      <c r="ID129" s="521"/>
      <c r="IE129" s="521"/>
      <c r="IF129" s="521"/>
      <c r="IG129" s="521"/>
      <c r="IH129" s="521"/>
      <c r="II129" s="521"/>
      <c r="IJ129" s="521"/>
      <c r="IK129" s="521"/>
      <c r="IL129" s="521"/>
      <c r="IM129" s="521"/>
      <c r="IN129" s="521"/>
      <c r="IO129" s="521"/>
      <c r="IP129" s="521"/>
      <c r="IQ129" s="521"/>
    </row>
    <row r="130" spans="1:251" ht="22.5" customHeight="1">
      <c r="A130" s="520">
        <v>121</v>
      </c>
      <c r="B130" s="533"/>
      <c r="C130" s="534">
        <v>31</v>
      </c>
      <c r="D130" s="328" t="s">
        <v>632</v>
      </c>
      <c r="E130" s="535">
        <f>F130+G130+L132+M131</f>
        <v>15000</v>
      </c>
      <c r="F130" s="536"/>
      <c r="G130" s="1293"/>
      <c r="H130" s="746" t="s">
        <v>23</v>
      </c>
      <c r="I130" s="721"/>
      <c r="J130" s="535"/>
      <c r="K130" s="535"/>
      <c r="L130" s="546"/>
      <c r="M130" s="537"/>
      <c r="N130" s="521"/>
      <c r="O130" s="521"/>
      <c r="P130" s="521"/>
      <c r="Q130" s="521"/>
      <c r="R130" s="521"/>
      <c r="S130" s="521"/>
      <c r="T130" s="521"/>
      <c r="U130" s="521"/>
      <c r="V130" s="521"/>
      <c r="W130" s="521"/>
      <c r="X130" s="521"/>
      <c r="Y130" s="521"/>
      <c r="Z130" s="521"/>
      <c r="AA130" s="521"/>
      <c r="AB130" s="521"/>
      <c r="AC130" s="521"/>
      <c r="AD130" s="521"/>
      <c r="AE130" s="521"/>
      <c r="AF130" s="521"/>
      <c r="AG130" s="521"/>
      <c r="AH130" s="521"/>
      <c r="AI130" s="521"/>
      <c r="AJ130" s="521"/>
      <c r="AK130" s="521"/>
      <c r="AL130" s="521"/>
      <c r="AM130" s="521"/>
      <c r="AN130" s="521"/>
      <c r="AO130" s="521"/>
      <c r="AP130" s="521"/>
      <c r="AQ130" s="521"/>
      <c r="AR130" s="521"/>
      <c r="AS130" s="521"/>
      <c r="AT130" s="521"/>
      <c r="AU130" s="521"/>
      <c r="AV130" s="521"/>
      <c r="AW130" s="521"/>
      <c r="AX130" s="521"/>
      <c r="AY130" s="521"/>
      <c r="AZ130" s="521"/>
      <c r="BA130" s="521"/>
      <c r="BB130" s="521"/>
      <c r="BC130" s="521"/>
      <c r="BD130" s="521"/>
      <c r="BE130" s="521"/>
      <c r="BF130" s="521"/>
      <c r="BG130" s="521"/>
      <c r="BH130" s="521"/>
      <c r="BI130" s="521"/>
      <c r="BJ130" s="521"/>
      <c r="BK130" s="521"/>
      <c r="BL130" s="521"/>
      <c r="BM130" s="521"/>
      <c r="BN130" s="521"/>
      <c r="BO130" s="521"/>
      <c r="BP130" s="521"/>
      <c r="BQ130" s="521"/>
      <c r="BR130" s="521"/>
      <c r="BS130" s="521"/>
      <c r="BT130" s="521"/>
      <c r="BU130" s="521"/>
      <c r="BV130" s="521"/>
      <c r="BW130" s="521"/>
      <c r="BX130" s="521"/>
      <c r="BY130" s="521"/>
      <c r="BZ130" s="521"/>
      <c r="CA130" s="521"/>
      <c r="CB130" s="521"/>
      <c r="CC130" s="521"/>
      <c r="CD130" s="521"/>
      <c r="CE130" s="521"/>
      <c r="CF130" s="521"/>
      <c r="CG130" s="521"/>
      <c r="CH130" s="521"/>
      <c r="CI130" s="521"/>
      <c r="CJ130" s="521"/>
      <c r="CK130" s="521"/>
      <c r="CL130" s="521"/>
      <c r="CM130" s="521"/>
      <c r="CN130" s="521"/>
      <c r="CO130" s="521"/>
      <c r="CP130" s="521"/>
      <c r="CQ130" s="521"/>
      <c r="CR130" s="521"/>
      <c r="CS130" s="521"/>
      <c r="CT130" s="521"/>
      <c r="CU130" s="521"/>
      <c r="CV130" s="521"/>
      <c r="CW130" s="521"/>
      <c r="CX130" s="521"/>
      <c r="CY130" s="521"/>
      <c r="CZ130" s="521"/>
      <c r="DA130" s="521"/>
      <c r="DB130" s="521"/>
      <c r="DC130" s="521"/>
      <c r="DD130" s="521"/>
      <c r="DE130" s="521"/>
      <c r="DF130" s="521"/>
      <c r="DG130" s="521"/>
      <c r="DH130" s="521"/>
      <c r="DI130" s="521"/>
      <c r="DJ130" s="521"/>
      <c r="DK130" s="521"/>
      <c r="DL130" s="521"/>
      <c r="DM130" s="521"/>
      <c r="DN130" s="521"/>
      <c r="DO130" s="521"/>
      <c r="DP130" s="521"/>
      <c r="DQ130" s="521"/>
      <c r="DR130" s="521"/>
      <c r="DS130" s="521"/>
      <c r="DT130" s="521"/>
      <c r="DU130" s="521"/>
      <c r="DV130" s="521"/>
      <c r="DW130" s="521"/>
      <c r="DX130" s="521"/>
      <c r="DY130" s="521"/>
      <c r="DZ130" s="521"/>
      <c r="EA130" s="521"/>
      <c r="EB130" s="521"/>
      <c r="EC130" s="521"/>
      <c r="ED130" s="521"/>
      <c r="EE130" s="521"/>
      <c r="EF130" s="521"/>
      <c r="EG130" s="521"/>
      <c r="EH130" s="521"/>
      <c r="EI130" s="521"/>
      <c r="EJ130" s="521"/>
      <c r="EK130" s="521"/>
      <c r="EL130" s="521"/>
      <c r="EM130" s="521"/>
      <c r="EN130" s="521"/>
      <c r="EO130" s="521"/>
      <c r="EP130" s="521"/>
      <c r="EQ130" s="521"/>
      <c r="ER130" s="521"/>
      <c r="ES130" s="521"/>
      <c r="ET130" s="521"/>
      <c r="EU130" s="521"/>
      <c r="EV130" s="521"/>
      <c r="EW130" s="521"/>
      <c r="EX130" s="521"/>
      <c r="EY130" s="521"/>
      <c r="EZ130" s="521"/>
      <c r="FA130" s="521"/>
      <c r="FB130" s="521"/>
      <c r="FC130" s="521"/>
      <c r="FD130" s="521"/>
      <c r="FE130" s="521"/>
      <c r="FF130" s="521"/>
      <c r="FG130" s="521"/>
      <c r="FH130" s="521"/>
      <c r="FI130" s="521"/>
      <c r="FJ130" s="521"/>
      <c r="FK130" s="521"/>
      <c r="FL130" s="521"/>
      <c r="FM130" s="521"/>
      <c r="FN130" s="521"/>
      <c r="FO130" s="521"/>
      <c r="FP130" s="521"/>
      <c r="FQ130" s="521"/>
      <c r="FR130" s="521"/>
      <c r="FS130" s="521"/>
      <c r="FT130" s="521"/>
      <c r="FU130" s="521"/>
      <c r="FV130" s="521"/>
      <c r="FW130" s="521"/>
      <c r="FX130" s="521"/>
      <c r="FY130" s="521"/>
      <c r="FZ130" s="521"/>
      <c r="GA130" s="521"/>
      <c r="GB130" s="521"/>
      <c r="GC130" s="521"/>
      <c r="GD130" s="521"/>
      <c r="GE130" s="521"/>
      <c r="GF130" s="521"/>
      <c r="GG130" s="521"/>
      <c r="GH130" s="521"/>
      <c r="GI130" s="521"/>
      <c r="GJ130" s="521"/>
      <c r="GK130" s="521"/>
      <c r="GL130" s="521"/>
      <c r="GM130" s="521"/>
      <c r="GN130" s="521"/>
      <c r="GO130" s="521"/>
      <c r="GP130" s="521"/>
      <c r="GQ130" s="521"/>
      <c r="GR130" s="521"/>
      <c r="GS130" s="521"/>
      <c r="GT130" s="521"/>
      <c r="GU130" s="521"/>
      <c r="GV130" s="521"/>
      <c r="GW130" s="521"/>
      <c r="GX130" s="521"/>
      <c r="GY130" s="521"/>
      <c r="GZ130" s="521"/>
      <c r="HA130" s="521"/>
      <c r="HB130" s="521"/>
      <c r="HC130" s="521"/>
      <c r="HD130" s="521"/>
      <c r="HE130" s="521"/>
      <c r="HF130" s="521"/>
      <c r="HG130" s="521"/>
      <c r="HH130" s="521"/>
      <c r="HI130" s="521"/>
      <c r="HJ130" s="521"/>
      <c r="HK130" s="521"/>
      <c r="HL130" s="521"/>
      <c r="HM130" s="521"/>
      <c r="HN130" s="521"/>
      <c r="HO130" s="521"/>
      <c r="HP130" s="521"/>
      <c r="HQ130" s="521"/>
      <c r="HR130" s="521"/>
      <c r="HS130" s="521"/>
      <c r="HT130" s="521"/>
      <c r="HU130" s="521"/>
      <c r="HV130" s="521"/>
      <c r="HW130" s="521"/>
      <c r="HX130" s="521"/>
      <c r="HY130" s="521"/>
      <c r="HZ130" s="521"/>
      <c r="IA130" s="521"/>
      <c r="IB130" s="521"/>
      <c r="IC130" s="521"/>
      <c r="ID130" s="521"/>
      <c r="IE130" s="521"/>
      <c r="IF130" s="521"/>
      <c r="IG130" s="521"/>
      <c r="IH130" s="521"/>
      <c r="II130" s="521"/>
      <c r="IJ130" s="521"/>
      <c r="IK130" s="521"/>
      <c r="IL130" s="521"/>
      <c r="IM130" s="521"/>
      <c r="IN130" s="521"/>
      <c r="IO130" s="521"/>
      <c r="IP130" s="521"/>
      <c r="IQ130" s="521"/>
    </row>
    <row r="131" spans="1:251" s="1267" customFormat="1" ht="18" customHeight="1">
      <c r="A131" s="520">
        <v>122</v>
      </c>
      <c r="B131" s="1260"/>
      <c r="C131" s="1261"/>
      <c r="D131" s="589" t="s">
        <v>283</v>
      </c>
      <c r="E131" s="1258"/>
      <c r="F131" s="1262"/>
      <c r="G131" s="1294"/>
      <c r="H131" s="1263"/>
      <c r="I131" s="1264"/>
      <c r="J131" s="1258">
        <v>15000</v>
      </c>
      <c r="K131" s="1258"/>
      <c r="L131" s="1259">
        <f>SUM(I131:K131)</f>
        <v>15000</v>
      </c>
      <c r="M131" s="1265"/>
      <c r="N131" s="1266"/>
      <c r="O131" s="1266"/>
      <c r="P131" s="1266"/>
      <c r="Q131" s="1266"/>
      <c r="R131" s="1266"/>
      <c r="S131" s="1266"/>
      <c r="T131" s="1266"/>
      <c r="U131" s="1266"/>
      <c r="V131" s="1266"/>
      <c r="W131" s="1266"/>
      <c r="X131" s="1266"/>
      <c r="Y131" s="1266"/>
      <c r="Z131" s="1266"/>
      <c r="AA131" s="1266"/>
      <c r="AB131" s="1266"/>
      <c r="AC131" s="1266"/>
      <c r="AD131" s="1266"/>
      <c r="AE131" s="1266"/>
      <c r="AF131" s="1266"/>
      <c r="AG131" s="1266"/>
      <c r="AH131" s="1266"/>
      <c r="AI131" s="1266"/>
      <c r="AJ131" s="1266"/>
      <c r="AK131" s="1266"/>
      <c r="AL131" s="1266"/>
      <c r="AM131" s="1266"/>
      <c r="AN131" s="1266"/>
      <c r="AO131" s="1266"/>
      <c r="AP131" s="1266"/>
      <c r="AQ131" s="1266"/>
      <c r="AR131" s="1266"/>
      <c r="AS131" s="1266"/>
      <c r="AT131" s="1266"/>
      <c r="AU131" s="1266"/>
      <c r="AV131" s="1266"/>
      <c r="AW131" s="1266"/>
      <c r="AX131" s="1266"/>
      <c r="AY131" s="1266"/>
      <c r="AZ131" s="1266"/>
      <c r="BA131" s="1266"/>
      <c r="BB131" s="1266"/>
      <c r="BC131" s="1266"/>
      <c r="BD131" s="1266"/>
      <c r="BE131" s="1266"/>
      <c r="BF131" s="1266"/>
      <c r="BG131" s="1266"/>
      <c r="BH131" s="1266"/>
      <c r="BI131" s="1266"/>
      <c r="BJ131" s="1266"/>
      <c r="BK131" s="1266"/>
      <c r="BL131" s="1266"/>
      <c r="BM131" s="1266"/>
      <c r="BN131" s="1266"/>
      <c r="BO131" s="1266"/>
      <c r="BP131" s="1266"/>
      <c r="BQ131" s="1266"/>
      <c r="BR131" s="1266"/>
      <c r="BS131" s="1266"/>
      <c r="BT131" s="1266"/>
      <c r="BU131" s="1266"/>
      <c r="BV131" s="1266"/>
      <c r="BW131" s="1266"/>
      <c r="BX131" s="1266"/>
      <c r="BY131" s="1266"/>
      <c r="BZ131" s="1266"/>
      <c r="CA131" s="1266"/>
      <c r="CB131" s="1266"/>
      <c r="CC131" s="1266"/>
      <c r="CD131" s="1266"/>
      <c r="CE131" s="1266"/>
      <c r="CF131" s="1266"/>
      <c r="CG131" s="1266"/>
      <c r="CH131" s="1266"/>
      <c r="CI131" s="1266"/>
      <c r="CJ131" s="1266"/>
      <c r="CK131" s="1266"/>
      <c r="CL131" s="1266"/>
      <c r="CM131" s="1266"/>
      <c r="CN131" s="1266"/>
      <c r="CO131" s="1266"/>
      <c r="CP131" s="1266"/>
      <c r="CQ131" s="1266"/>
      <c r="CR131" s="1266"/>
      <c r="CS131" s="1266"/>
      <c r="CT131" s="1266"/>
      <c r="CU131" s="1266"/>
      <c r="CV131" s="1266"/>
      <c r="CW131" s="1266"/>
      <c r="CX131" s="1266"/>
      <c r="CY131" s="1266"/>
      <c r="CZ131" s="1266"/>
      <c r="DA131" s="1266"/>
      <c r="DB131" s="1266"/>
      <c r="DC131" s="1266"/>
      <c r="DD131" s="1266"/>
      <c r="DE131" s="1266"/>
      <c r="DF131" s="1266"/>
      <c r="DG131" s="1266"/>
      <c r="DH131" s="1266"/>
      <c r="DI131" s="1266"/>
      <c r="DJ131" s="1266"/>
      <c r="DK131" s="1266"/>
      <c r="DL131" s="1266"/>
      <c r="DM131" s="1266"/>
      <c r="DN131" s="1266"/>
      <c r="DO131" s="1266"/>
      <c r="DP131" s="1266"/>
      <c r="DQ131" s="1266"/>
      <c r="DR131" s="1266"/>
      <c r="DS131" s="1266"/>
      <c r="DT131" s="1266"/>
      <c r="DU131" s="1266"/>
      <c r="DV131" s="1266"/>
      <c r="DW131" s="1266"/>
      <c r="DX131" s="1266"/>
      <c r="DY131" s="1266"/>
      <c r="DZ131" s="1266"/>
      <c r="EA131" s="1266"/>
      <c r="EB131" s="1266"/>
      <c r="EC131" s="1266"/>
      <c r="ED131" s="1266"/>
      <c r="EE131" s="1266"/>
      <c r="EF131" s="1266"/>
      <c r="EG131" s="1266"/>
      <c r="EH131" s="1266"/>
      <c r="EI131" s="1266"/>
      <c r="EJ131" s="1266"/>
      <c r="EK131" s="1266"/>
      <c r="EL131" s="1266"/>
      <c r="EM131" s="1266"/>
      <c r="EN131" s="1266"/>
      <c r="EO131" s="1266"/>
      <c r="EP131" s="1266"/>
      <c r="EQ131" s="1266"/>
      <c r="ER131" s="1266"/>
      <c r="ES131" s="1266"/>
      <c r="ET131" s="1266"/>
      <c r="EU131" s="1266"/>
      <c r="EV131" s="1266"/>
      <c r="EW131" s="1266"/>
      <c r="EX131" s="1266"/>
      <c r="EY131" s="1266"/>
      <c r="EZ131" s="1266"/>
      <c r="FA131" s="1266"/>
      <c r="FB131" s="1266"/>
      <c r="FC131" s="1266"/>
      <c r="FD131" s="1266"/>
      <c r="FE131" s="1266"/>
      <c r="FF131" s="1266"/>
      <c r="FG131" s="1266"/>
      <c r="FH131" s="1266"/>
      <c r="FI131" s="1266"/>
      <c r="FJ131" s="1266"/>
      <c r="FK131" s="1266"/>
      <c r="FL131" s="1266"/>
      <c r="FM131" s="1266"/>
      <c r="FN131" s="1266"/>
      <c r="FO131" s="1266"/>
      <c r="FP131" s="1266"/>
      <c r="FQ131" s="1266"/>
      <c r="FR131" s="1266"/>
      <c r="FS131" s="1266"/>
      <c r="FT131" s="1266"/>
      <c r="FU131" s="1266"/>
      <c r="FV131" s="1266"/>
      <c r="FW131" s="1266"/>
      <c r="FX131" s="1266"/>
      <c r="FY131" s="1266"/>
      <c r="FZ131" s="1266"/>
      <c r="GA131" s="1266"/>
      <c r="GB131" s="1266"/>
      <c r="GC131" s="1266"/>
      <c r="GD131" s="1266"/>
      <c r="GE131" s="1266"/>
      <c r="GF131" s="1266"/>
      <c r="GG131" s="1266"/>
      <c r="GH131" s="1266"/>
      <c r="GI131" s="1266"/>
      <c r="GJ131" s="1266"/>
      <c r="GK131" s="1266"/>
      <c r="GL131" s="1266"/>
      <c r="GM131" s="1266"/>
      <c r="GN131" s="1266"/>
      <c r="GO131" s="1266"/>
      <c r="GP131" s="1266"/>
      <c r="GQ131" s="1266"/>
      <c r="GR131" s="1266"/>
      <c r="GS131" s="1266"/>
      <c r="GT131" s="1266"/>
      <c r="GU131" s="1266"/>
      <c r="GV131" s="1266"/>
      <c r="GW131" s="1266"/>
      <c r="GX131" s="1266"/>
      <c r="GY131" s="1266"/>
      <c r="GZ131" s="1266"/>
      <c r="HA131" s="1266"/>
      <c r="HB131" s="1266"/>
      <c r="HC131" s="1266"/>
      <c r="HD131" s="1266"/>
      <c r="HE131" s="1266"/>
      <c r="HF131" s="1266"/>
      <c r="HG131" s="1266"/>
      <c r="HH131" s="1266"/>
      <c r="HI131" s="1266"/>
      <c r="HJ131" s="1266"/>
      <c r="HK131" s="1266"/>
      <c r="HL131" s="1266"/>
      <c r="HM131" s="1266"/>
      <c r="HN131" s="1266"/>
      <c r="HO131" s="1266"/>
      <c r="HP131" s="1266"/>
      <c r="HQ131" s="1266"/>
      <c r="HR131" s="1266"/>
      <c r="HS131" s="1266"/>
      <c r="HT131" s="1266"/>
      <c r="HU131" s="1266"/>
      <c r="HV131" s="1266"/>
      <c r="HW131" s="1266"/>
      <c r="HX131" s="1266"/>
      <c r="HY131" s="1266"/>
      <c r="HZ131" s="1266"/>
      <c r="IA131" s="1266"/>
      <c r="IB131" s="1266"/>
      <c r="IC131" s="1266"/>
      <c r="ID131" s="1266"/>
      <c r="IE131" s="1266"/>
      <c r="IF131" s="1266"/>
      <c r="IG131" s="1266"/>
      <c r="IH131" s="1266"/>
      <c r="II131" s="1266"/>
      <c r="IJ131" s="1266"/>
      <c r="IK131" s="1266"/>
      <c r="IL131" s="1266"/>
      <c r="IM131" s="1266"/>
      <c r="IN131" s="1266"/>
      <c r="IO131" s="1266"/>
      <c r="IP131" s="1266"/>
      <c r="IQ131" s="1266"/>
    </row>
    <row r="132" spans="1:251" s="1267" customFormat="1" ht="18" customHeight="1">
      <c r="A132" s="520">
        <v>123</v>
      </c>
      <c r="B132" s="1260"/>
      <c r="C132" s="1261"/>
      <c r="D132" s="478" t="s">
        <v>757</v>
      </c>
      <c r="E132" s="1258"/>
      <c r="F132" s="1262"/>
      <c r="G132" s="1294"/>
      <c r="H132" s="1263"/>
      <c r="I132" s="1264"/>
      <c r="J132" s="1351">
        <v>15000</v>
      </c>
      <c r="K132" s="1351"/>
      <c r="L132" s="1447">
        <f>SUM(I132:K132)</f>
        <v>15000</v>
      </c>
      <c r="M132" s="1265"/>
      <c r="N132" s="1266"/>
      <c r="O132" s="1266"/>
      <c r="P132" s="1266"/>
      <c r="Q132" s="1266"/>
      <c r="R132" s="1266"/>
      <c r="S132" s="1266"/>
      <c r="T132" s="1266"/>
      <c r="U132" s="1266"/>
      <c r="V132" s="1266"/>
      <c r="W132" s="1266"/>
      <c r="X132" s="1266"/>
      <c r="Y132" s="1266"/>
      <c r="Z132" s="1266"/>
      <c r="AA132" s="1266"/>
      <c r="AB132" s="1266"/>
      <c r="AC132" s="1266"/>
      <c r="AD132" s="1266"/>
      <c r="AE132" s="1266"/>
      <c r="AF132" s="1266"/>
      <c r="AG132" s="1266"/>
      <c r="AH132" s="1266"/>
      <c r="AI132" s="1266"/>
      <c r="AJ132" s="1266"/>
      <c r="AK132" s="1266"/>
      <c r="AL132" s="1266"/>
      <c r="AM132" s="1266"/>
      <c r="AN132" s="1266"/>
      <c r="AO132" s="1266"/>
      <c r="AP132" s="1266"/>
      <c r="AQ132" s="1266"/>
      <c r="AR132" s="1266"/>
      <c r="AS132" s="1266"/>
      <c r="AT132" s="1266"/>
      <c r="AU132" s="1266"/>
      <c r="AV132" s="1266"/>
      <c r="AW132" s="1266"/>
      <c r="AX132" s="1266"/>
      <c r="AY132" s="1266"/>
      <c r="AZ132" s="1266"/>
      <c r="BA132" s="1266"/>
      <c r="BB132" s="1266"/>
      <c r="BC132" s="1266"/>
      <c r="BD132" s="1266"/>
      <c r="BE132" s="1266"/>
      <c r="BF132" s="1266"/>
      <c r="BG132" s="1266"/>
      <c r="BH132" s="1266"/>
      <c r="BI132" s="1266"/>
      <c r="BJ132" s="1266"/>
      <c r="BK132" s="1266"/>
      <c r="BL132" s="1266"/>
      <c r="BM132" s="1266"/>
      <c r="BN132" s="1266"/>
      <c r="BO132" s="1266"/>
      <c r="BP132" s="1266"/>
      <c r="BQ132" s="1266"/>
      <c r="BR132" s="1266"/>
      <c r="BS132" s="1266"/>
      <c r="BT132" s="1266"/>
      <c r="BU132" s="1266"/>
      <c r="BV132" s="1266"/>
      <c r="BW132" s="1266"/>
      <c r="BX132" s="1266"/>
      <c r="BY132" s="1266"/>
      <c r="BZ132" s="1266"/>
      <c r="CA132" s="1266"/>
      <c r="CB132" s="1266"/>
      <c r="CC132" s="1266"/>
      <c r="CD132" s="1266"/>
      <c r="CE132" s="1266"/>
      <c r="CF132" s="1266"/>
      <c r="CG132" s="1266"/>
      <c r="CH132" s="1266"/>
      <c r="CI132" s="1266"/>
      <c r="CJ132" s="1266"/>
      <c r="CK132" s="1266"/>
      <c r="CL132" s="1266"/>
      <c r="CM132" s="1266"/>
      <c r="CN132" s="1266"/>
      <c r="CO132" s="1266"/>
      <c r="CP132" s="1266"/>
      <c r="CQ132" s="1266"/>
      <c r="CR132" s="1266"/>
      <c r="CS132" s="1266"/>
      <c r="CT132" s="1266"/>
      <c r="CU132" s="1266"/>
      <c r="CV132" s="1266"/>
      <c r="CW132" s="1266"/>
      <c r="CX132" s="1266"/>
      <c r="CY132" s="1266"/>
      <c r="CZ132" s="1266"/>
      <c r="DA132" s="1266"/>
      <c r="DB132" s="1266"/>
      <c r="DC132" s="1266"/>
      <c r="DD132" s="1266"/>
      <c r="DE132" s="1266"/>
      <c r="DF132" s="1266"/>
      <c r="DG132" s="1266"/>
      <c r="DH132" s="1266"/>
      <c r="DI132" s="1266"/>
      <c r="DJ132" s="1266"/>
      <c r="DK132" s="1266"/>
      <c r="DL132" s="1266"/>
      <c r="DM132" s="1266"/>
      <c r="DN132" s="1266"/>
      <c r="DO132" s="1266"/>
      <c r="DP132" s="1266"/>
      <c r="DQ132" s="1266"/>
      <c r="DR132" s="1266"/>
      <c r="DS132" s="1266"/>
      <c r="DT132" s="1266"/>
      <c r="DU132" s="1266"/>
      <c r="DV132" s="1266"/>
      <c r="DW132" s="1266"/>
      <c r="DX132" s="1266"/>
      <c r="DY132" s="1266"/>
      <c r="DZ132" s="1266"/>
      <c r="EA132" s="1266"/>
      <c r="EB132" s="1266"/>
      <c r="EC132" s="1266"/>
      <c r="ED132" s="1266"/>
      <c r="EE132" s="1266"/>
      <c r="EF132" s="1266"/>
      <c r="EG132" s="1266"/>
      <c r="EH132" s="1266"/>
      <c r="EI132" s="1266"/>
      <c r="EJ132" s="1266"/>
      <c r="EK132" s="1266"/>
      <c r="EL132" s="1266"/>
      <c r="EM132" s="1266"/>
      <c r="EN132" s="1266"/>
      <c r="EO132" s="1266"/>
      <c r="EP132" s="1266"/>
      <c r="EQ132" s="1266"/>
      <c r="ER132" s="1266"/>
      <c r="ES132" s="1266"/>
      <c r="ET132" s="1266"/>
      <c r="EU132" s="1266"/>
      <c r="EV132" s="1266"/>
      <c r="EW132" s="1266"/>
      <c r="EX132" s="1266"/>
      <c r="EY132" s="1266"/>
      <c r="EZ132" s="1266"/>
      <c r="FA132" s="1266"/>
      <c r="FB132" s="1266"/>
      <c r="FC132" s="1266"/>
      <c r="FD132" s="1266"/>
      <c r="FE132" s="1266"/>
      <c r="FF132" s="1266"/>
      <c r="FG132" s="1266"/>
      <c r="FH132" s="1266"/>
      <c r="FI132" s="1266"/>
      <c r="FJ132" s="1266"/>
      <c r="FK132" s="1266"/>
      <c r="FL132" s="1266"/>
      <c r="FM132" s="1266"/>
      <c r="FN132" s="1266"/>
      <c r="FO132" s="1266"/>
      <c r="FP132" s="1266"/>
      <c r="FQ132" s="1266"/>
      <c r="FR132" s="1266"/>
      <c r="FS132" s="1266"/>
      <c r="FT132" s="1266"/>
      <c r="FU132" s="1266"/>
      <c r="FV132" s="1266"/>
      <c r="FW132" s="1266"/>
      <c r="FX132" s="1266"/>
      <c r="FY132" s="1266"/>
      <c r="FZ132" s="1266"/>
      <c r="GA132" s="1266"/>
      <c r="GB132" s="1266"/>
      <c r="GC132" s="1266"/>
      <c r="GD132" s="1266"/>
      <c r="GE132" s="1266"/>
      <c r="GF132" s="1266"/>
      <c r="GG132" s="1266"/>
      <c r="GH132" s="1266"/>
      <c r="GI132" s="1266"/>
      <c r="GJ132" s="1266"/>
      <c r="GK132" s="1266"/>
      <c r="GL132" s="1266"/>
      <c r="GM132" s="1266"/>
      <c r="GN132" s="1266"/>
      <c r="GO132" s="1266"/>
      <c r="GP132" s="1266"/>
      <c r="GQ132" s="1266"/>
      <c r="GR132" s="1266"/>
      <c r="GS132" s="1266"/>
      <c r="GT132" s="1266"/>
      <c r="GU132" s="1266"/>
      <c r="GV132" s="1266"/>
      <c r="GW132" s="1266"/>
      <c r="GX132" s="1266"/>
      <c r="GY132" s="1266"/>
      <c r="GZ132" s="1266"/>
      <c r="HA132" s="1266"/>
      <c r="HB132" s="1266"/>
      <c r="HC132" s="1266"/>
      <c r="HD132" s="1266"/>
      <c r="HE132" s="1266"/>
      <c r="HF132" s="1266"/>
      <c r="HG132" s="1266"/>
      <c r="HH132" s="1266"/>
      <c r="HI132" s="1266"/>
      <c r="HJ132" s="1266"/>
      <c r="HK132" s="1266"/>
      <c r="HL132" s="1266"/>
      <c r="HM132" s="1266"/>
      <c r="HN132" s="1266"/>
      <c r="HO132" s="1266"/>
      <c r="HP132" s="1266"/>
      <c r="HQ132" s="1266"/>
      <c r="HR132" s="1266"/>
      <c r="HS132" s="1266"/>
      <c r="HT132" s="1266"/>
      <c r="HU132" s="1266"/>
      <c r="HV132" s="1266"/>
      <c r="HW132" s="1266"/>
      <c r="HX132" s="1266"/>
      <c r="HY132" s="1266"/>
      <c r="HZ132" s="1266"/>
      <c r="IA132" s="1266"/>
      <c r="IB132" s="1266"/>
      <c r="IC132" s="1266"/>
      <c r="ID132" s="1266"/>
      <c r="IE132" s="1266"/>
      <c r="IF132" s="1266"/>
      <c r="IG132" s="1266"/>
      <c r="IH132" s="1266"/>
      <c r="II132" s="1266"/>
      <c r="IJ132" s="1266"/>
      <c r="IK132" s="1266"/>
      <c r="IL132" s="1266"/>
      <c r="IM132" s="1266"/>
      <c r="IN132" s="1266"/>
      <c r="IO132" s="1266"/>
      <c r="IP132" s="1266"/>
      <c r="IQ132" s="1266"/>
    </row>
    <row r="133" spans="1:251" ht="18" customHeight="1">
      <c r="A133" s="520">
        <v>124</v>
      </c>
      <c r="B133" s="533"/>
      <c r="C133" s="538"/>
      <c r="D133" s="1090" t="s">
        <v>893</v>
      </c>
      <c r="E133" s="535"/>
      <c r="F133" s="536"/>
      <c r="G133" s="1293"/>
      <c r="H133" s="746"/>
      <c r="I133" s="721"/>
      <c r="J133" s="1291">
        <v>0</v>
      </c>
      <c r="K133" s="1291"/>
      <c r="L133" s="1138">
        <f>SUM(I133:K133)</f>
        <v>0</v>
      </c>
      <c r="M133" s="537"/>
      <c r="N133" s="521"/>
      <c r="O133" s="521"/>
      <c r="P133" s="521"/>
      <c r="Q133" s="521"/>
      <c r="R133" s="521"/>
      <c r="S133" s="521"/>
      <c r="T133" s="521"/>
      <c r="U133" s="521"/>
      <c r="V133" s="521"/>
      <c r="W133" s="521"/>
      <c r="X133" s="521"/>
      <c r="Y133" s="521"/>
      <c r="Z133" s="521"/>
      <c r="AA133" s="521"/>
      <c r="AB133" s="521"/>
      <c r="AC133" s="521"/>
      <c r="AD133" s="521"/>
      <c r="AE133" s="521"/>
      <c r="AF133" s="521"/>
      <c r="AG133" s="521"/>
      <c r="AH133" s="521"/>
      <c r="AI133" s="521"/>
      <c r="AJ133" s="521"/>
      <c r="AK133" s="521"/>
      <c r="AL133" s="521"/>
      <c r="AM133" s="521"/>
      <c r="AN133" s="521"/>
      <c r="AO133" s="521"/>
      <c r="AP133" s="521"/>
      <c r="AQ133" s="521"/>
      <c r="AR133" s="521"/>
      <c r="AS133" s="521"/>
      <c r="AT133" s="521"/>
      <c r="AU133" s="521"/>
      <c r="AV133" s="521"/>
      <c r="AW133" s="521"/>
      <c r="AX133" s="521"/>
      <c r="AY133" s="521"/>
      <c r="AZ133" s="521"/>
      <c r="BA133" s="521"/>
      <c r="BB133" s="521"/>
      <c r="BC133" s="521"/>
      <c r="BD133" s="521"/>
      <c r="BE133" s="521"/>
      <c r="BF133" s="521"/>
      <c r="BG133" s="521"/>
      <c r="BH133" s="521"/>
      <c r="BI133" s="521"/>
      <c r="BJ133" s="521"/>
      <c r="BK133" s="521"/>
      <c r="BL133" s="521"/>
      <c r="BM133" s="521"/>
      <c r="BN133" s="521"/>
      <c r="BO133" s="521"/>
      <c r="BP133" s="521"/>
      <c r="BQ133" s="521"/>
      <c r="BR133" s="521"/>
      <c r="BS133" s="521"/>
      <c r="BT133" s="521"/>
      <c r="BU133" s="521"/>
      <c r="BV133" s="521"/>
      <c r="BW133" s="521"/>
      <c r="BX133" s="521"/>
      <c r="BY133" s="521"/>
      <c r="BZ133" s="521"/>
      <c r="CA133" s="521"/>
      <c r="CB133" s="521"/>
      <c r="CC133" s="521"/>
      <c r="CD133" s="521"/>
      <c r="CE133" s="521"/>
      <c r="CF133" s="521"/>
      <c r="CG133" s="521"/>
      <c r="CH133" s="521"/>
      <c r="CI133" s="521"/>
      <c r="CJ133" s="521"/>
      <c r="CK133" s="521"/>
      <c r="CL133" s="521"/>
      <c r="CM133" s="521"/>
      <c r="CN133" s="521"/>
      <c r="CO133" s="521"/>
      <c r="CP133" s="521"/>
      <c r="CQ133" s="521"/>
      <c r="CR133" s="521"/>
      <c r="CS133" s="521"/>
      <c r="CT133" s="521"/>
      <c r="CU133" s="521"/>
      <c r="CV133" s="521"/>
      <c r="CW133" s="521"/>
      <c r="CX133" s="521"/>
      <c r="CY133" s="521"/>
      <c r="CZ133" s="521"/>
      <c r="DA133" s="521"/>
      <c r="DB133" s="521"/>
      <c r="DC133" s="521"/>
      <c r="DD133" s="521"/>
      <c r="DE133" s="521"/>
      <c r="DF133" s="521"/>
      <c r="DG133" s="521"/>
      <c r="DH133" s="521"/>
      <c r="DI133" s="521"/>
      <c r="DJ133" s="521"/>
      <c r="DK133" s="521"/>
      <c r="DL133" s="521"/>
      <c r="DM133" s="521"/>
      <c r="DN133" s="521"/>
      <c r="DO133" s="521"/>
      <c r="DP133" s="521"/>
      <c r="DQ133" s="521"/>
      <c r="DR133" s="521"/>
      <c r="DS133" s="521"/>
      <c r="DT133" s="521"/>
      <c r="DU133" s="521"/>
      <c r="DV133" s="521"/>
      <c r="DW133" s="521"/>
      <c r="DX133" s="521"/>
      <c r="DY133" s="521"/>
      <c r="DZ133" s="521"/>
      <c r="EA133" s="521"/>
      <c r="EB133" s="521"/>
      <c r="EC133" s="521"/>
      <c r="ED133" s="521"/>
      <c r="EE133" s="521"/>
      <c r="EF133" s="521"/>
      <c r="EG133" s="521"/>
      <c r="EH133" s="521"/>
      <c r="EI133" s="521"/>
      <c r="EJ133" s="521"/>
      <c r="EK133" s="521"/>
      <c r="EL133" s="521"/>
      <c r="EM133" s="521"/>
      <c r="EN133" s="521"/>
      <c r="EO133" s="521"/>
      <c r="EP133" s="521"/>
      <c r="EQ133" s="521"/>
      <c r="ER133" s="521"/>
      <c r="ES133" s="521"/>
      <c r="ET133" s="521"/>
      <c r="EU133" s="521"/>
      <c r="EV133" s="521"/>
      <c r="EW133" s="521"/>
      <c r="EX133" s="521"/>
      <c r="EY133" s="521"/>
      <c r="EZ133" s="521"/>
      <c r="FA133" s="521"/>
      <c r="FB133" s="521"/>
      <c r="FC133" s="521"/>
      <c r="FD133" s="521"/>
      <c r="FE133" s="521"/>
      <c r="FF133" s="521"/>
      <c r="FG133" s="521"/>
      <c r="FH133" s="521"/>
      <c r="FI133" s="521"/>
      <c r="FJ133" s="521"/>
      <c r="FK133" s="521"/>
      <c r="FL133" s="521"/>
      <c r="FM133" s="521"/>
      <c r="FN133" s="521"/>
      <c r="FO133" s="521"/>
      <c r="FP133" s="521"/>
      <c r="FQ133" s="521"/>
      <c r="FR133" s="521"/>
      <c r="FS133" s="521"/>
      <c r="FT133" s="521"/>
      <c r="FU133" s="521"/>
      <c r="FV133" s="521"/>
      <c r="FW133" s="521"/>
      <c r="FX133" s="521"/>
      <c r="FY133" s="521"/>
      <c r="FZ133" s="521"/>
      <c r="GA133" s="521"/>
      <c r="GB133" s="521"/>
      <c r="GC133" s="521"/>
      <c r="GD133" s="521"/>
      <c r="GE133" s="521"/>
      <c r="GF133" s="521"/>
      <c r="GG133" s="521"/>
      <c r="GH133" s="521"/>
      <c r="GI133" s="521"/>
      <c r="GJ133" s="521"/>
      <c r="GK133" s="521"/>
      <c r="GL133" s="521"/>
      <c r="GM133" s="521"/>
      <c r="GN133" s="521"/>
      <c r="GO133" s="521"/>
      <c r="GP133" s="521"/>
      <c r="GQ133" s="521"/>
      <c r="GR133" s="521"/>
      <c r="GS133" s="521"/>
      <c r="GT133" s="521"/>
      <c r="GU133" s="521"/>
      <c r="GV133" s="521"/>
      <c r="GW133" s="521"/>
      <c r="GX133" s="521"/>
      <c r="GY133" s="521"/>
      <c r="GZ133" s="521"/>
      <c r="HA133" s="521"/>
      <c r="HB133" s="521"/>
      <c r="HC133" s="521"/>
      <c r="HD133" s="521"/>
      <c r="HE133" s="521"/>
      <c r="HF133" s="521"/>
      <c r="HG133" s="521"/>
      <c r="HH133" s="521"/>
      <c r="HI133" s="521"/>
      <c r="HJ133" s="521"/>
      <c r="HK133" s="521"/>
      <c r="HL133" s="521"/>
      <c r="HM133" s="521"/>
      <c r="HN133" s="521"/>
      <c r="HO133" s="521"/>
      <c r="HP133" s="521"/>
      <c r="HQ133" s="521"/>
      <c r="HR133" s="521"/>
      <c r="HS133" s="521"/>
      <c r="HT133" s="521"/>
      <c r="HU133" s="521"/>
      <c r="HV133" s="521"/>
      <c r="HW133" s="521"/>
      <c r="HX133" s="521"/>
      <c r="HY133" s="521"/>
      <c r="HZ133" s="521"/>
      <c r="IA133" s="521"/>
      <c r="IB133" s="521"/>
      <c r="IC133" s="521"/>
      <c r="ID133" s="521"/>
      <c r="IE133" s="521"/>
      <c r="IF133" s="521"/>
      <c r="IG133" s="521"/>
      <c r="IH133" s="521"/>
      <c r="II133" s="521"/>
      <c r="IJ133" s="521"/>
      <c r="IK133" s="521"/>
      <c r="IL133" s="521"/>
      <c r="IM133" s="521"/>
      <c r="IN133" s="521"/>
      <c r="IO133" s="521"/>
      <c r="IP133" s="521"/>
      <c r="IQ133" s="521"/>
    </row>
    <row r="134" spans="1:251" ht="50.25" customHeight="1">
      <c r="A134" s="520">
        <v>125</v>
      </c>
      <c r="B134" s="533"/>
      <c r="C134" s="538">
        <v>32</v>
      </c>
      <c r="D134" s="997" t="s">
        <v>750</v>
      </c>
      <c r="E134" s="535">
        <f>F134+G134+L136+M135</f>
        <v>100</v>
      </c>
      <c r="F134" s="536"/>
      <c r="G134" s="1293">
        <v>10</v>
      </c>
      <c r="H134" s="746" t="s">
        <v>23</v>
      </c>
      <c r="I134" s="721"/>
      <c r="J134" s="535"/>
      <c r="K134" s="535"/>
      <c r="L134" s="546"/>
      <c r="M134" s="537"/>
      <c r="N134" s="521"/>
      <c r="O134" s="521"/>
      <c r="P134" s="521"/>
      <c r="Q134" s="521"/>
      <c r="R134" s="521"/>
      <c r="S134" s="521"/>
      <c r="T134" s="521"/>
      <c r="U134" s="521"/>
      <c r="V134" s="521"/>
      <c r="W134" s="521"/>
      <c r="X134" s="521"/>
      <c r="Y134" s="521"/>
      <c r="Z134" s="521"/>
      <c r="AA134" s="521"/>
      <c r="AB134" s="521"/>
      <c r="AC134" s="521"/>
      <c r="AD134" s="521"/>
      <c r="AE134" s="521"/>
      <c r="AF134" s="521"/>
      <c r="AG134" s="521"/>
      <c r="AH134" s="521"/>
      <c r="AI134" s="521"/>
      <c r="AJ134" s="521"/>
      <c r="AK134" s="521"/>
      <c r="AL134" s="521"/>
      <c r="AM134" s="521"/>
      <c r="AN134" s="521"/>
      <c r="AO134" s="521"/>
      <c r="AP134" s="521"/>
      <c r="AQ134" s="521"/>
      <c r="AR134" s="521"/>
      <c r="AS134" s="521"/>
      <c r="AT134" s="521"/>
      <c r="AU134" s="521"/>
      <c r="AV134" s="521"/>
      <c r="AW134" s="521"/>
      <c r="AX134" s="521"/>
      <c r="AY134" s="521"/>
      <c r="AZ134" s="521"/>
      <c r="BA134" s="521"/>
      <c r="BB134" s="521"/>
      <c r="BC134" s="521"/>
      <c r="BD134" s="521"/>
      <c r="BE134" s="521"/>
      <c r="BF134" s="521"/>
      <c r="BG134" s="521"/>
      <c r="BH134" s="521"/>
      <c r="BI134" s="521"/>
      <c r="BJ134" s="521"/>
      <c r="BK134" s="521"/>
      <c r="BL134" s="521"/>
      <c r="BM134" s="521"/>
      <c r="BN134" s="521"/>
      <c r="BO134" s="521"/>
      <c r="BP134" s="521"/>
      <c r="BQ134" s="521"/>
      <c r="BR134" s="521"/>
      <c r="BS134" s="521"/>
      <c r="BT134" s="521"/>
      <c r="BU134" s="521"/>
      <c r="BV134" s="521"/>
      <c r="BW134" s="521"/>
      <c r="BX134" s="521"/>
      <c r="BY134" s="521"/>
      <c r="BZ134" s="521"/>
      <c r="CA134" s="521"/>
      <c r="CB134" s="521"/>
      <c r="CC134" s="521"/>
      <c r="CD134" s="521"/>
      <c r="CE134" s="521"/>
      <c r="CF134" s="521"/>
      <c r="CG134" s="521"/>
      <c r="CH134" s="521"/>
      <c r="CI134" s="521"/>
      <c r="CJ134" s="521"/>
      <c r="CK134" s="521"/>
      <c r="CL134" s="521"/>
      <c r="CM134" s="521"/>
      <c r="CN134" s="521"/>
      <c r="CO134" s="521"/>
      <c r="CP134" s="521"/>
      <c r="CQ134" s="521"/>
      <c r="CR134" s="521"/>
      <c r="CS134" s="521"/>
      <c r="CT134" s="521"/>
      <c r="CU134" s="521"/>
      <c r="CV134" s="521"/>
      <c r="CW134" s="521"/>
      <c r="CX134" s="521"/>
      <c r="CY134" s="521"/>
      <c r="CZ134" s="521"/>
      <c r="DA134" s="521"/>
      <c r="DB134" s="521"/>
      <c r="DC134" s="521"/>
      <c r="DD134" s="521"/>
      <c r="DE134" s="521"/>
      <c r="DF134" s="521"/>
      <c r="DG134" s="521"/>
      <c r="DH134" s="521"/>
      <c r="DI134" s="521"/>
      <c r="DJ134" s="521"/>
      <c r="DK134" s="521"/>
      <c r="DL134" s="521"/>
      <c r="DM134" s="521"/>
      <c r="DN134" s="521"/>
      <c r="DO134" s="521"/>
      <c r="DP134" s="521"/>
      <c r="DQ134" s="521"/>
      <c r="DR134" s="521"/>
      <c r="DS134" s="521"/>
      <c r="DT134" s="521"/>
      <c r="DU134" s="521"/>
      <c r="DV134" s="521"/>
      <c r="DW134" s="521"/>
      <c r="DX134" s="521"/>
      <c r="DY134" s="521"/>
      <c r="DZ134" s="521"/>
      <c r="EA134" s="521"/>
      <c r="EB134" s="521"/>
      <c r="EC134" s="521"/>
      <c r="ED134" s="521"/>
      <c r="EE134" s="521"/>
      <c r="EF134" s="521"/>
      <c r="EG134" s="521"/>
      <c r="EH134" s="521"/>
      <c r="EI134" s="521"/>
      <c r="EJ134" s="521"/>
      <c r="EK134" s="521"/>
      <c r="EL134" s="521"/>
      <c r="EM134" s="521"/>
      <c r="EN134" s="521"/>
      <c r="EO134" s="521"/>
      <c r="EP134" s="521"/>
      <c r="EQ134" s="521"/>
      <c r="ER134" s="521"/>
      <c r="ES134" s="521"/>
      <c r="ET134" s="521"/>
      <c r="EU134" s="521"/>
      <c r="EV134" s="521"/>
      <c r="EW134" s="521"/>
      <c r="EX134" s="521"/>
      <c r="EY134" s="521"/>
      <c r="EZ134" s="521"/>
      <c r="FA134" s="521"/>
      <c r="FB134" s="521"/>
      <c r="FC134" s="521"/>
      <c r="FD134" s="521"/>
      <c r="FE134" s="521"/>
      <c r="FF134" s="521"/>
      <c r="FG134" s="521"/>
      <c r="FH134" s="521"/>
      <c r="FI134" s="521"/>
      <c r="FJ134" s="521"/>
      <c r="FK134" s="521"/>
      <c r="FL134" s="521"/>
      <c r="FM134" s="521"/>
      <c r="FN134" s="521"/>
      <c r="FO134" s="521"/>
      <c r="FP134" s="521"/>
      <c r="FQ134" s="521"/>
      <c r="FR134" s="521"/>
      <c r="FS134" s="521"/>
      <c r="FT134" s="521"/>
      <c r="FU134" s="521"/>
      <c r="FV134" s="521"/>
      <c r="FW134" s="521"/>
      <c r="FX134" s="521"/>
      <c r="FY134" s="521"/>
      <c r="FZ134" s="521"/>
      <c r="GA134" s="521"/>
      <c r="GB134" s="521"/>
      <c r="GC134" s="521"/>
      <c r="GD134" s="521"/>
      <c r="GE134" s="521"/>
      <c r="GF134" s="521"/>
      <c r="GG134" s="521"/>
      <c r="GH134" s="521"/>
      <c r="GI134" s="521"/>
      <c r="GJ134" s="521"/>
      <c r="GK134" s="521"/>
      <c r="GL134" s="521"/>
      <c r="GM134" s="521"/>
      <c r="GN134" s="521"/>
      <c r="GO134" s="521"/>
      <c r="GP134" s="521"/>
      <c r="GQ134" s="521"/>
      <c r="GR134" s="521"/>
      <c r="GS134" s="521"/>
      <c r="GT134" s="521"/>
      <c r="GU134" s="521"/>
      <c r="GV134" s="521"/>
      <c r="GW134" s="521"/>
      <c r="GX134" s="521"/>
      <c r="GY134" s="521"/>
      <c r="GZ134" s="521"/>
      <c r="HA134" s="521"/>
      <c r="HB134" s="521"/>
      <c r="HC134" s="521"/>
      <c r="HD134" s="521"/>
      <c r="HE134" s="521"/>
      <c r="HF134" s="521"/>
      <c r="HG134" s="521"/>
      <c r="HH134" s="521"/>
      <c r="HI134" s="521"/>
      <c r="HJ134" s="521"/>
      <c r="HK134" s="521"/>
      <c r="HL134" s="521"/>
      <c r="HM134" s="521"/>
      <c r="HN134" s="521"/>
      <c r="HO134" s="521"/>
      <c r="HP134" s="521"/>
      <c r="HQ134" s="521"/>
      <c r="HR134" s="521"/>
      <c r="HS134" s="521"/>
      <c r="HT134" s="521"/>
      <c r="HU134" s="521"/>
      <c r="HV134" s="521"/>
      <c r="HW134" s="521"/>
      <c r="HX134" s="521"/>
      <c r="HY134" s="521"/>
      <c r="HZ134" s="521"/>
      <c r="IA134" s="521"/>
      <c r="IB134" s="521"/>
      <c r="IC134" s="521"/>
      <c r="ID134" s="521"/>
      <c r="IE134" s="521"/>
      <c r="IF134" s="521"/>
      <c r="IG134" s="521"/>
      <c r="IH134" s="521"/>
      <c r="II134" s="521"/>
      <c r="IJ134" s="521"/>
      <c r="IK134" s="521"/>
      <c r="IL134" s="521"/>
      <c r="IM134" s="521"/>
      <c r="IN134" s="521"/>
      <c r="IO134" s="521"/>
      <c r="IP134" s="521"/>
      <c r="IQ134" s="521"/>
    </row>
    <row r="135" spans="1:251" s="1267" customFormat="1" ht="18" customHeight="1">
      <c r="A135" s="520">
        <v>126</v>
      </c>
      <c r="B135" s="1260"/>
      <c r="C135" s="1261"/>
      <c r="D135" s="589" t="s">
        <v>283</v>
      </c>
      <c r="E135" s="1258"/>
      <c r="F135" s="1262"/>
      <c r="G135" s="1294"/>
      <c r="H135" s="1263"/>
      <c r="I135" s="1264"/>
      <c r="J135" s="1258">
        <v>90</v>
      </c>
      <c r="K135" s="1258"/>
      <c r="L135" s="1259">
        <f>SUM(I135:K135)</f>
        <v>90</v>
      </c>
      <c r="M135" s="1265"/>
      <c r="N135" s="1266"/>
      <c r="O135" s="1266"/>
      <c r="P135" s="1266"/>
      <c r="Q135" s="1266"/>
      <c r="R135" s="1266"/>
      <c r="S135" s="1266"/>
      <c r="T135" s="1266"/>
      <c r="U135" s="1266"/>
      <c r="V135" s="1266"/>
      <c r="W135" s="1266"/>
      <c r="X135" s="1266"/>
      <c r="Y135" s="1266"/>
      <c r="Z135" s="1266"/>
      <c r="AA135" s="1266"/>
      <c r="AB135" s="1266"/>
      <c r="AC135" s="1266"/>
      <c r="AD135" s="1266"/>
      <c r="AE135" s="1266"/>
      <c r="AF135" s="1266"/>
      <c r="AG135" s="1266"/>
      <c r="AH135" s="1266"/>
      <c r="AI135" s="1266"/>
      <c r="AJ135" s="1266"/>
      <c r="AK135" s="1266"/>
      <c r="AL135" s="1266"/>
      <c r="AM135" s="1266"/>
      <c r="AN135" s="1266"/>
      <c r="AO135" s="1266"/>
      <c r="AP135" s="1266"/>
      <c r="AQ135" s="1266"/>
      <c r="AR135" s="1266"/>
      <c r="AS135" s="1266"/>
      <c r="AT135" s="1266"/>
      <c r="AU135" s="1266"/>
      <c r="AV135" s="1266"/>
      <c r="AW135" s="1266"/>
      <c r="AX135" s="1266"/>
      <c r="AY135" s="1266"/>
      <c r="AZ135" s="1266"/>
      <c r="BA135" s="1266"/>
      <c r="BB135" s="1266"/>
      <c r="BC135" s="1266"/>
      <c r="BD135" s="1266"/>
      <c r="BE135" s="1266"/>
      <c r="BF135" s="1266"/>
      <c r="BG135" s="1266"/>
      <c r="BH135" s="1266"/>
      <c r="BI135" s="1266"/>
      <c r="BJ135" s="1266"/>
      <c r="BK135" s="1266"/>
      <c r="BL135" s="1266"/>
      <c r="BM135" s="1266"/>
      <c r="BN135" s="1266"/>
      <c r="BO135" s="1266"/>
      <c r="BP135" s="1266"/>
      <c r="BQ135" s="1266"/>
      <c r="BR135" s="1266"/>
      <c r="BS135" s="1266"/>
      <c r="BT135" s="1266"/>
      <c r="BU135" s="1266"/>
      <c r="BV135" s="1266"/>
      <c r="BW135" s="1266"/>
      <c r="BX135" s="1266"/>
      <c r="BY135" s="1266"/>
      <c r="BZ135" s="1266"/>
      <c r="CA135" s="1266"/>
      <c r="CB135" s="1266"/>
      <c r="CC135" s="1266"/>
      <c r="CD135" s="1266"/>
      <c r="CE135" s="1266"/>
      <c r="CF135" s="1266"/>
      <c r="CG135" s="1266"/>
      <c r="CH135" s="1266"/>
      <c r="CI135" s="1266"/>
      <c r="CJ135" s="1266"/>
      <c r="CK135" s="1266"/>
      <c r="CL135" s="1266"/>
      <c r="CM135" s="1266"/>
      <c r="CN135" s="1266"/>
      <c r="CO135" s="1266"/>
      <c r="CP135" s="1266"/>
      <c r="CQ135" s="1266"/>
      <c r="CR135" s="1266"/>
      <c r="CS135" s="1266"/>
      <c r="CT135" s="1266"/>
      <c r="CU135" s="1266"/>
      <c r="CV135" s="1266"/>
      <c r="CW135" s="1266"/>
      <c r="CX135" s="1266"/>
      <c r="CY135" s="1266"/>
      <c r="CZ135" s="1266"/>
      <c r="DA135" s="1266"/>
      <c r="DB135" s="1266"/>
      <c r="DC135" s="1266"/>
      <c r="DD135" s="1266"/>
      <c r="DE135" s="1266"/>
      <c r="DF135" s="1266"/>
      <c r="DG135" s="1266"/>
      <c r="DH135" s="1266"/>
      <c r="DI135" s="1266"/>
      <c r="DJ135" s="1266"/>
      <c r="DK135" s="1266"/>
      <c r="DL135" s="1266"/>
      <c r="DM135" s="1266"/>
      <c r="DN135" s="1266"/>
      <c r="DO135" s="1266"/>
      <c r="DP135" s="1266"/>
      <c r="DQ135" s="1266"/>
      <c r="DR135" s="1266"/>
      <c r="DS135" s="1266"/>
      <c r="DT135" s="1266"/>
      <c r="DU135" s="1266"/>
      <c r="DV135" s="1266"/>
      <c r="DW135" s="1266"/>
      <c r="DX135" s="1266"/>
      <c r="DY135" s="1266"/>
      <c r="DZ135" s="1266"/>
      <c r="EA135" s="1266"/>
      <c r="EB135" s="1266"/>
      <c r="EC135" s="1266"/>
      <c r="ED135" s="1266"/>
      <c r="EE135" s="1266"/>
      <c r="EF135" s="1266"/>
      <c r="EG135" s="1266"/>
      <c r="EH135" s="1266"/>
      <c r="EI135" s="1266"/>
      <c r="EJ135" s="1266"/>
      <c r="EK135" s="1266"/>
      <c r="EL135" s="1266"/>
      <c r="EM135" s="1266"/>
      <c r="EN135" s="1266"/>
      <c r="EO135" s="1266"/>
      <c r="EP135" s="1266"/>
      <c r="EQ135" s="1266"/>
      <c r="ER135" s="1266"/>
      <c r="ES135" s="1266"/>
      <c r="ET135" s="1266"/>
      <c r="EU135" s="1266"/>
      <c r="EV135" s="1266"/>
      <c r="EW135" s="1266"/>
      <c r="EX135" s="1266"/>
      <c r="EY135" s="1266"/>
      <c r="EZ135" s="1266"/>
      <c r="FA135" s="1266"/>
      <c r="FB135" s="1266"/>
      <c r="FC135" s="1266"/>
      <c r="FD135" s="1266"/>
      <c r="FE135" s="1266"/>
      <c r="FF135" s="1266"/>
      <c r="FG135" s="1266"/>
      <c r="FH135" s="1266"/>
      <c r="FI135" s="1266"/>
      <c r="FJ135" s="1266"/>
      <c r="FK135" s="1266"/>
      <c r="FL135" s="1266"/>
      <c r="FM135" s="1266"/>
      <c r="FN135" s="1266"/>
      <c r="FO135" s="1266"/>
      <c r="FP135" s="1266"/>
      <c r="FQ135" s="1266"/>
      <c r="FR135" s="1266"/>
      <c r="FS135" s="1266"/>
      <c r="FT135" s="1266"/>
      <c r="FU135" s="1266"/>
      <c r="FV135" s="1266"/>
      <c r="FW135" s="1266"/>
      <c r="FX135" s="1266"/>
      <c r="FY135" s="1266"/>
      <c r="FZ135" s="1266"/>
      <c r="GA135" s="1266"/>
      <c r="GB135" s="1266"/>
      <c r="GC135" s="1266"/>
      <c r="GD135" s="1266"/>
      <c r="GE135" s="1266"/>
      <c r="GF135" s="1266"/>
      <c r="GG135" s="1266"/>
      <c r="GH135" s="1266"/>
      <c r="GI135" s="1266"/>
      <c r="GJ135" s="1266"/>
      <c r="GK135" s="1266"/>
      <c r="GL135" s="1266"/>
      <c r="GM135" s="1266"/>
      <c r="GN135" s="1266"/>
      <c r="GO135" s="1266"/>
      <c r="GP135" s="1266"/>
      <c r="GQ135" s="1266"/>
      <c r="GR135" s="1266"/>
      <c r="GS135" s="1266"/>
      <c r="GT135" s="1266"/>
      <c r="GU135" s="1266"/>
      <c r="GV135" s="1266"/>
      <c r="GW135" s="1266"/>
      <c r="GX135" s="1266"/>
      <c r="GY135" s="1266"/>
      <c r="GZ135" s="1266"/>
      <c r="HA135" s="1266"/>
      <c r="HB135" s="1266"/>
      <c r="HC135" s="1266"/>
      <c r="HD135" s="1266"/>
      <c r="HE135" s="1266"/>
      <c r="HF135" s="1266"/>
      <c r="HG135" s="1266"/>
      <c r="HH135" s="1266"/>
      <c r="HI135" s="1266"/>
      <c r="HJ135" s="1266"/>
      <c r="HK135" s="1266"/>
      <c r="HL135" s="1266"/>
      <c r="HM135" s="1266"/>
      <c r="HN135" s="1266"/>
      <c r="HO135" s="1266"/>
      <c r="HP135" s="1266"/>
      <c r="HQ135" s="1266"/>
      <c r="HR135" s="1266"/>
      <c r="HS135" s="1266"/>
      <c r="HT135" s="1266"/>
      <c r="HU135" s="1266"/>
      <c r="HV135" s="1266"/>
      <c r="HW135" s="1266"/>
      <c r="HX135" s="1266"/>
      <c r="HY135" s="1266"/>
      <c r="HZ135" s="1266"/>
      <c r="IA135" s="1266"/>
      <c r="IB135" s="1266"/>
      <c r="IC135" s="1266"/>
      <c r="ID135" s="1266"/>
      <c r="IE135" s="1266"/>
      <c r="IF135" s="1266"/>
      <c r="IG135" s="1266"/>
      <c r="IH135" s="1266"/>
      <c r="II135" s="1266"/>
      <c r="IJ135" s="1266"/>
      <c r="IK135" s="1266"/>
      <c r="IL135" s="1266"/>
      <c r="IM135" s="1266"/>
      <c r="IN135" s="1266"/>
      <c r="IO135" s="1266"/>
      <c r="IP135" s="1266"/>
      <c r="IQ135" s="1266"/>
    </row>
    <row r="136" spans="1:251" s="1267" customFormat="1" ht="18" customHeight="1">
      <c r="A136" s="520">
        <v>127</v>
      </c>
      <c r="B136" s="1260"/>
      <c r="C136" s="1261"/>
      <c r="D136" s="478" t="s">
        <v>757</v>
      </c>
      <c r="E136" s="1258"/>
      <c r="F136" s="1262"/>
      <c r="G136" s="1294"/>
      <c r="H136" s="1263"/>
      <c r="I136" s="1264"/>
      <c r="J136" s="1351">
        <v>90</v>
      </c>
      <c r="K136" s="1351"/>
      <c r="L136" s="1447">
        <f>SUM(I136:K136)</f>
        <v>90</v>
      </c>
      <c r="M136" s="1265"/>
      <c r="N136" s="1266"/>
      <c r="O136" s="1266"/>
      <c r="P136" s="1266"/>
      <c r="Q136" s="1266"/>
      <c r="R136" s="1266"/>
      <c r="S136" s="1266"/>
      <c r="T136" s="1266"/>
      <c r="U136" s="1266"/>
      <c r="V136" s="1266"/>
      <c r="W136" s="1266"/>
      <c r="X136" s="1266"/>
      <c r="Y136" s="1266"/>
      <c r="Z136" s="1266"/>
      <c r="AA136" s="1266"/>
      <c r="AB136" s="1266"/>
      <c r="AC136" s="1266"/>
      <c r="AD136" s="1266"/>
      <c r="AE136" s="1266"/>
      <c r="AF136" s="1266"/>
      <c r="AG136" s="1266"/>
      <c r="AH136" s="1266"/>
      <c r="AI136" s="1266"/>
      <c r="AJ136" s="1266"/>
      <c r="AK136" s="1266"/>
      <c r="AL136" s="1266"/>
      <c r="AM136" s="1266"/>
      <c r="AN136" s="1266"/>
      <c r="AO136" s="1266"/>
      <c r="AP136" s="1266"/>
      <c r="AQ136" s="1266"/>
      <c r="AR136" s="1266"/>
      <c r="AS136" s="1266"/>
      <c r="AT136" s="1266"/>
      <c r="AU136" s="1266"/>
      <c r="AV136" s="1266"/>
      <c r="AW136" s="1266"/>
      <c r="AX136" s="1266"/>
      <c r="AY136" s="1266"/>
      <c r="AZ136" s="1266"/>
      <c r="BA136" s="1266"/>
      <c r="BB136" s="1266"/>
      <c r="BC136" s="1266"/>
      <c r="BD136" s="1266"/>
      <c r="BE136" s="1266"/>
      <c r="BF136" s="1266"/>
      <c r="BG136" s="1266"/>
      <c r="BH136" s="1266"/>
      <c r="BI136" s="1266"/>
      <c r="BJ136" s="1266"/>
      <c r="BK136" s="1266"/>
      <c r="BL136" s="1266"/>
      <c r="BM136" s="1266"/>
      <c r="BN136" s="1266"/>
      <c r="BO136" s="1266"/>
      <c r="BP136" s="1266"/>
      <c r="BQ136" s="1266"/>
      <c r="BR136" s="1266"/>
      <c r="BS136" s="1266"/>
      <c r="BT136" s="1266"/>
      <c r="BU136" s="1266"/>
      <c r="BV136" s="1266"/>
      <c r="BW136" s="1266"/>
      <c r="BX136" s="1266"/>
      <c r="BY136" s="1266"/>
      <c r="BZ136" s="1266"/>
      <c r="CA136" s="1266"/>
      <c r="CB136" s="1266"/>
      <c r="CC136" s="1266"/>
      <c r="CD136" s="1266"/>
      <c r="CE136" s="1266"/>
      <c r="CF136" s="1266"/>
      <c r="CG136" s="1266"/>
      <c r="CH136" s="1266"/>
      <c r="CI136" s="1266"/>
      <c r="CJ136" s="1266"/>
      <c r="CK136" s="1266"/>
      <c r="CL136" s="1266"/>
      <c r="CM136" s="1266"/>
      <c r="CN136" s="1266"/>
      <c r="CO136" s="1266"/>
      <c r="CP136" s="1266"/>
      <c r="CQ136" s="1266"/>
      <c r="CR136" s="1266"/>
      <c r="CS136" s="1266"/>
      <c r="CT136" s="1266"/>
      <c r="CU136" s="1266"/>
      <c r="CV136" s="1266"/>
      <c r="CW136" s="1266"/>
      <c r="CX136" s="1266"/>
      <c r="CY136" s="1266"/>
      <c r="CZ136" s="1266"/>
      <c r="DA136" s="1266"/>
      <c r="DB136" s="1266"/>
      <c r="DC136" s="1266"/>
      <c r="DD136" s="1266"/>
      <c r="DE136" s="1266"/>
      <c r="DF136" s="1266"/>
      <c r="DG136" s="1266"/>
      <c r="DH136" s="1266"/>
      <c r="DI136" s="1266"/>
      <c r="DJ136" s="1266"/>
      <c r="DK136" s="1266"/>
      <c r="DL136" s="1266"/>
      <c r="DM136" s="1266"/>
      <c r="DN136" s="1266"/>
      <c r="DO136" s="1266"/>
      <c r="DP136" s="1266"/>
      <c r="DQ136" s="1266"/>
      <c r="DR136" s="1266"/>
      <c r="DS136" s="1266"/>
      <c r="DT136" s="1266"/>
      <c r="DU136" s="1266"/>
      <c r="DV136" s="1266"/>
      <c r="DW136" s="1266"/>
      <c r="DX136" s="1266"/>
      <c r="DY136" s="1266"/>
      <c r="DZ136" s="1266"/>
      <c r="EA136" s="1266"/>
      <c r="EB136" s="1266"/>
      <c r="EC136" s="1266"/>
      <c r="ED136" s="1266"/>
      <c r="EE136" s="1266"/>
      <c r="EF136" s="1266"/>
      <c r="EG136" s="1266"/>
      <c r="EH136" s="1266"/>
      <c r="EI136" s="1266"/>
      <c r="EJ136" s="1266"/>
      <c r="EK136" s="1266"/>
      <c r="EL136" s="1266"/>
      <c r="EM136" s="1266"/>
      <c r="EN136" s="1266"/>
      <c r="EO136" s="1266"/>
      <c r="EP136" s="1266"/>
      <c r="EQ136" s="1266"/>
      <c r="ER136" s="1266"/>
      <c r="ES136" s="1266"/>
      <c r="ET136" s="1266"/>
      <c r="EU136" s="1266"/>
      <c r="EV136" s="1266"/>
      <c r="EW136" s="1266"/>
      <c r="EX136" s="1266"/>
      <c r="EY136" s="1266"/>
      <c r="EZ136" s="1266"/>
      <c r="FA136" s="1266"/>
      <c r="FB136" s="1266"/>
      <c r="FC136" s="1266"/>
      <c r="FD136" s="1266"/>
      <c r="FE136" s="1266"/>
      <c r="FF136" s="1266"/>
      <c r="FG136" s="1266"/>
      <c r="FH136" s="1266"/>
      <c r="FI136" s="1266"/>
      <c r="FJ136" s="1266"/>
      <c r="FK136" s="1266"/>
      <c r="FL136" s="1266"/>
      <c r="FM136" s="1266"/>
      <c r="FN136" s="1266"/>
      <c r="FO136" s="1266"/>
      <c r="FP136" s="1266"/>
      <c r="FQ136" s="1266"/>
      <c r="FR136" s="1266"/>
      <c r="FS136" s="1266"/>
      <c r="FT136" s="1266"/>
      <c r="FU136" s="1266"/>
      <c r="FV136" s="1266"/>
      <c r="FW136" s="1266"/>
      <c r="FX136" s="1266"/>
      <c r="FY136" s="1266"/>
      <c r="FZ136" s="1266"/>
      <c r="GA136" s="1266"/>
      <c r="GB136" s="1266"/>
      <c r="GC136" s="1266"/>
      <c r="GD136" s="1266"/>
      <c r="GE136" s="1266"/>
      <c r="GF136" s="1266"/>
      <c r="GG136" s="1266"/>
      <c r="GH136" s="1266"/>
      <c r="GI136" s="1266"/>
      <c r="GJ136" s="1266"/>
      <c r="GK136" s="1266"/>
      <c r="GL136" s="1266"/>
      <c r="GM136" s="1266"/>
      <c r="GN136" s="1266"/>
      <c r="GO136" s="1266"/>
      <c r="GP136" s="1266"/>
      <c r="GQ136" s="1266"/>
      <c r="GR136" s="1266"/>
      <c r="GS136" s="1266"/>
      <c r="GT136" s="1266"/>
      <c r="GU136" s="1266"/>
      <c r="GV136" s="1266"/>
      <c r="GW136" s="1266"/>
      <c r="GX136" s="1266"/>
      <c r="GY136" s="1266"/>
      <c r="GZ136" s="1266"/>
      <c r="HA136" s="1266"/>
      <c r="HB136" s="1266"/>
      <c r="HC136" s="1266"/>
      <c r="HD136" s="1266"/>
      <c r="HE136" s="1266"/>
      <c r="HF136" s="1266"/>
      <c r="HG136" s="1266"/>
      <c r="HH136" s="1266"/>
      <c r="HI136" s="1266"/>
      <c r="HJ136" s="1266"/>
      <c r="HK136" s="1266"/>
      <c r="HL136" s="1266"/>
      <c r="HM136" s="1266"/>
      <c r="HN136" s="1266"/>
      <c r="HO136" s="1266"/>
      <c r="HP136" s="1266"/>
      <c r="HQ136" s="1266"/>
      <c r="HR136" s="1266"/>
      <c r="HS136" s="1266"/>
      <c r="HT136" s="1266"/>
      <c r="HU136" s="1266"/>
      <c r="HV136" s="1266"/>
      <c r="HW136" s="1266"/>
      <c r="HX136" s="1266"/>
      <c r="HY136" s="1266"/>
      <c r="HZ136" s="1266"/>
      <c r="IA136" s="1266"/>
      <c r="IB136" s="1266"/>
      <c r="IC136" s="1266"/>
      <c r="ID136" s="1266"/>
      <c r="IE136" s="1266"/>
      <c r="IF136" s="1266"/>
      <c r="IG136" s="1266"/>
      <c r="IH136" s="1266"/>
      <c r="II136" s="1266"/>
      <c r="IJ136" s="1266"/>
      <c r="IK136" s="1266"/>
      <c r="IL136" s="1266"/>
      <c r="IM136" s="1266"/>
      <c r="IN136" s="1266"/>
      <c r="IO136" s="1266"/>
      <c r="IP136" s="1266"/>
      <c r="IQ136" s="1266"/>
    </row>
    <row r="137" spans="1:251" ht="18" customHeight="1">
      <c r="A137" s="520">
        <v>128</v>
      </c>
      <c r="B137" s="533"/>
      <c r="C137" s="538"/>
      <c r="D137" s="1090" t="s">
        <v>893</v>
      </c>
      <c r="E137" s="535"/>
      <c r="F137" s="536"/>
      <c r="G137" s="1293"/>
      <c r="H137" s="746"/>
      <c r="I137" s="721"/>
      <c r="J137" s="1291">
        <v>0</v>
      </c>
      <c r="K137" s="1291"/>
      <c r="L137" s="1138">
        <f>SUM(I137:K137)</f>
        <v>0</v>
      </c>
      <c r="M137" s="537"/>
      <c r="N137" s="521"/>
      <c r="O137" s="521"/>
      <c r="P137" s="521"/>
      <c r="Q137" s="521"/>
      <c r="R137" s="521"/>
      <c r="S137" s="521"/>
      <c r="T137" s="521"/>
      <c r="U137" s="521"/>
      <c r="V137" s="521"/>
      <c r="W137" s="521"/>
      <c r="X137" s="521"/>
      <c r="Y137" s="521"/>
      <c r="Z137" s="521"/>
      <c r="AA137" s="521"/>
      <c r="AB137" s="521"/>
      <c r="AC137" s="521"/>
      <c r="AD137" s="521"/>
      <c r="AE137" s="521"/>
      <c r="AF137" s="521"/>
      <c r="AG137" s="521"/>
      <c r="AH137" s="521"/>
      <c r="AI137" s="521"/>
      <c r="AJ137" s="521"/>
      <c r="AK137" s="521"/>
      <c r="AL137" s="521"/>
      <c r="AM137" s="521"/>
      <c r="AN137" s="521"/>
      <c r="AO137" s="521"/>
      <c r="AP137" s="521"/>
      <c r="AQ137" s="521"/>
      <c r="AR137" s="521"/>
      <c r="AS137" s="521"/>
      <c r="AT137" s="521"/>
      <c r="AU137" s="521"/>
      <c r="AV137" s="521"/>
      <c r="AW137" s="521"/>
      <c r="AX137" s="521"/>
      <c r="AY137" s="521"/>
      <c r="AZ137" s="521"/>
      <c r="BA137" s="521"/>
      <c r="BB137" s="521"/>
      <c r="BC137" s="521"/>
      <c r="BD137" s="521"/>
      <c r="BE137" s="521"/>
      <c r="BF137" s="521"/>
      <c r="BG137" s="521"/>
      <c r="BH137" s="521"/>
      <c r="BI137" s="521"/>
      <c r="BJ137" s="521"/>
      <c r="BK137" s="521"/>
      <c r="BL137" s="521"/>
      <c r="BM137" s="521"/>
      <c r="BN137" s="521"/>
      <c r="BO137" s="521"/>
      <c r="BP137" s="521"/>
      <c r="BQ137" s="521"/>
      <c r="BR137" s="521"/>
      <c r="BS137" s="521"/>
      <c r="BT137" s="521"/>
      <c r="BU137" s="521"/>
      <c r="BV137" s="521"/>
      <c r="BW137" s="521"/>
      <c r="BX137" s="521"/>
      <c r="BY137" s="521"/>
      <c r="BZ137" s="521"/>
      <c r="CA137" s="521"/>
      <c r="CB137" s="521"/>
      <c r="CC137" s="521"/>
      <c r="CD137" s="521"/>
      <c r="CE137" s="521"/>
      <c r="CF137" s="521"/>
      <c r="CG137" s="521"/>
      <c r="CH137" s="521"/>
      <c r="CI137" s="521"/>
      <c r="CJ137" s="521"/>
      <c r="CK137" s="521"/>
      <c r="CL137" s="521"/>
      <c r="CM137" s="521"/>
      <c r="CN137" s="521"/>
      <c r="CO137" s="521"/>
      <c r="CP137" s="521"/>
      <c r="CQ137" s="521"/>
      <c r="CR137" s="521"/>
      <c r="CS137" s="521"/>
      <c r="CT137" s="521"/>
      <c r="CU137" s="521"/>
      <c r="CV137" s="521"/>
      <c r="CW137" s="521"/>
      <c r="CX137" s="521"/>
      <c r="CY137" s="521"/>
      <c r="CZ137" s="521"/>
      <c r="DA137" s="521"/>
      <c r="DB137" s="521"/>
      <c r="DC137" s="521"/>
      <c r="DD137" s="521"/>
      <c r="DE137" s="521"/>
      <c r="DF137" s="521"/>
      <c r="DG137" s="521"/>
      <c r="DH137" s="521"/>
      <c r="DI137" s="521"/>
      <c r="DJ137" s="521"/>
      <c r="DK137" s="521"/>
      <c r="DL137" s="521"/>
      <c r="DM137" s="521"/>
      <c r="DN137" s="521"/>
      <c r="DO137" s="521"/>
      <c r="DP137" s="521"/>
      <c r="DQ137" s="521"/>
      <c r="DR137" s="521"/>
      <c r="DS137" s="521"/>
      <c r="DT137" s="521"/>
      <c r="DU137" s="521"/>
      <c r="DV137" s="521"/>
      <c r="DW137" s="521"/>
      <c r="DX137" s="521"/>
      <c r="DY137" s="521"/>
      <c r="DZ137" s="521"/>
      <c r="EA137" s="521"/>
      <c r="EB137" s="521"/>
      <c r="EC137" s="521"/>
      <c r="ED137" s="521"/>
      <c r="EE137" s="521"/>
      <c r="EF137" s="521"/>
      <c r="EG137" s="521"/>
      <c r="EH137" s="521"/>
      <c r="EI137" s="521"/>
      <c r="EJ137" s="521"/>
      <c r="EK137" s="521"/>
      <c r="EL137" s="521"/>
      <c r="EM137" s="521"/>
      <c r="EN137" s="521"/>
      <c r="EO137" s="521"/>
      <c r="EP137" s="521"/>
      <c r="EQ137" s="521"/>
      <c r="ER137" s="521"/>
      <c r="ES137" s="521"/>
      <c r="ET137" s="521"/>
      <c r="EU137" s="521"/>
      <c r="EV137" s="521"/>
      <c r="EW137" s="521"/>
      <c r="EX137" s="521"/>
      <c r="EY137" s="521"/>
      <c r="EZ137" s="521"/>
      <c r="FA137" s="521"/>
      <c r="FB137" s="521"/>
      <c r="FC137" s="521"/>
      <c r="FD137" s="521"/>
      <c r="FE137" s="521"/>
      <c r="FF137" s="521"/>
      <c r="FG137" s="521"/>
      <c r="FH137" s="521"/>
      <c r="FI137" s="521"/>
      <c r="FJ137" s="521"/>
      <c r="FK137" s="521"/>
      <c r="FL137" s="521"/>
      <c r="FM137" s="521"/>
      <c r="FN137" s="521"/>
      <c r="FO137" s="521"/>
      <c r="FP137" s="521"/>
      <c r="FQ137" s="521"/>
      <c r="FR137" s="521"/>
      <c r="FS137" s="521"/>
      <c r="FT137" s="521"/>
      <c r="FU137" s="521"/>
      <c r="FV137" s="521"/>
      <c r="FW137" s="521"/>
      <c r="FX137" s="521"/>
      <c r="FY137" s="521"/>
      <c r="FZ137" s="521"/>
      <c r="GA137" s="521"/>
      <c r="GB137" s="521"/>
      <c r="GC137" s="521"/>
      <c r="GD137" s="521"/>
      <c r="GE137" s="521"/>
      <c r="GF137" s="521"/>
      <c r="GG137" s="521"/>
      <c r="GH137" s="521"/>
      <c r="GI137" s="521"/>
      <c r="GJ137" s="521"/>
      <c r="GK137" s="521"/>
      <c r="GL137" s="521"/>
      <c r="GM137" s="521"/>
      <c r="GN137" s="521"/>
      <c r="GO137" s="521"/>
      <c r="GP137" s="521"/>
      <c r="GQ137" s="521"/>
      <c r="GR137" s="521"/>
      <c r="GS137" s="521"/>
      <c r="GT137" s="521"/>
      <c r="GU137" s="521"/>
      <c r="GV137" s="521"/>
      <c r="GW137" s="521"/>
      <c r="GX137" s="521"/>
      <c r="GY137" s="521"/>
      <c r="GZ137" s="521"/>
      <c r="HA137" s="521"/>
      <c r="HB137" s="521"/>
      <c r="HC137" s="521"/>
      <c r="HD137" s="521"/>
      <c r="HE137" s="521"/>
      <c r="HF137" s="521"/>
      <c r="HG137" s="521"/>
      <c r="HH137" s="521"/>
      <c r="HI137" s="521"/>
      <c r="HJ137" s="521"/>
      <c r="HK137" s="521"/>
      <c r="HL137" s="521"/>
      <c r="HM137" s="521"/>
      <c r="HN137" s="521"/>
      <c r="HO137" s="521"/>
      <c r="HP137" s="521"/>
      <c r="HQ137" s="521"/>
      <c r="HR137" s="521"/>
      <c r="HS137" s="521"/>
      <c r="HT137" s="521"/>
      <c r="HU137" s="521"/>
      <c r="HV137" s="521"/>
      <c r="HW137" s="521"/>
      <c r="HX137" s="521"/>
      <c r="HY137" s="521"/>
      <c r="HZ137" s="521"/>
      <c r="IA137" s="521"/>
      <c r="IB137" s="521"/>
      <c r="IC137" s="521"/>
      <c r="ID137" s="521"/>
      <c r="IE137" s="521"/>
      <c r="IF137" s="521"/>
      <c r="IG137" s="521"/>
      <c r="IH137" s="521"/>
      <c r="II137" s="521"/>
      <c r="IJ137" s="521"/>
      <c r="IK137" s="521"/>
      <c r="IL137" s="521"/>
      <c r="IM137" s="521"/>
      <c r="IN137" s="521"/>
      <c r="IO137" s="521"/>
      <c r="IP137" s="521"/>
      <c r="IQ137" s="521"/>
    </row>
    <row r="138" spans="1:251" ht="33.75" customHeight="1">
      <c r="A138" s="520">
        <v>129</v>
      </c>
      <c r="B138" s="533"/>
      <c r="C138" s="538">
        <v>33</v>
      </c>
      <c r="D138" s="997" t="s">
        <v>633</v>
      </c>
      <c r="E138" s="535">
        <f>F138+G138+L140+M139</f>
        <v>6357</v>
      </c>
      <c r="F138" s="536"/>
      <c r="G138" s="1293">
        <v>6357</v>
      </c>
      <c r="H138" s="746" t="s">
        <v>23</v>
      </c>
      <c r="I138" s="721"/>
      <c r="J138" s="535"/>
      <c r="K138" s="535"/>
      <c r="L138" s="546"/>
      <c r="M138" s="537"/>
      <c r="N138" s="521"/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1"/>
      <c r="Z138" s="521"/>
      <c r="AA138" s="521"/>
      <c r="AB138" s="521"/>
      <c r="AC138" s="521"/>
      <c r="AD138" s="521"/>
      <c r="AE138" s="521"/>
      <c r="AF138" s="521"/>
      <c r="AG138" s="521"/>
      <c r="AH138" s="521"/>
      <c r="AI138" s="521"/>
      <c r="AJ138" s="521"/>
      <c r="AK138" s="521"/>
      <c r="AL138" s="521"/>
      <c r="AM138" s="521"/>
      <c r="AN138" s="521"/>
      <c r="AO138" s="521"/>
      <c r="AP138" s="521"/>
      <c r="AQ138" s="521"/>
      <c r="AR138" s="521"/>
      <c r="AS138" s="521"/>
      <c r="AT138" s="521"/>
      <c r="AU138" s="521"/>
      <c r="AV138" s="521"/>
      <c r="AW138" s="521"/>
      <c r="AX138" s="521"/>
      <c r="AY138" s="521"/>
      <c r="AZ138" s="521"/>
      <c r="BA138" s="521"/>
      <c r="BB138" s="521"/>
      <c r="BC138" s="521"/>
      <c r="BD138" s="521"/>
      <c r="BE138" s="521"/>
      <c r="BF138" s="521"/>
      <c r="BG138" s="521"/>
      <c r="BH138" s="521"/>
      <c r="BI138" s="521"/>
      <c r="BJ138" s="521"/>
      <c r="BK138" s="521"/>
      <c r="BL138" s="521"/>
      <c r="BM138" s="521"/>
      <c r="BN138" s="521"/>
      <c r="BO138" s="521"/>
      <c r="BP138" s="521"/>
      <c r="BQ138" s="521"/>
      <c r="BR138" s="521"/>
      <c r="BS138" s="521"/>
      <c r="BT138" s="521"/>
      <c r="BU138" s="521"/>
      <c r="BV138" s="521"/>
      <c r="BW138" s="521"/>
      <c r="BX138" s="521"/>
      <c r="BY138" s="521"/>
      <c r="BZ138" s="521"/>
      <c r="CA138" s="521"/>
      <c r="CB138" s="521"/>
      <c r="CC138" s="521"/>
      <c r="CD138" s="521"/>
      <c r="CE138" s="521"/>
      <c r="CF138" s="521"/>
      <c r="CG138" s="521"/>
      <c r="CH138" s="521"/>
      <c r="CI138" s="521"/>
      <c r="CJ138" s="521"/>
      <c r="CK138" s="521"/>
      <c r="CL138" s="521"/>
      <c r="CM138" s="521"/>
      <c r="CN138" s="521"/>
      <c r="CO138" s="521"/>
      <c r="CP138" s="521"/>
      <c r="CQ138" s="521"/>
      <c r="CR138" s="521"/>
      <c r="CS138" s="521"/>
      <c r="CT138" s="521"/>
      <c r="CU138" s="521"/>
      <c r="CV138" s="521"/>
      <c r="CW138" s="521"/>
      <c r="CX138" s="521"/>
      <c r="CY138" s="521"/>
      <c r="CZ138" s="521"/>
      <c r="DA138" s="521"/>
      <c r="DB138" s="521"/>
      <c r="DC138" s="521"/>
      <c r="DD138" s="521"/>
      <c r="DE138" s="521"/>
      <c r="DF138" s="521"/>
      <c r="DG138" s="521"/>
      <c r="DH138" s="521"/>
      <c r="DI138" s="521"/>
      <c r="DJ138" s="521"/>
      <c r="DK138" s="521"/>
      <c r="DL138" s="521"/>
      <c r="DM138" s="521"/>
      <c r="DN138" s="521"/>
      <c r="DO138" s="521"/>
      <c r="DP138" s="521"/>
      <c r="DQ138" s="521"/>
      <c r="DR138" s="521"/>
      <c r="DS138" s="521"/>
      <c r="DT138" s="521"/>
      <c r="DU138" s="521"/>
      <c r="DV138" s="521"/>
      <c r="DW138" s="521"/>
      <c r="DX138" s="521"/>
      <c r="DY138" s="521"/>
      <c r="DZ138" s="521"/>
      <c r="EA138" s="521"/>
      <c r="EB138" s="521"/>
      <c r="EC138" s="521"/>
      <c r="ED138" s="521"/>
      <c r="EE138" s="521"/>
      <c r="EF138" s="521"/>
      <c r="EG138" s="521"/>
      <c r="EH138" s="521"/>
      <c r="EI138" s="521"/>
      <c r="EJ138" s="521"/>
      <c r="EK138" s="521"/>
      <c r="EL138" s="521"/>
      <c r="EM138" s="521"/>
      <c r="EN138" s="521"/>
      <c r="EO138" s="521"/>
      <c r="EP138" s="521"/>
      <c r="EQ138" s="521"/>
      <c r="ER138" s="521"/>
      <c r="ES138" s="521"/>
      <c r="ET138" s="521"/>
      <c r="EU138" s="521"/>
      <c r="EV138" s="521"/>
      <c r="EW138" s="521"/>
      <c r="EX138" s="521"/>
      <c r="EY138" s="521"/>
      <c r="EZ138" s="521"/>
      <c r="FA138" s="521"/>
      <c r="FB138" s="521"/>
      <c r="FC138" s="521"/>
      <c r="FD138" s="521"/>
      <c r="FE138" s="521"/>
      <c r="FF138" s="521"/>
      <c r="FG138" s="521"/>
      <c r="FH138" s="521"/>
      <c r="FI138" s="521"/>
      <c r="FJ138" s="521"/>
      <c r="FK138" s="521"/>
      <c r="FL138" s="521"/>
      <c r="FM138" s="521"/>
      <c r="FN138" s="521"/>
      <c r="FO138" s="521"/>
      <c r="FP138" s="521"/>
      <c r="FQ138" s="521"/>
      <c r="FR138" s="521"/>
      <c r="FS138" s="521"/>
      <c r="FT138" s="521"/>
      <c r="FU138" s="521"/>
      <c r="FV138" s="521"/>
      <c r="FW138" s="521"/>
      <c r="FX138" s="521"/>
      <c r="FY138" s="521"/>
      <c r="FZ138" s="521"/>
      <c r="GA138" s="521"/>
      <c r="GB138" s="521"/>
      <c r="GC138" s="521"/>
      <c r="GD138" s="521"/>
      <c r="GE138" s="521"/>
      <c r="GF138" s="521"/>
      <c r="GG138" s="521"/>
      <c r="GH138" s="521"/>
      <c r="GI138" s="521"/>
      <c r="GJ138" s="521"/>
      <c r="GK138" s="521"/>
      <c r="GL138" s="521"/>
      <c r="GM138" s="521"/>
      <c r="GN138" s="521"/>
      <c r="GO138" s="521"/>
      <c r="GP138" s="521"/>
      <c r="GQ138" s="521"/>
      <c r="GR138" s="521"/>
      <c r="GS138" s="521"/>
      <c r="GT138" s="521"/>
      <c r="GU138" s="521"/>
      <c r="GV138" s="521"/>
      <c r="GW138" s="521"/>
      <c r="GX138" s="521"/>
      <c r="GY138" s="521"/>
      <c r="GZ138" s="521"/>
      <c r="HA138" s="521"/>
      <c r="HB138" s="521"/>
      <c r="HC138" s="521"/>
      <c r="HD138" s="521"/>
      <c r="HE138" s="521"/>
      <c r="HF138" s="521"/>
      <c r="HG138" s="521"/>
      <c r="HH138" s="521"/>
      <c r="HI138" s="521"/>
      <c r="HJ138" s="521"/>
      <c r="HK138" s="521"/>
      <c r="HL138" s="521"/>
      <c r="HM138" s="521"/>
      <c r="HN138" s="521"/>
      <c r="HO138" s="521"/>
      <c r="HP138" s="521"/>
      <c r="HQ138" s="521"/>
      <c r="HR138" s="521"/>
      <c r="HS138" s="521"/>
      <c r="HT138" s="521"/>
      <c r="HU138" s="521"/>
      <c r="HV138" s="521"/>
      <c r="HW138" s="521"/>
      <c r="HX138" s="521"/>
      <c r="HY138" s="521"/>
      <c r="HZ138" s="521"/>
      <c r="IA138" s="521"/>
      <c r="IB138" s="521"/>
      <c r="IC138" s="521"/>
      <c r="ID138" s="521"/>
      <c r="IE138" s="521"/>
      <c r="IF138" s="521"/>
      <c r="IG138" s="521"/>
      <c r="IH138" s="521"/>
      <c r="II138" s="521"/>
      <c r="IJ138" s="521"/>
      <c r="IK138" s="521"/>
      <c r="IL138" s="521"/>
      <c r="IM138" s="521"/>
      <c r="IN138" s="521"/>
      <c r="IO138" s="521"/>
      <c r="IP138" s="521"/>
      <c r="IQ138" s="521"/>
    </row>
    <row r="139" spans="1:251" ht="18" customHeight="1">
      <c r="A139" s="520">
        <v>130</v>
      </c>
      <c r="B139" s="533"/>
      <c r="C139" s="538"/>
      <c r="D139" s="589" t="s">
        <v>283</v>
      </c>
      <c r="E139" s="535"/>
      <c r="F139" s="536"/>
      <c r="G139" s="1293"/>
      <c r="H139" s="746"/>
      <c r="I139" s="721"/>
      <c r="J139" s="1258">
        <v>4643</v>
      </c>
      <c r="K139" s="1258"/>
      <c r="L139" s="1259">
        <f>SUM(I139:K139)</f>
        <v>4643</v>
      </c>
      <c r="M139" s="537"/>
      <c r="N139" s="521"/>
      <c r="O139" s="521"/>
      <c r="P139" s="521"/>
      <c r="Q139" s="521"/>
      <c r="R139" s="521"/>
      <c r="S139" s="521"/>
      <c r="T139" s="521"/>
      <c r="U139" s="521"/>
      <c r="V139" s="521"/>
      <c r="W139" s="521"/>
      <c r="X139" s="521"/>
      <c r="Y139" s="521"/>
      <c r="Z139" s="521"/>
      <c r="AA139" s="521"/>
      <c r="AB139" s="521"/>
      <c r="AC139" s="521"/>
      <c r="AD139" s="521"/>
      <c r="AE139" s="521"/>
      <c r="AF139" s="521"/>
      <c r="AG139" s="521"/>
      <c r="AH139" s="521"/>
      <c r="AI139" s="521"/>
      <c r="AJ139" s="521"/>
      <c r="AK139" s="521"/>
      <c r="AL139" s="521"/>
      <c r="AM139" s="521"/>
      <c r="AN139" s="521"/>
      <c r="AO139" s="521"/>
      <c r="AP139" s="521"/>
      <c r="AQ139" s="521"/>
      <c r="AR139" s="521"/>
      <c r="AS139" s="521"/>
      <c r="AT139" s="521"/>
      <c r="AU139" s="521"/>
      <c r="AV139" s="521"/>
      <c r="AW139" s="521"/>
      <c r="AX139" s="521"/>
      <c r="AY139" s="521"/>
      <c r="AZ139" s="521"/>
      <c r="BA139" s="521"/>
      <c r="BB139" s="521"/>
      <c r="BC139" s="521"/>
      <c r="BD139" s="521"/>
      <c r="BE139" s="521"/>
      <c r="BF139" s="521"/>
      <c r="BG139" s="521"/>
      <c r="BH139" s="521"/>
      <c r="BI139" s="521"/>
      <c r="BJ139" s="521"/>
      <c r="BK139" s="521"/>
      <c r="BL139" s="521"/>
      <c r="BM139" s="521"/>
      <c r="BN139" s="521"/>
      <c r="BO139" s="521"/>
      <c r="BP139" s="521"/>
      <c r="BQ139" s="521"/>
      <c r="BR139" s="521"/>
      <c r="BS139" s="521"/>
      <c r="BT139" s="521"/>
      <c r="BU139" s="521"/>
      <c r="BV139" s="521"/>
      <c r="BW139" s="521"/>
      <c r="BX139" s="521"/>
      <c r="BY139" s="521"/>
      <c r="BZ139" s="521"/>
      <c r="CA139" s="521"/>
      <c r="CB139" s="521"/>
      <c r="CC139" s="521"/>
      <c r="CD139" s="521"/>
      <c r="CE139" s="521"/>
      <c r="CF139" s="521"/>
      <c r="CG139" s="521"/>
      <c r="CH139" s="521"/>
      <c r="CI139" s="521"/>
      <c r="CJ139" s="521"/>
      <c r="CK139" s="521"/>
      <c r="CL139" s="521"/>
      <c r="CM139" s="521"/>
      <c r="CN139" s="521"/>
      <c r="CO139" s="521"/>
      <c r="CP139" s="521"/>
      <c r="CQ139" s="521"/>
      <c r="CR139" s="521"/>
      <c r="CS139" s="521"/>
      <c r="CT139" s="521"/>
      <c r="CU139" s="521"/>
      <c r="CV139" s="521"/>
      <c r="CW139" s="521"/>
      <c r="CX139" s="521"/>
      <c r="CY139" s="521"/>
      <c r="CZ139" s="521"/>
      <c r="DA139" s="521"/>
      <c r="DB139" s="521"/>
      <c r="DC139" s="521"/>
      <c r="DD139" s="521"/>
      <c r="DE139" s="521"/>
      <c r="DF139" s="521"/>
      <c r="DG139" s="521"/>
      <c r="DH139" s="521"/>
      <c r="DI139" s="521"/>
      <c r="DJ139" s="521"/>
      <c r="DK139" s="521"/>
      <c r="DL139" s="521"/>
      <c r="DM139" s="521"/>
      <c r="DN139" s="521"/>
      <c r="DO139" s="521"/>
      <c r="DP139" s="521"/>
      <c r="DQ139" s="521"/>
      <c r="DR139" s="521"/>
      <c r="DS139" s="521"/>
      <c r="DT139" s="521"/>
      <c r="DU139" s="521"/>
      <c r="DV139" s="521"/>
      <c r="DW139" s="521"/>
      <c r="DX139" s="521"/>
      <c r="DY139" s="521"/>
      <c r="DZ139" s="521"/>
      <c r="EA139" s="521"/>
      <c r="EB139" s="521"/>
      <c r="EC139" s="521"/>
      <c r="ED139" s="521"/>
      <c r="EE139" s="521"/>
      <c r="EF139" s="521"/>
      <c r="EG139" s="521"/>
      <c r="EH139" s="521"/>
      <c r="EI139" s="521"/>
      <c r="EJ139" s="521"/>
      <c r="EK139" s="521"/>
      <c r="EL139" s="521"/>
      <c r="EM139" s="521"/>
      <c r="EN139" s="521"/>
      <c r="EO139" s="521"/>
      <c r="EP139" s="521"/>
      <c r="EQ139" s="521"/>
      <c r="ER139" s="521"/>
      <c r="ES139" s="521"/>
      <c r="ET139" s="521"/>
      <c r="EU139" s="521"/>
      <c r="EV139" s="521"/>
      <c r="EW139" s="521"/>
      <c r="EX139" s="521"/>
      <c r="EY139" s="521"/>
      <c r="EZ139" s="521"/>
      <c r="FA139" s="521"/>
      <c r="FB139" s="521"/>
      <c r="FC139" s="521"/>
      <c r="FD139" s="521"/>
      <c r="FE139" s="521"/>
      <c r="FF139" s="521"/>
      <c r="FG139" s="521"/>
      <c r="FH139" s="521"/>
      <c r="FI139" s="521"/>
      <c r="FJ139" s="521"/>
      <c r="FK139" s="521"/>
      <c r="FL139" s="521"/>
      <c r="FM139" s="521"/>
      <c r="FN139" s="521"/>
      <c r="FO139" s="521"/>
      <c r="FP139" s="521"/>
      <c r="FQ139" s="521"/>
      <c r="FR139" s="521"/>
      <c r="FS139" s="521"/>
      <c r="FT139" s="521"/>
      <c r="FU139" s="521"/>
      <c r="FV139" s="521"/>
      <c r="FW139" s="521"/>
      <c r="FX139" s="521"/>
      <c r="FY139" s="521"/>
      <c r="FZ139" s="521"/>
      <c r="GA139" s="521"/>
      <c r="GB139" s="521"/>
      <c r="GC139" s="521"/>
      <c r="GD139" s="521"/>
      <c r="GE139" s="521"/>
      <c r="GF139" s="521"/>
      <c r="GG139" s="521"/>
      <c r="GH139" s="521"/>
      <c r="GI139" s="521"/>
      <c r="GJ139" s="521"/>
      <c r="GK139" s="521"/>
      <c r="GL139" s="521"/>
      <c r="GM139" s="521"/>
      <c r="GN139" s="521"/>
      <c r="GO139" s="521"/>
      <c r="GP139" s="521"/>
      <c r="GQ139" s="521"/>
      <c r="GR139" s="521"/>
      <c r="GS139" s="521"/>
      <c r="GT139" s="521"/>
      <c r="GU139" s="521"/>
      <c r="GV139" s="521"/>
      <c r="GW139" s="521"/>
      <c r="GX139" s="521"/>
      <c r="GY139" s="521"/>
      <c r="GZ139" s="521"/>
      <c r="HA139" s="521"/>
      <c r="HB139" s="521"/>
      <c r="HC139" s="521"/>
      <c r="HD139" s="521"/>
      <c r="HE139" s="521"/>
      <c r="HF139" s="521"/>
      <c r="HG139" s="521"/>
      <c r="HH139" s="521"/>
      <c r="HI139" s="521"/>
      <c r="HJ139" s="521"/>
      <c r="HK139" s="521"/>
      <c r="HL139" s="521"/>
      <c r="HM139" s="521"/>
      <c r="HN139" s="521"/>
      <c r="HO139" s="521"/>
      <c r="HP139" s="521"/>
      <c r="HQ139" s="521"/>
      <c r="HR139" s="521"/>
      <c r="HS139" s="521"/>
      <c r="HT139" s="521"/>
      <c r="HU139" s="521"/>
      <c r="HV139" s="521"/>
      <c r="HW139" s="521"/>
      <c r="HX139" s="521"/>
      <c r="HY139" s="521"/>
      <c r="HZ139" s="521"/>
      <c r="IA139" s="521"/>
      <c r="IB139" s="521"/>
      <c r="IC139" s="521"/>
      <c r="ID139" s="521"/>
      <c r="IE139" s="521"/>
      <c r="IF139" s="521"/>
      <c r="IG139" s="521"/>
      <c r="IH139" s="521"/>
      <c r="II139" s="521"/>
      <c r="IJ139" s="521"/>
      <c r="IK139" s="521"/>
      <c r="IL139" s="521"/>
      <c r="IM139" s="521"/>
      <c r="IN139" s="521"/>
      <c r="IO139" s="521"/>
      <c r="IP139" s="521"/>
      <c r="IQ139" s="521"/>
    </row>
    <row r="140" spans="1:251" ht="18" customHeight="1">
      <c r="A140" s="520">
        <v>131</v>
      </c>
      <c r="B140" s="533"/>
      <c r="C140" s="538"/>
      <c r="D140" s="478" t="s">
        <v>757</v>
      </c>
      <c r="E140" s="535"/>
      <c r="F140" s="536"/>
      <c r="G140" s="1293"/>
      <c r="H140" s="746"/>
      <c r="I140" s="721"/>
      <c r="J140" s="1351">
        <v>0</v>
      </c>
      <c r="K140" s="1351"/>
      <c r="L140" s="1447">
        <f>SUM(I140:K140)</f>
        <v>0</v>
      </c>
      <c r="M140" s="537"/>
      <c r="N140" s="521"/>
      <c r="O140" s="521"/>
      <c r="P140" s="521"/>
      <c r="Q140" s="521"/>
      <c r="R140" s="521"/>
      <c r="S140" s="521"/>
      <c r="T140" s="521"/>
      <c r="U140" s="521"/>
      <c r="V140" s="521"/>
      <c r="W140" s="521"/>
      <c r="X140" s="521"/>
      <c r="Y140" s="521"/>
      <c r="Z140" s="521"/>
      <c r="AA140" s="521"/>
      <c r="AB140" s="521"/>
      <c r="AC140" s="521"/>
      <c r="AD140" s="521"/>
      <c r="AE140" s="521"/>
      <c r="AF140" s="521"/>
      <c r="AG140" s="521"/>
      <c r="AH140" s="521"/>
      <c r="AI140" s="521"/>
      <c r="AJ140" s="521"/>
      <c r="AK140" s="521"/>
      <c r="AL140" s="521"/>
      <c r="AM140" s="521"/>
      <c r="AN140" s="521"/>
      <c r="AO140" s="521"/>
      <c r="AP140" s="521"/>
      <c r="AQ140" s="521"/>
      <c r="AR140" s="521"/>
      <c r="AS140" s="521"/>
      <c r="AT140" s="521"/>
      <c r="AU140" s="521"/>
      <c r="AV140" s="521"/>
      <c r="AW140" s="521"/>
      <c r="AX140" s="521"/>
      <c r="AY140" s="521"/>
      <c r="AZ140" s="521"/>
      <c r="BA140" s="521"/>
      <c r="BB140" s="521"/>
      <c r="BC140" s="521"/>
      <c r="BD140" s="521"/>
      <c r="BE140" s="521"/>
      <c r="BF140" s="521"/>
      <c r="BG140" s="521"/>
      <c r="BH140" s="521"/>
      <c r="BI140" s="521"/>
      <c r="BJ140" s="521"/>
      <c r="BK140" s="521"/>
      <c r="BL140" s="521"/>
      <c r="BM140" s="521"/>
      <c r="BN140" s="521"/>
      <c r="BO140" s="521"/>
      <c r="BP140" s="521"/>
      <c r="BQ140" s="521"/>
      <c r="BR140" s="521"/>
      <c r="BS140" s="521"/>
      <c r="BT140" s="521"/>
      <c r="BU140" s="521"/>
      <c r="BV140" s="521"/>
      <c r="BW140" s="521"/>
      <c r="BX140" s="521"/>
      <c r="BY140" s="521"/>
      <c r="BZ140" s="521"/>
      <c r="CA140" s="521"/>
      <c r="CB140" s="521"/>
      <c r="CC140" s="521"/>
      <c r="CD140" s="521"/>
      <c r="CE140" s="521"/>
      <c r="CF140" s="521"/>
      <c r="CG140" s="521"/>
      <c r="CH140" s="521"/>
      <c r="CI140" s="521"/>
      <c r="CJ140" s="521"/>
      <c r="CK140" s="521"/>
      <c r="CL140" s="521"/>
      <c r="CM140" s="521"/>
      <c r="CN140" s="521"/>
      <c r="CO140" s="521"/>
      <c r="CP140" s="521"/>
      <c r="CQ140" s="521"/>
      <c r="CR140" s="521"/>
      <c r="CS140" s="521"/>
      <c r="CT140" s="521"/>
      <c r="CU140" s="521"/>
      <c r="CV140" s="521"/>
      <c r="CW140" s="521"/>
      <c r="CX140" s="521"/>
      <c r="CY140" s="521"/>
      <c r="CZ140" s="521"/>
      <c r="DA140" s="521"/>
      <c r="DB140" s="521"/>
      <c r="DC140" s="521"/>
      <c r="DD140" s="521"/>
      <c r="DE140" s="521"/>
      <c r="DF140" s="521"/>
      <c r="DG140" s="521"/>
      <c r="DH140" s="521"/>
      <c r="DI140" s="521"/>
      <c r="DJ140" s="521"/>
      <c r="DK140" s="521"/>
      <c r="DL140" s="521"/>
      <c r="DM140" s="521"/>
      <c r="DN140" s="521"/>
      <c r="DO140" s="521"/>
      <c r="DP140" s="521"/>
      <c r="DQ140" s="521"/>
      <c r="DR140" s="521"/>
      <c r="DS140" s="521"/>
      <c r="DT140" s="521"/>
      <c r="DU140" s="521"/>
      <c r="DV140" s="521"/>
      <c r="DW140" s="521"/>
      <c r="DX140" s="521"/>
      <c r="DY140" s="521"/>
      <c r="DZ140" s="521"/>
      <c r="EA140" s="521"/>
      <c r="EB140" s="521"/>
      <c r="EC140" s="521"/>
      <c r="ED140" s="521"/>
      <c r="EE140" s="521"/>
      <c r="EF140" s="521"/>
      <c r="EG140" s="521"/>
      <c r="EH140" s="521"/>
      <c r="EI140" s="521"/>
      <c r="EJ140" s="521"/>
      <c r="EK140" s="521"/>
      <c r="EL140" s="521"/>
      <c r="EM140" s="521"/>
      <c r="EN140" s="521"/>
      <c r="EO140" s="521"/>
      <c r="EP140" s="521"/>
      <c r="EQ140" s="521"/>
      <c r="ER140" s="521"/>
      <c r="ES140" s="521"/>
      <c r="ET140" s="521"/>
      <c r="EU140" s="521"/>
      <c r="EV140" s="521"/>
      <c r="EW140" s="521"/>
      <c r="EX140" s="521"/>
      <c r="EY140" s="521"/>
      <c r="EZ140" s="521"/>
      <c r="FA140" s="521"/>
      <c r="FB140" s="521"/>
      <c r="FC140" s="521"/>
      <c r="FD140" s="521"/>
      <c r="FE140" s="521"/>
      <c r="FF140" s="521"/>
      <c r="FG140" s="521"/>
      <c r="FH140" s="521"/>
      <c r="FI140" s="521"/>
      <c r="FJ140" s="521"/>
      <c r="FK140" s="521"/>
      <c r="FL140" s="521"/>
      <c r="FM140" s="521"/>
      <c r="FN140" s="521"/>
      <c r="FO140" s="521"/>
      <c r="FP140" s="521"/>
      <c r="FQ140" s="521"/>
      <c r="FR140" s="521"/>
      <c r="FS140" s="521"/>
      <c r="FT140" s="521"/>
      <c r="FU140" s="521"/>
      <c r="FV140" s="521"/>
      <c r="FW140" s="521"/>
      <c r="FX140" s="521"/>
      <c r="FY140" s="521"/>
      <c r="FZ140" s="521"/>
      <c r="GA140" s="521"/>
      <c r="GB140" s="521"/>
      <c r="GC140" s="521"/>
      <c r="GD140" s="521"/>
      <c r="GE140" s="521"/>
      <c r="GF140" s="521"/>
      <c r="GG140" s="521"/>
      <c r="GH140" s="521"/>
      <c r="GI140" s="521"/>
      <c r="GJ140" s="521"/>
      <c r="GK140" s="521"/>
      <c r="GL140" s="521"/>
      <c r="GM140" s="521"/>
      <c r="GN140" s="521"/>
      <c r="GO140" s="521"/>
      <c r="GP140" s="521"/>
      <c r="GQ140" s="521"/>
      <c r="GR140" s="521"/>
      <c r="GS140" s="521"/>
      <c r="GT140" s="521"/>
      <c r="GU140" s="521"/>
      <c r="GV140" s="521"/>
      <c r="GW140" s="521"/>
      <c r="GX140" s="521"/>
      <c r="GY140" s="521"/>
      <c r="GZ140" s="521"/>
      <c r="HA140" s="521"/>
      <c r="HB140" s="521"/>
      <c r="HC140" s="521"/>
      <c r="HD140" s="521"/>
      <c r="HE140" s="521"/>
      <c r="HF140" s="521"/>
      <c r="HG140" s="521"/>
      <c r="HH140" s="521"/>
      <c r="HI140" s="521"/>
      <c r="HJ140" s="521"/>
      <c r="HK140" s="521"/>
      <c r="HL140" s="521"/>
      <c r="HM140" s="521"/>
      <c r="HN140" s="521"/>
      <c r="HO140" s="521"/>
      <c r="HP140" s="521"/>
      <c r="HQ140" s="521"/>
      <c r="HR140" s="521"/>
      <c r="HS140" s="521"/>
      <c r="HT140" s="521"/>
      <c r="HU140" s="521"/>
      <c r="HV140" s="521"/>
      <c r="HW140" s="521"/>
      <c r="HX140" s="521"/>
      <c r="HY140" s="521"/>
      <c r="HZ140" s="521"/>
      <c r="IA140" s="521"/>
      <c r="IB140" s="521"/>
      <c r="IC140" s="521"/>
      <c r="ID140" s="521"/>
      <c r="IE140" s="521"/>
      <c r="IF140" s="521"/>
      <c r="IG140" s="521"/>
      <c r="IH140" s="521"/>
      <c r="II140" s="521"/>
      <c r="IJ140" s="521"/>
      <c r="IK140" s="521"/>
      <c r="IL140" s="521"/>
      <c r="IM140" s="521"/>
      <c r="IN140" s="521"/>
      <c r="IO140" s="521"/>
      <c r="IP140" s="521"/>
      <c r="IQ140" s="521"/>
    </row>
    <row r="141" spans="1:251" ht="18" customHeight="1">
      <c r="A141" s="520">
        <v>132</v>
      </c>
      <c r="B141" s="533"/>
      <c r="C141" s="538"/>
      <c r="D141" s="1090" t="s">
        <v>892</v>
      </c>
      <c r="E141" s="535"/>
      <c r="F141" s="536"/>
      <c r="G141" s="1293"/>
      <c r="H141" s="746"/>
      <c r="I141" s="721"/>
      <c r="J141" s="1291">
        <v>0</v>
      </c>
      <c r="K141" s="1291"/>
      <c r="L141" s="1138">
        <f>SUM(I141:K141)</f>
        <v>0</v>
      </c>
      <c r="M141" s="537"/>
      <c r="N141" s="521"/>
      <c r="O141" s="521"/>
      <c r="P141" s="521"/>
      <c r="Q141" s="521"/>
      <c r="R141" s="521"/>
      <c r="S141" s="521"/>
      <c r="T141" s="521"/>
      <c r="U141" s="521"/>
      <c r="V141" s="521"/>
      <c r="W141" s="521"/>
      <c r="X141" s="521"/>
      <c r="Y141" s="521"/>
      <c r="Z141" s="521"/>
      <c r="AA141" s="521"/>
      <c r="AB141" s="521"/>
      <c r="AC141" s="521"/>
      <c r="AD141" s="521"/>
      <c r="AE141" s="521"/>
      <c r="AF141" s="521"/>
      <c r="AG141" s="521"/>
      <c r="AH141" s="521"/>
      <c r="AI141" s="521"/>
      <c r="AJ141" s="521"/>
      <c r="AK141" s="521"/>
      <c r="AL141" s="521"/>
      <c r="AM141" s="521"/>
      <c r="AN141" s="521"/>
      <c r="AO141" s="521"/>
      <c r="AP141" s="521"/>
      <c r="AQ141" s="521"/>
      <c r="AR141" s="521"/>
      <c r="AS141" s="521"/>
      <c r="AT141" s="521"/>
      <c r="AU141" s="521"/>
      <c r="AV141" s="521"/>
      <c r="AW141" s="521"/>
      <c r="AX141" s="521"/>
      <c r="AY141" s="521"/>
      <c r="AZ141" s="521"/>
      <c r="BA141" s="521"/>
      <c r="BB141" s="521"/>
      <c r="BC141" s="521"/>
      <c r="BD141" s="521"/>
      <c r="BE141" s="521"/>
      <c r="BF141" s="521"/>
      <c r="BG141" s="521"/>
      <c r="BH141" s="521"/>
      <c r="BI141" s="521"/>
      <c r="BJ141" s="521"/>
      <c r="BK141" s="521"/>
      <c r="BL141" s="521"/>
      <c r="BM141" s="521"/>
      <c r="BN141" s="521"/>
      <c r="BO141" s="521"/>
      <c r="BP141" s="521"/>
      <c r="BQ141" s="521"/>
      <c r="BR141" s="521"/>
      <c r="BS141" s="521"/>
      <c r="BT141" s="521"/>
      <c r="BU141" s="521"/>
      <c r="BV141" s="521"/>
      <c r="BW141" s="521"/>
      <c r="BX141" s="521"/>
      <c r="BY141" s="521"/>
      <c r="BZ141" s="521"/>
      <c r="CA141" s="521"/>
      <c r="CB141" s="521"/>
      <c r="CC141" s="521"/>
      <c r="CD141" s="521"/>
      <c r="CE141" s="521"/>
      <c r="CF141" s="521"/>
      <c r="CG141" s="521"/>
      <c r="CH141" s="521"/>
      <c r="CI141" s="521"/>
      <c r="CJ141" s="521"/>
      <c r="CK141" s="521"/>
      <c r="CL141" s="521"/>
      <c r="CM141" s="521"/>
      <c r="CN141" s="521"/>
      <c r="CO141" s="521"/>
      <c r="CP141" s="521"/>
      <c r="CQ141" s="521"/>
      <c r="CR141" s="521"/>
      <c r="CS141" s="521"/>
      <c r="CT141" s="521"/>
      <c r="CU141" s="521"/>
      <c r="CV141" s="521"/>
      <c r="CW141" s="521"/>
      <c r="CX141" s="521"/>
      <c r="CY141" s="521"/>
      <c r="CZ141" s="521"/>
      <c r="DA141" s="521"/>
      <c r="DB141" s="521"/>
      <c r="DC141" s="521"/>
      <c r="DD141" s="521"/>
      <c r="DE141" s="521"/>
      <c r="DF141" s="521"/>
      <c r="DG141" s="521"/>
      <c r="DH141" s="521"/>
      <c r="DI141" s="521"/>
      <c r="DJ141" s="521"/>
      <c r="DK141" s="521"/>
      <c r="DL141" s="521"/>
      <c r="DM141" s="521"/>
      <c r="DN141" s="521"/>
      <c r="DO141" s="521"/>
      <c r="DP141" s="521"/>
      <c r="DQ141" s="521"/>
      <c r="DR141" s="521"/>
      <c r="DS141" s="521"/>
      <c r="DT141" s="521"/>
      <c r="DU141" s="521"/>
      <c r="DV141" s="521"/>
      <c r="DW141" s="521"/>
      <c r="DX141" s="521"/>
      <c r="DY141" s="521"/>
      <c r="DZ141" s="521"/>
      <c r="EA141" s="521"/>
      <c r="EB141" s="521"/>
      <c r="EC141" s="521"/>
      <c r="ED141" s="521"/>
      <c r="EE141" s="521"/>
      <c r="EF141" s="521"/>
      <c r="EG141" s="521"/>
      <c r="EH141" s="521"/>
      <c r="EI141" s="521"/>
      <c r="EJ141" s="521"/>
      <c r="EK141" s="521"/>
      <c r="EL141" s="521"/>
      <c r="EM141" s="521"/>
      <c r="EN141" s="521"/>
      <c r="EO141" s="521"/>
      <c r="EP141" s="521"/>
      <c r="EQ141" s="521"/>
      <c r="ER141" s="521"/>
      <c r="ES141" s="521"/>
      <c r="ET141" s="521"/>
      <c r="EU141" s="521"/>
      <c r="EV141" s="521"/>
      <c r="EW141" s="521"/>
      <c r="EX141" s="521"/>
      <c r="EY141" s="521"/>
      <c r="EZ141" s="521"/>
      <c r="FA141" s="521"/>
      <c r="FB141" s="521"/>
      <c r="FC141" s="521"/>
      <c r="FD141" s="521"/>
      <c r="FE141" s="521"/>
      <c r="FF141" s="521"/>
      <c r="FG141" s="521"/>
      <c r="FH141" s="521"/>
      <c r="FI141" s="521"/>
      <c r="FJ141" s="521"/>
      <c r="FK141" s="521"/>
      <c r="FL141" s="521"/>
      <c r="FM141" s="521"/>
      <c r="FN141" s="521"/>
      <c r="FO141" s="521"/>
      <c r="FP141" s="521"/>
      <c r="FQ141" s="521"/>
      <c r="FR141" s="521"/>
      <c r="FS141" s="521"/>
      <c r="FT141" s="521"/>
      <c r="FU141" s="521"/>
      <c r="FV141" s="521"/>
      <c r="FW141" s="521"/>
      <c r="FX141" s="521"/>
      <c r="FY141" s="521"/>
      <c r="FZ141" s="521"/>
      <c r="GA141" s="521"/>
      <c r="GB141" s="521"/>
      <c r="GC141" s="521"/>
      <c r="GD141" s="521"/>
      <c r="GE141" s="521"/>
      <c r="GF141" s="521"/>
      <c r="GG141" s="521"/>
      <c r="GH141" s="521"/>
      <c r="GI141" s="521"/>
      <c r="GJ141" s="521"/>
      <c r="GK141" s="521"/>
      <c r="GL141" s="521"/>
      <c r="GM141" s="521"/>
      <c r="GN141" s="521"/>
      <c r="GO141" s="521"/>
      <c r="GP141" s="521"/>
      <c r="GQ141" s="521"/>
      <c r="GR141" s="521"/>
      <c r="GS141" s="521"/>
      <c r="GT141" s="521"/>
      <c r="GU141" s="521"/>
      <c r="GV141" s="521"/>
      <c r="GW141" s="521"/>
      <c r="GX141" s="521"/>
      <c r="GY141" s="521"/>
      <c r="GZ141" s="521"/>
      <c r="HA141" s="521"/>
      <c r="HB141" s="521"/>
      <c r="HC141" s="521"/>
      <c r="HD141" s="521"/>
      <c r="HE141" s="521"/>
      <c r="HF141" s="521"/>
      <c r="HG141" s="521"/>
      <c r="HH141" s="521"/>
      <c r="HI141" s="521"/>
      <c r="HJ141" s="521"/>
      <c r="HK141" s="521"/>
      <c r="HL141" s="521"/>
      <c r="HM141" s="521"/>
      <c r="HN141" s="521"/>
      <c r="HO141" s="521"/>
      <c r="HP141" s="521"/>
      <c r="HQ141" s="521"/>
      <c r="HR141" s="521"/>
      <c r="HS141" s="521"/>
      <c r="HT141" s="521"/>
      <c r="HU141" s="521"/>
      <c r="HV141" s="521"/>
      <c r="HW141" s="521"/>
      <c r="HX141" s="521"/>
      <c r="HY141" s="521"/>
      <c r="HZ141" s="521"/>
      <c r="IA141" s="521"/>
      <c r="IB141" s="521"/>
      <c r="IC141" s="521"/>
      <c r="ID141" s="521"/>
      <c r="IE141" s="521"/>
      <c r="IF141" s="521"/>
      <c r="IG141" s="521"/>
      <c r="IH141" s="521"/>
      <c r="II141" s="521"/>
      <c r="IJ141" s="521"/>
      <c r="IK141" s="521"/>
      <c r="IL141" s="521"/>
      <c r="IM141" s="521"/>
      <c r="IN141" s="521"/>
      <c r="IO141" s="521"/>
      <c r="IP141" s="521"/>
      <c r="IQ141" s="521"/>
    </row>
    <row r="142" spans="1:251" ht="22.5" customHeight="1">
      <c r="A142" s="520">
        <v>133</v>
      </c>
      <c r="B142" s="533"/>
      <c r="C142" s="534">
        <v>34</v>
      </c>
      <c r="D142" s="328" t="s">
        <v>634</v>
      </c>
      <c r="E142" s="535">
        <f>F142+G142+L144+M143</f>
        <v>7000</v>
      </c>
      <c r="F142" s="536"/>
      <c r="G142" s="1293">
        <f>1525+4544</f>
        <v>6069</v>
      </c>
      <c r="H142" s="746" t="s">
        <v>23</v>
      </c>
      <c r="I142" s="721"/>
      <c r="J142" s="507"/>
      <c r="K142" s="1182"/>
      <c r="L142" s="507"/>
      <c r="M142" s="537"/>
      <c r="N142" s="521"/>
      <c r="O142" s="521"/>
      <c r="P142" s="521"/>
      <c r="Q142" s="521"/>
      <c r="R142" s="521"/>
      <c r="S142" s="521"/>
      <c r="T142" s="521"/>
      <c r="U142" s="521"/>
      <c r="V142" s="521"/>
      <c r="W142" s="521"/>
      <c r="X142" s="521"/>
      <c r="Y142" s="521"/>
      <c r="Z142" s="521"/>
      <c r="AA142" s="521"/>
      <c r="AB142" s="521"/>
      <c r="AC142" s="521"/>
      <c r="AD142" s="521"/>
      <c r="AE142" s="521"/>
      <c r="AF142" s="521"/>
      <c r="AG142" s="521"/>
      <c r="AH142" s="521"/>
      <c r="AI142" s="521"/>
      <c r="AJ142" s="521"/>
      <c r="AK142" s="521"/>
      <c r="AL142" s="521"/>
      <c r="AM142" s="521"/>
      <c r="AN142" s="521"/>
      <c r="AO142" s="521"/>
      <c r="AP142" s="521"/>
      <c r="AQ142" s="521"/>
      <c r="AR142" s="521"/>
      <c r="AS142" s="521"/>
      <c r="AT142" s="521"/>
      <c r="AU142" s="521"/>
      <c r="AV142" s="521"/>
      <c r="AW142" s="521"/>
      <c r="AX142" s="521"/>
      <c r="AY142" s="521"/>
      <c r="AZ142" s="521"/>
      <c r="BA142" s="521"/>
      <c r="BB142" s="521"/>
      <c r="BC142" s="521"/>
      <c r="BD142" s="521"/>
      <c r="BE142" s="521"/>
      <c r="BF142" s="521"/>
      <c r="BG142" s="521"/>
      <c r="BH142" s="521"/>
      <c r="BI142" s="521"/>
      <c r="BJ142" s="521"/>
      <c r="BK142" s="521"/>
      <c r="BL142" s="521"/>
      <c r="BM142" s="521"/>
      <c r="BN142" s="521"/>
      <c r="BO142" s="521"/>
      <c r="BP142" s="521"/>
      <c r="BQ142" s="521"/>
      <c r="BR142" s="521"/>
      <c r="BS142" s="521"/>
      <c r="BT142" s="521"/>
      <c r="BU142" s="521"/>
      <c r="BV142" s="521"/>
      <c r="BW142" s="521"/>
      <c r="BX142" s="521"/>
      <c r="BY142" s="521"/>
      <c r="BZ142" s="521"/>
      <c r="CA142" s="521"/>
      <c r="CB142" s="521"/>
      <c r="CC142" s="521"/>
      <c r="CD142" s="521"/>
      <c r="CE142" s="521"/>
      <c r="CF142" s="521"/>
      <c r="CG142" s="521"/>
      <c r="CH142" s="521"/>
      <c r="CI142" s="521"/>
      <c r="CJ142" s="521"/>
      <c r="CK142" s="521"/>
      <c r="CL142" s="521"/>
      <c r="CM142" s="521"/>
      <c r="CN142" s="521"/>
      <c r="CO142" s="521"/>
      <c r="CP142" s="521"/>
      <c r="CQ142" s="521"/>
      <c r="CR142" s="521"/>
      <c r="CS142" s="521"/>
      <c r="CT142" s="521"/>
      <c r="CU142" s="521"/>
      <c r="CV142" s="521"/>
      <c r="CW142" s="521"/>
      <c r="CX142" s="521"/>
      <c r="CY142" s="521"/>
      <c r="CZ142" s="521"/>
      <c r="DA142" s="521"/>
      <c r="DB142" s="521"/>
      <c r="DC142" s="521"/>
      <c r="DD142" s="521"/>
      <c r="DE142" s="521"/>
      <c r="DF142" s="521"/>
      <c r="DG142" s="521"/>
      <c r="DH142" s="521"/>
      <c r="DI142" s="521"/>
      <c r="DJ142" s="521"/>
      <c r="DK142" s="521"/>
      <c r="DL142" s="521"/>
      <c r="DM142" s="521"/>
      <c r="DN142" s="521"/>
      <c r="DO142" s="521"/>
      <c r="DP142" s="521"/>
      <c r="DQ142" s="521"/>
      <c r="DR142" s="521"/>
      <c r="DS142" s="521"/>
      <c r="DT142" s="521"/>
      <c r="DU142" s="521"/>
      <c r="DV142" s="521"/>
      <c r="DW142" s="521"/>
      <c r="DX142" s="521"/>
      <c r="DY142" s="521"/>
      <c r="DZ142" s="521"/>
      <c r="EA142" s="521"/>
      <c r="EB142" s="521"/>
      <c r="EC142" s="521"/>
      <c r="ED142" s="521"/>
      <c r="EE142" s="521"/>
      <c r="EF142" s="521"/>
      <c r="EG142" s="521"/>
      <c r="EH142" s="521"/>
      <c r="EI142" s="521"/>
      <c r="EJ142" s="521"/>
      <c r="EK142" s="521"/>
      <c r="EL142" s="521"/>
      <c r="EM142" s="521"/>
      <c r="EN142" s="521"/>
      <c r="EO142" s="521"/>
      <c r="EP142" s="521"/>
      <c r="EQ142" s="521"/>
      <c r="ER142" s="521"/>
      <c r="ES142" s="521"/>
      <c r="ET142" s="521"/>
      <c r="EU142" s="521"/>
      <c r="EV142" s="521"/>
      <c r="EW142" s="521"/>
      <c r="EX142" s="521"/>
      <c r="EY142" s="521"/>
      <c r="EZ142" s="521"/>
      <c r="FA142" s="521"/>
      <c r="FB142" s="521"/>
      <c r="FC142" s="521"/>
      <c r="FD142" s="521"/>
      <c r="FE142" s="521"/>
      <c r="FF142" s="521"/>
      <c r="FG142" s="521"/>
      <c r="FH142" s="521"/>
      <c r="FI142" s="521"/>
      <c r="FJ142" s="521"/>
      <c r="FK142" s="521"/>
      <c r="FL142" s="521"/>
      <c r="FM142" s="521"/>
      <c r="FN142" s="521"/>
      <c r="FO142" s="521"/>
      <c r="FP142" s="521"/>
      <c r="FQ142" s="521"/>
      <c r="FR142" s="521"/>
      <c r="FS142" s="521"/>
      <c r="FT142" s="521"/>
      <c r="FU142" s="521"/>
      <c r="FV142" s="521"/>
      <c r="FW142" s="521"/>
      <c r="FX142" s="521"/>
      <c r="FY142" s="521"/>
      <c r="FZ142" s="521"/>
      <c r="GA142" s="521"/>
      <c r="GB142" s="521"/>
      <c r="GC142" s="521"/>
      <c r="GD142" s="521"/>
      <c r="GE142" s="521"/>
      <c r="GF142" s="521"/>
      <c r="GG142" s="521"/>
      <c r="GH142" s="521"/>
      <c r="GI142" s="521"/>
      <c r="GJ142" s="521"/>
      <c r="GK142" s="521"/>
      <c r="GL142" s="521"/>
      <c r="GM142" s="521"/>
      <c r="GN142" s="521"/>
      <c r="GO142" s="521"/>
      <c r="GP142" s="521"/>
      <c r="GQ142" s="521"/>
      <c r="GR142" s="521"/>
      <c r="GS142" s="521"/>
      <c r="GT142" s="521"/>
      <c r="GU142" s="521"/>
      <c r="GV142" s="521"/>
      <c r="GW142" s="521"/>
      <c r="GX142" s="521"/>
      <c r="GY142" s="521"/>
      <c r="GZ142" s="521"/>
      <c r="HA142" s="521"/>
      <c r="HB142" s="521"/>
      <c r="HC142" s="521"/>
      <c r="HD142" s="521"/>
      <c r="HE142" s="521"/>
      <c r="HF142" s="521"/>
      <c r="HG142" s="521"/>
      <c r="HH142" s="521"/>
      <c r="HI142" s="521"/>
      <c r="HJ142" s="521"/>
      <c r="HK142" s="521"/>
      <c r="HL142" s="521"/>
      <c r="HM142" s="521"/>
      <c r="HN142" s="521"/>
      <c r="HO142" s="521"/>
      <c r="HP142" s="521"/>
      <c r="HQ142" s="521"/>
      <c r="HR142" s="521"/>
      <c r="HS142" s="521"/>
      <c r="HT142" s="521"/>
      <c r="HU142" s="521"/>
      <c r="HV142" s="521"/>
      <c r="HW142" s="521"/>
      <c r="HX142" s="521"/>
      <c r="HY142" s="521"/>
      <c r="HZ142" s="521"/>
      <c r="IA142" s="521"/>
      <c r="IB142" s="521"/>
      <c r="IC142" s="521"/>
      <c r="ID142" s="521"/>
      <c r="IE142" s="521"/>
      <c r="IF142" s="521"/>
      <c r="IG142" s="521"/>
      <c r="IH142" s="521"/>
      <c r="II142" s="521"/>
      <c r="IJ142" s="521"/>
      <c r="IK142" s="521"/>
      <c r="IL142" s="521"/>
      <c r="IM142" s="521"/>
      <c r="IN142" s="521"/>
      <c r="IO142" s="521"/>
      <c r="IP142" s="521"/>
      <c r="IQ142" s="521"/>
    </row>
    <row r="143" spans="1:251" ht="18" customHeight="1">
      <c r="A143" s="520">
        <v>134</v>
      </c>
      <c r="B143" s="533"/>
      <c r="C143" s="538"/>
      <c r="D143" s="589" t="s">
        <v>283</v>
      </c>
      <c r="E143" s="535"/>
      <c r="F143" s="536"/>
      <c r="G143" s="1293"/>
      <c r="H143" s="746"/>
      <c r="I143" s="721"/>
      <c r="J143" s="1258">
        <v>931</v>
      </c>
      <c r="K143" s="1258"/>
      <c r="L143" s="1259">
        <f>SUM(I143:K143)</f>
        <v>931</v>
      </c>
      <c r="M143" s="537"/>
      <c r="N143" s="521"/>
      <c r="O143" s="521"/>
      <c r="P143" s="521"/>
      <c r="Q143" s="521"/>
      <c r="R143" s="521"/>
      <c r="S143" s="521"/>
      <c r="T143" s="521"/>
      <c r="U143" s="521"/>
      <c r="V143" s="521"/>
      <c r="W143" s="521"/>
      <c r="X143" s="521"/>
      <c r="Y143" s="521"/>
      <c r="Z143" s="521"/>
      <c r="AA143" s="521"/>
      <c r="AB143" s="521"/>
      <c r="AC143" s="521"/>
      <c r="AD143" s="521"/>
      <c r="AE143" s="521"/>
      <c r="AF143" s="521"/>
      <c r="AG143" s="521"/>
      <c r="AH143" s="521"/>
      <c r="AI143" s="521"/>
      <c r="AJ143" s="521"/>
      <c r="AK143" s="521"/>
      <c r="AL143" s="521"/>
      <c r="AM143" s="521"/>
      <c r="AN143" s="521"/>
      <c r="AO143" s="521"/>
      <c r="AP143" s="521"/>
      <c r="AQ143" s="521"/>
      <c r="AR143" s="521"/>
      <c r="AS143" s="521"/>
      <c r="AT143" s="521"/>
      <c r="AU143" s="521"/>
      <c r="AV143" s="521"/>
      <c r="AW143" s="521"/>
      <c r="AX143" s="521"/>
      <c r="AY143" s="521"/>
      <c r="AZ143" s="521"/>
      <c r="BA143" s="521"/>
      <c r="BB143" s="521"/>
      <c r="BC143" s="521"/>
      <c r="BD143" s="521"/>
      <c r="BE143" s="521"/>
      <c r="BF143" s="521"/>
      <c r="BG143" s="521"/>
      <c r="BH143" s="521"/>
      <c r="BI143" s="521"/>
      <c r="BJ143" s="521"/>
      <c r="BK143" s="521"/>
      <c r="BL143" s="521"/>
      <c r="BM143" s="521"/>
      <c r="BN143" s="521"/>
      <c r="BO143" s="521"/>
      <c r="BP143" s="521"/>
      <c r="BQ143" s="521"/>
      <c r="BR143" s="521"/>
      <c r="BS143" s="521"/>
      <c r="BT143" s="521"/>
      <c r="BU143" s="521"/>
      <c r="BV143" s="521"/>
      <c r="BW143" s="521"/>
      <c r="BX143" s="521"/>
      <c r="BY143" s="521"/>
      <c r="BZ143" s="521"/>
      <c r="CA143" s="521"/>
      <c r="CB143" s="521"/>
      <c r="CC143" s="521"/>
      <c r="CD143" s="521"/>
      <c r="CE143" s="521"/>
      <c r="CF143" s="521"/>
      <c r="CG143" s="521"/>
      <c r="CH143" s="521"/>
      <c r="CI143" s="521"/>
      <c r="CJ143" s="521"/>
      <c r="CK143" s="521"/>
      <c r="CL143" s="521"/>
      <c r="CM143" s="521"/>
      <c r="CN143" s="521"/>
      <c r="CO143" s="521"/>
      <c r="CP143" s="521"/>
      <c r="CQ143" s="521"/>
      <c r="CR143" s="521"/>
      <c r="CS143" s="521"/>
      <c r="CT143" s="521"/>
      <c r="CU143" s="521"/>
      <c r="CV143" s="521"/>
      <c r="CW143" s="521"/>
      <c r="CX143" s="521"/>
      <c r="CY143" s="521"/>
      <c r="CZ143" s="521"/>
      <c r="DA143" s="521"/>
      <c r="DB143" s="521"/>
      <c r="DC143" s="521"/>
      <c r="DD143" s="521"/>
      <c r="DE143" s="521"/>
      <c r="DF143" s="521"/>
      <c r="DG143" s="521"/>
      <c r="DH143" s="521"/>
      <c r="DI143" s="521"/>
      <c r="DJ143" s="521"/>
      <c r="DK143" s="521"/>
      <c r="DL143" s="521"/>
      <c r="DM143" s="521"/>
      <c r="DN143" s="521"/>
      <c r="DO143" s="521"/>
      <c r="DP143" s="521"/>
      <c r="DQ143" s="521"/>
      <c r="DR143" s="521"/>
      <c r="DS143" s="521"/>
      <c r="DT143" s="521"/>
      <c r="DU143" s="521"/>
      <c r="DV143" s="521"/>
      <c r="DW143" s="521"/>
      <c r="DX143" s="521"/>
      <c r="DY143" s="521"/>
      <c r="DZ143" s="521"/>
      <c r="EA143" s="521"/>
      <c r="EB143" s="521"/>
      <c r="EC143" s="521"/>
      <c r="ED143" s="521"/>
      <c r="EE143" s="521"/>
      <c r="EF143" s="521"/>
      <c r="EG143" s="521"/>
      <c r="EH143" s="521"/>
      <c r="EI143" s="521"/>
      <c r="EJ143" s="521"/>
      <c r="EK143" s="521"/>
      <c r="EL143" s="521"/>
      <c r="EM143" s="521"/>
      <c r="EN143" s="521"/>
      <c r="EO143" s="521"/>
      <c r="EP143" s="521"/>
      <c r="EQ143" s="521"/>
      <c r="ER143" s="521"/>
      <c r="ES143" s="521"/>
      <c r="ET143" s="521"/>
      <c r="EU143" s="521"/>
      <c r="EV143" s="521"/>
      <c r="EW143" s="521"/>
      <c r="EX143" s="521"/>
      <c r="EY143" s="521"/>
      <c r="EZ143" s="521"/>
      <c r="FA143" s="521"/>
      <c r="FB143" s="521"/>
      <c r="FC143" s="521"/>
      <c r="FD143" s="521"/>
      <c r="FE143" s="521"/>
      <c r="FF143" s="521"/>
      <c r="FG143" s="521"/>
      <c r="FH143" s="521"/>
      <c r="FI143" s="521"/>
      <c r="FJ143" s="521"/>
      <c r="FK143" s="521"/>
      <c r="FL143" s="521"/>
      <c r="FM143" s="521"/>
      <c r="FN143" s="521"/>
      <c r="FO143" s="521"/>
      <c r="FP143" s="521"/>
      <c r="FQ143" s="521"/>
      <c r="FR143" s="521"/>
      <c r="FS143" s="521"/>
      <c r="FT143" s="521"/>
      <c r="FU143" s="521"/>
      <c r="FV143" s="521"/>
      <c r="FW143" s="521"/>
      <c r="FX143" s="521"/>
      <c r="FY143" s="521"/>
      <c r="FZ143" s="521"/>
      <c r="GA143" s="521"/>
      <c r="GB143" s="521"/>
      <c r="GC143" s="521"/>
      <c r="GD143" s="521"/>
      <c r="GE143" s="521"/>
      <c r="GF143" s="521"/>
      <c r="GG143" s="521"/>
      <c r="GH143" s="521"/>
      <c r="GI143" s="521"/>
      <c r="GJ143" s="521"/>
      <c r="GK143" s="521"/>
      <c r="GL143" s="521"/>
      <c r="GM143" s="521"/>
      <c r="GN143" s="521"/>
      <c r="GO143" s="521"/>
      <c r="GP143" s="521"/>
      <c r="GQ143" s="521"/>
      <c r="GR143" s="521"/>
      <c r="GS143" s="521"/>
      <c r="GT143" s="521"/>
      <c r="GU143" s="521"/>
      <c r="GV143" s="521"/>
      <c r="GW143" s="521"/>
      <c r="GX143" s="521"/>
      <c r="GY143" s="521"/>
      <c r="GZ143" s="521"/>
      <c r="HA143" s="521"/>
      <c r="HB143" s="521"/>
      <c r="HC143" s="521"/>
      <c r="HD143" s="521"/>
      <c r="HE143" s="521"/>
      <c r="HF143" s="521"/>
      <c r="HG143" s="521"/>
      <c r="HH143" s="521"/>
      <c r="HI143" s="521"/>
      <c r="HJ143" s="521"/>
      <c r="HK143" s="521"/>
      <c r="HL143" s="521"/>
      <c r="HM143" s="521"/>
      <c r="HN143" s="521"/>
      <c r="HO143" s="521"/>
      <c r="HP143" s="521"/>
      <c r="HQ143" s="521"/>
      <c r="HR143" s="521"/>
      <c r="HS143" s="521"/>
      <c r="HT143" s="521"/>
      <c r="HU143" s="521"/>
      <c r="HV143" s="521"/>
      <c r="HW143" s="521"/>
      <c r="HX143" s="521"/>
      <c r="HY143" s="521"/>
      <c r="HZ143" s="521"/>
      <c r="IA143" s="521"/>
      <c r="IB143" s="521"/>
      <c r="IC143" s="521"/>
      <c r="ID143" s="521"/>
      <c r="IE143" s="521"/>
      <c r="IF143" s="521"/>
      <c r="IG143" s="521"/>
      <c r="IH143" s="521"/>
      <c r="II143" s="521"/>
      <c r="IJ143" s="521"/>
      <c r="IK143" s="521"/>
      <c r="IL143" s="521"/>
      <c r="IM143" s="521"/>
      <c r="IN143" s="521"/>
      <c r="IO143" s="521"/>
      <c r="IP143" s="521"/>
      <c r="IQ143" s="521"/>
    </row>
    <row r="144" spans="1:251" ht="18" customHeight="1">
      <c r="A144" s="520">
        <v>135</v>
      </c>
      <c r="B144" s="533"/>
      <c r="C144" s="538"/>
      <c r="D144" s="478" t="s">
        <v>757</v>
      </c>
      <c r="E144" s="535"/>
      <c r="F144" s="536"/>
      <c r="G144" s="1293"/>
      <c r="H144" s="746"/>
      <c r="I144" s="1506">
        <v>674</v>
      </c>
      <c r="J144" s="1351">
        <v>257</v>
      </c>
      <c r="K144" s="1351"/>
      <c r="L144" s="1447">
        <f>SUM(I144:K144)</f>
        <v>931</v>
      </c>
      <c r="M144" s="537"/>
      <c r="N144" s="521"/>
      <c r="O144" s="521"/>
      <c r="P144" s="521"/>
      <c r="Q144" s="521"/>
      <c r="R144" s="521"/>
      <c r="S144" s="521"/>
      <c r="T144" s="521"/>
      <c r="U144" s="521"/>
      <c r="V144" s="521"/>
      <c r="W144" s="521"/>
      <c r="X144" s="521"/>
      <c r="Y144" s="521"/>
      <c r="Z144" s="521"/>
      <c r="AA144" s="521"/>
      <c r="AB144" s="521"/>
      <c r="AC144" s="521"/>
      <c r="AD144" s="521"/>
      <c r="AE144" s="521"/>
      <c r="AF144" s="521"/>
      <c r="AG144" s="521"/>
      <c r="AH144" s="521"/>
      <c r="AI144" s="521"/>
      <c r="AJ144" s="521"/>
      <c r="AK144" s="521"/>
      <c r="AL144" s="521"/>
      <c r="AM144" s="521"/>
      <c r="AN144" s="521"/>
      <c r="AO144" s="521"/>
      <c r="AP144" s="521"/>
      <c r="AQ144" s="521"/>
      <c r="AR144" s="521"/>
      <c r="AS144" s="521"/>
      <c r="AT144" s="521"/>
      <c r="AU144" s="521"/>
      <c r="AV144" s="521"/>
      <c r="AW144" s="521"/>
      <c r="AX144" s="521"/>
      <c r="AY144" s="521"/>
      <c r="AZ144" s="521"/>
      <c r="BA144" s="521"/>
      <c r="BB144" s="521"/>
      <c r="BC144" s="521"/>
      <c r="BD144" s="521"/>
      <c r="BE144" s="521"/>
      <c r="BF144" s="521"/>
      <c r="BG144" s="521"/>
      <c r="BH144" s="521"/>
      <c r="BI144" s="521"/>
      <c r="BJ144" s="521"/>
      <c r="BK144" s="521"/>
      <c r="BL144" s="521"/>
      <c r="BM144" s="521"/>
      <c r="BN144" s="521"/>
      <c r="BO144" s="521"/>
      <c r="BP144" s="521"/>
      <c r="BQ144" s="521"/>
      <c r="BR144" s="521"/>
      <c r="BS144" s="521"/>
      <c r="BT144" s="521"/>
      <c r="BU144" s="521"/>
      <c r="BV144" s="521"/>
      <c r="BW144" s="521"/>
      <c r="BX144" s="521"/>
      <c r="BY144" s="521"/>
      <c r="BZ144" s="521"/>
      <c r="CA144" s="521"/>
      <c r="CB144" s="521"/>
      <c r="CC144" s="521"/>
      <c r="CD144" s="521"/>
      <c r="CE144" s="521"/>
      <c r="CF144" s="521"/>
      <c r="CG144" s="521"/>
      <c r="CH144" s="521"/>
      <c r="CI144" s="521"/>
      <c r="CJ144" s="521"/>
      <c r="CK144" s="521"/>
      <c r="CL144" s="521"/>
      <c r="CM144" s="521"/>
      <c r="CN144" s="521"/>
      <c r="CO144" s="521"/>
      <c r="CP144" s="521"/>
      <c r="CQ144" s="521"/>
      <c r="CR144" s="521"/>
      <c r="CS144" s="521"/>
      <c r="CT144" s="521"/>
      <c r="CU144" s="521"/>
      <c r="CV144" s="521"/>
      <c r="CW144" s="521"/>
      <c r="CX144" s="521"/>
      <c r="CY144" s="521"/>
      <c r="CZ144" s="521"/>
      <c r="DA144" s="521"/>
      <c r="DB144" s="521"/>
      <c r="DC144" s="521"/>
      <c r="DD144" s="521"/>
      <c r="DE144" s="521"/>
      <c r="DF144" s="521"/>
      <c r="DG144" s="521"/>
      <c r="DH144" s="521"/>
      <c r="DI144" s="521"/>
      <c r="DJ144" s="521"/>
      <c r="DK144" s="521"/>
      <c r="DL144" s="521"/>
      <c r="DM144" s="521"/>
      <c r="DN144" s="521"/>
      <c r="DO144" s="521"/>
      <c r="DP144" s="521"/>
      <c r="DQ144" s="521"/>
      <c r="DR144" s="521"/>
      <c r="DS144" s="521"/>
      <c r="DT144" s="521"/>
      <c r="DU144" s="521"/>
      <c r="DV144" s="521"/>
      <c r="DW144" s="521"/>
      <c r="DX144" s="521"/>
      <c r="DY144" s="521"/>
      <c r="DZ144" s="521"/>
      <c r="EA144" s="521"/>
      <c r="EB144" s="521"/>
      <c r="EC144" s="521"/>
      <c r="ED144" s="521"/>
      <c r="EE144" s="521"/>
      <c r="EF144" s="521"/>
      <c r="EG144" s="521"/>
      <c r="EH144" s="521"/>
      <c r="EI144" s="521"/>
      <c r="EJ144" s="521"/>
      <c r="EK144" s="521"/>
      <c r="EL144" s="521"/>
      <c r="EM144" s="521"/>
      <c r="EN144" s="521"/>
      <c r="EO144" s="521"/>
      <c r="EP144" s="521"/>
      <c r="EQ144" s="521"/>
      <c r="ER144" s="521"/>
      <c r="ES144" s="521"/>
      <c r="ET144" s="521"/>
      <c r="EU144" s="521"/>
      <c r="EV144" s="521"/>
      <c r="EW144" s="521"/>
      <c r="EX144" s="521"/>
      <c r="EY144" s="521"/>
      <c r="EZ144" s="521"/>
      <c r="FA144" s="521"/>
      <c r="FB144" s="521"/>
      <c r="FC144" s="521"/>
      <c r="FD144" s="521"/>
      <c r="FE144" s="521"/>
      <c r="FF144" s="521"/>
      <c r="FG144" s="521"/>
      <c r="FH144" s="521"/>
      <c r="FI144" s="521"/>
      <c r="FJ144" s="521"/>
      <c r="FK144" s="521"/>
      <c r="FL144" s="521"/>
      <c r="FM144" s="521"/>
      <c r="FN144" s="521"/>
      <c r="FO144" s="521"/>
      <c r="FP144" s="521"/>
      <c r="FQ144" s="521"/>
      <c r="FR144" s="521"/>
      <c r="FS144" s="521"/>
      <c r="FT144" s="521"/>
      <c r="FU144" s="521"/>
      <c r="FV144" s="521"/>
      <c r="FW144" s="521"/>
      <c r="FX144" s="521"/>
      <c r="FY144" s="521"/>
      <c r="FZ144" s="521"/>
      <c r="GA144" s="521"/>
      <c r="GB144" s="521"/>
      <c r="GC144" s="521"/>
      <c r="GD144" s="521"/>
      <c r="GE144" s="521"/>
      <c r="GF144" s="521"/>
      <c r="GG144" s="521"/>
      <c r="GH144" s="521"/>
      <c r="GI144" s="521"/>
      <c r="GJ144" s="521"/>
      <c r="GK144" s="521"/>
      <c r="GL144" s="521"/>
      <c r="GM144" s="521"/>
      <c r="GN144" s="521"/>
      <c r="GO144" s="521"/>
      <c r="GP144" s="521"/>
      <c r="GQ144" s="521"/>
      <c r="GR144" s="521"/>
      <c r="GS144" s="521"/>
      <c r="GT144" s="521"/>
      <c r="GU144" s="521"/>
      <c r="GV144" s="521"/>
      <c r="GW144" s="521"/>
      <c r="GX144" s="521"/>
      <c r="GY144" s="521"/>
      <c r="GZ144" s="521"/>
      <c r="HA144" s="521"/>
      <c r="HB144" s="521"/>
      <c r="HC144" s="521"/>
      <c r="HD144" s="521"/>
      <c r="HE144" s="521"/>
      <c r="HF144" s="521"/>
      <c r="HG144" s="521"/>
      <c r="HH144" s="521"/>
      <c r="HI144" s="521"/>
      <c r="HJ144" s="521"/>
      <c r="HK144" s="521"/>
      <c r="HL144" s="521"/>
      <c r="HM144" s="521"/>
      <c r="HN144" s="521"/>
      <c r="HO144" s="521"/>
      <c r="HP144" s="521"/>
      <c r="HQ144" s="521"/>
      <c r="HR144" s="521"/>
      <c r="HS144" s="521"/>
      <c r="HT144" s="521"/>
      <c r="HU144" s="521"/>
      <c r="HV144" s="521"/>
      <c r="HW144" s="521"/>
      <c r="HX144" s="521"/>
      <c r="HY144" s="521"/>
      <c r="HZ144" s="521"/>
      <c r="IA144" s="521"/>
      <c r="IB144" s="521"/>
      <c r="IC144" s="521"/>
      <c r="ID144" s="521"/>
      <c r="IE144" s="521"/>
      <c r="IF144" s="521"/>
      <c r="IG144" s="521"/>
      <c r="IH144" s="521"/>
      <c r="II144" s="521"/>
      <c r="IJ144" s="521"/>
      <c r="IK144" s="521"/>
      <c r="IL144" s="521"/>
      <c r="IM144" s="521"/>
      <c r="IN144" s="521"/>
      <c r="IO144" s="521"/>
      <c r="IP144" s="521"/>
      <c r="IQ144" s="521"/>
    </row>
    <row r="145" spans="1:251" ht="18" customHeight="1">
      <c r="A145" s="520">
        <v>136</v>
      </c>
      <c r="B145" s="533"/>
      <c r="C145" s="538"/>
      <c r="D145" s="1090" t="s">
        <v>893</v>
      </c>
      <c r="E145" s="535"/>
      <c r="F145" s="536"/>
      <c r="G145" s="1293"/>
      <c r="H145" s="746"/>
      <c r="I145" s="1717">
        <v>674</v>
      </c>
      <c r="J145" s="1291">
        <v>0</v>
      </c>
      <c r="K145" s="1617"/>
      <c r="L145" s="1138">
        <f>SUM(I145:K145)</f>
        <v>674</v>
      </c>
      <c r="M145" s="537"/>
      <c r="N145" s="521"/>
      <c r="O145" s="521"/>
      <c r="P145" s="521"/>
      <c r="Q145" s="521"/>
      <c r="R145" s="521"/>
      <c r="S145" s="521"/>
      <c r="T145" s="521"/>
      <c r="U145" s="521"/>
      <c r="V145" s="521"/>
      <c r="W145" s="521"/>
      <c r="X145" s="521"/>
      <c r="Y145" s="521"/>
      <c r="Z145" s="521"/>
      <c r="AA145" s="521"/>
      <c r="AB145" s="521"/>
      <c r="AC145" s="521"/>
      <c r="AD145" s="521"/>
      <c r="AE145" s="521"/>
      <c r="AF145" s="521"/>
      <c r="AG145" s="521"/>
      <c r="AH145" s="521"/>
      <c r="AI145" s="521"/>
      <c r="AJ145" s="521"/>
      <c r="AK145" s="521"/>
      <c r="AL145" s="521"/>
      <c r="AM145" s="521"/>
      <c r="AN145" s="521"/>
      <c r="AO145" s="521"/>
      <c r="AP145" s="521"/>
      <c r="AQ145" s="521"/>
      <c r="AR145" s="521"/>
      <c r="AS145" s="521"/>
      <c r="AT145" s="521"/>
      <c r="AU145" s="521"/>
      <c r="AV145" s="521"/>
      <c r="AW145" s="521"/>
      <c r="AX145" s="521"/>
      <c r="AY145" s="521"/>
      <c r="AZ145" s="521"/>
      <c r="BA145" s="521"/>
      <c r="BB145" s="521"/>
      <c r="BC145" s="521"/>
      <c r="BD145" s="521"/>
      <c r="BE145" s="521"/>
      <c r="BF145" s="521"/>
      <c r="BG145" s="521"/>
      <c r="BH145" s="521"/>
      <c r="BI145" s="521"/>
      <c r="BJ145" s="521"/>
      <c r="BK145" s="521"/>
      <c r="BL145" s="521"/>
      <c r="BM145" s="521"/>
      <c r="BN145" s="521"/>
      <c r="BO145" s="521"/>
      <c r="BP145" s="521"/>
      <c r="BQ145" s="521"/>
      <c r="BR145" s="521"/>
      <c r="BS145" s="521"/>
      <c r="BT145" s="521"/>
      <c r="BU145" s="521"/>
      <c r="BV145" s="521"/>
      <c r="BW145" s="521"/>
      <c r="BX145" s="521"/>
      <c r="BY145" s="521"/>
      <c r="BZ145" s="521"/>
      <c r="CA145" s="521"/>
      <c r="CB145" s="521"/>
      <c r="CC145" s="521"/>
      <c r="CD145" s="521"/>
      <c r="CE145" s="521"/>
      <c r="CF145" s="521"/>
      <c r="CG145" s="521"/>
      <c r="CH145" s="521"/>
      <c r="CI145" s="521"/>
      <c r="CJ145" s="521"/>
      <c r="CK145" s="521"/>
      <c r="CL145" s="521"/>
      <c r="CM145" s="521"/>
      <c r="CN145" s="521"/>
      <c r="CO145" s="521"/>
      <c r="CP145" s="521"/>
      <c r="CQ145" s="521"/>
      <c r="CR145" s="521"/>
      <c r="CS145" s="521"/>
      <c r="CT145" s="521"/>
      <c r="CU145" s="521"/>
      <c r="CV145" s="521"/>
      <c r="CW145" s="521"/>
      <c r="CX145" s="521"/>
      <c r="CY145" s="521"/>
      <c r="CZ145" s="521"/>
      <c r="DA145" s="521"/>
      <c r="DB145" s="521"/>
      <c r="DC145" s="521"/>
      <c r="DD145" s="521"/>
      <c r="DE145" s="521"/>
      <c r="DF145" s="521"/>
      <c r="DG145" s="521"/>
      <c r="DH145" s="521"/>
      <c r="DI145" s="521"/>
      <c r="DJ145" s="521"/>
      <c r="DK145" s="521"/>
      <c r="DL145" s="521"/>
      <c r="DM145" s="521"/>
      <c r="DN145" s="521"/>
      <c r="DO145" s="521"/>
      <c r="DP145" s="521"/>
      <c r="DQ145" s="521"/>
      <c r="DR145" s="521"/>
      <c r="DS145" s="521"/>
      <c r="DT145" s="521"/>
      <c r="DU145" s="521"/>
      <c r="DV145" s="521"/>
      <c r="DW145" s="521"/>
      <c r="DX145" s="521"/>
      <c r="DY145" s="521"/>
      <c r="DZ145" s="521"/>
      <c r="EA145" s="521"/>
      <c r="EB145" s="521"/>
      <c r="EC145" s="521"/>
      <c r="ED145" s="521"/>
      <c r="EE145" s="521"/>
      <c r="EF145" s="521"/>
      <c r="EG145" s="521"/>
      <c r="EH145" s="521"/>
      <c r="EI145" s="521"/>
      <c r="EJ145" s="521"/>
      <c r="EK145" s="521"/>
      <c r="EL145" s="521"/>
      <c r="EM145" s="521"/>
      <c r="EN145" s="521"/>
      <c r="EO145" s="521"/>
      <c r="EP145" s="521"/>
      <c r="EQ145" s="521"/>
      <c r="ER145" s="521"/>
      <c r="ES145" s="521"/>
      <c r="ET145" s="521"/>
      <c r="EU145" s="521"/>
      <c r="EV145" s="521"/>
      <c r="EW145" s="521"/>
      <c r="EX145" s="521"/>
      <c r="EY145" s="521"/>
      <c r="EZ145" s="521"/>
      <c r="FA145" s="521"/>
      <c r="FB145" s="521"/>
      <c r="FC145" s="521"/>
      <c r="FD145" s="521"/>
      <c r="FE145" s="521"/>
      <c r="FF145" s="521"/>
      <c r="FG145" s="521"/>
      <c r="FH145" s="521"/>
      <c r="FI145" s="521"/>
      <c r="FJ145" s="521"/>
      <c r="FK145" s="521"/>
      <c r="FL145" s="521"/>
      <c r="FM145" s="521"/>
      <c r="FN145" s="521"/>
      <c r="FO145" s="521"/>
      <c r="FP145" s="521"/>
      <c r="FQ145" s="521"/>
      <c r="FR145" s="521"/>
      <c r="FS145" s="521"/>
      <c r="FT145" s="521"/>
      <c r="FU145" s="521"/>
      <c r="FV145" s="521"/>
      <c r="FW145" s="521"/>
      <c r="FX145" s="521"/>
      <c r="FY145" s="521"/>
      <c r="FZ145" s="521"/>
      <c r="GA145" s="521"/>
      <c r="GB145" s="521"/>
      <c r="GC145" s="521"/>
      <c r="GD145" s="521"/>
      <c r="GE145" s="521"/>
      <c r="GF145" s="521"/>
      <c r="GG145" s="521"/>
      <c r="GH145" s="521"/>
      <c r="GI145" s="521"/>
      <c r="GJ145" s="521"/>
      <c r="GK145" s="521"/>
      <c r="GL145" s="521"/>
      <c r="GM145" s="521"/>
      <c r="GN145" s="521"/>
      <c r="GO145" s="521"/>
      <c r="GP145" s="521"/>
      <c r="GQ145" s="521"/>
      <c r="GR145" s="521"/>
      <c r="GS145" s="521"/>
      <c r="GT145" s="521"/>
      <c r="GU145" s="521"/>
      <c r="GV145" s="521"/>
      <c r="GW145" s="521"/>
      <c r="GX145" s="521"/>
      <c r="GY145" s="521"/>
      <c r="GZ145" s="521"/>
      <c r="HA145" s="521"/>
      <c r="HB145" s="521"/>
      <c r="HC145" s="521"/>
      <c r="HD145" s="521"/>
      <c r="HE145" s="521"/>
      <c r="HF145" s="521"/>
      <c r="HG145" s="521"/>
      <c r="HH145" s="521"/>
      <c r="HI145" s="521"/>
      <c r="HJ145" s="521"/>
      <c r="HK145" s="521"/>
      <c r="HL145" s="521"/>
      <c r="HM145" s="521"/>
      <c r="HN145" s="521"/>
      <c r="HO145" s="521"/>
      <c r="HP145" s="521"/>
      <c r="HQ145" s="521"/>
      <c r="HR145" s="521"/>
      <c r="HS145" s="521"/>
      <c r="HT145" s="521"/>
      <c r="HU145" s="521"/>
      <c r="HV145" s="521"/>
      <c r="HW145" s="521"/>
      <c r="HX145" s="521"/>
      <c r="HY145" s="521"/>
      <c r="HZ145" s="521"/>
      <c r="IA145" s="521"/>
      <c r="IB145" s="521"/>
      <c r="IC145" s="521"/>
      <c r="ID145" s="521"/>
      <c r="IE145" s="521"/>
      <c r="IF145" s="521"/>
      <c r="IG145" s="521"/>
      <c r="IH145" s="521"/>
      <c r="II145" s="521"/>
      <c r="IJ145" s="521"/>
      <c r="IK145" s="521"/>
      <c r="IL145" s="521"/>
      <c r="IM145" s="521"/>
      <c r="IN145" s="521"/>
      <c r="IO145" s="521"/>
      <c r="IP145" s="521"/>
      <c r="IQ145" s="521"/>
    </row>
    <row r="146" spans="1:251" ht="22.5" customHeight="1">
      <c r="A146" s="520">
        <v>137</v>
      </c>
      <c r="B146" s="533"/>
      <c r="C146" s="534">
        <v>35</v>
      </c>
      <c r="D146" s="328" t="s">
        <v>635</v>
      </c>
      <c r="E146" s="535">
        <f>F146+G146+L148+M147</f>
        <v>200</v>
      </c>
      <c r="F146" s="536"/>
      <c r="G146" s="1293"/>
      <c r="H146" s="746" t="s">
        <v>23</v>
      </c>
      <c r="I146" s="721"/>
      <c r="J146" s="507"/>
      <c r="K146" s="1182"/>
      <c r="L146" s="507"/>
      <c r="M146" s="537"/>
      <c r="N146" s="521"/>
      <c r="O146" s="521"/>
      <c r="P146" s="521"/>
      <c r="Q146" s="521"/>
      <c r="R146" s="521"/>
      <c r="S146" s="521"/>
      <c r="T146" s="521"/>
      <c r="U146" s="521"/>
      <c r="V146" s="521"/>
      <c r="W146" s="521"/>
      <c r="X146" s="521"/>
      <c r="Y146" s="521"/>
      <c r="Z146" s="521"/>
      <c r="AA146" s="521"/>
      <c r="AB146" s="521"/>
      <c r="AC146" s="521"/>
      <c r="AD146" s="521"/>
      <c r="AE146" s="521"/>
      <c r="AF146" s="521"/>
      <c r="AG146" s="521"/>
      <c r="AH146" s="521"/>
      <c r="AI146" s="521"/>
      <c r="AJ146" s="521"/>
      <c r="AK146" s="521"/>
      <c r="AL146" s="521"/>
      <c r="AM146" s="521"/>
      <c r="AN146" s="521"/>
      <c r="AO146" s="521"/>
      <c r="AP146" s="521"/>
      <c r="AQ146" s="521"/>
      <c r="AR146" s="521"/>
      <c r="AS146" s="521"/>
      <c r="AT146" s="521"/>
      <c r="AU146" s="521"/>
      <c r="AV146" s="521"/>
      <c r="AW146" s="521"/>
      <c r="AX146" s="521"/>
      <c r="AY146" s="521"/>
      <c r="AZ146" s="521"/>
      <c r="BA146" s="521"/>
      <c r="BB146" s="521"/>
      <c r="BC146" s="521"/>
      <c r="BD146" s="521"/>
      <c r="BE146" s="521"/>
      <c r="BF146" s="521"/>
      <c r="BG146" s="521"/>
      <c r="BH146" s="521"/>
      <c r="BI146" s="521"/>
      <c r="BJ146" s="521"/>
      <c r="BK146" s="521"/>
      <c r="BL146" s="521"/>
      <c r="BM146" s="521"/>
      <c r="BN146" s="521"/>
      <c r="BO146" s="521"/>
      <c r="BP146" s="521"/>
      <c r="BQ146" s="521"/>
      <c r="BR146" s="521"/>
      <c r="BS146" s="521"/>
      <c r="BT146" s="521"/>
      <c r="BU146" s="521"/>
      <c r="BV146" s="521"/>
      <c r="BW146" s="521"/>
      <c r="BX146" s="521"/>
      <c r="BY146" s="521"/>
      <c r="BZ146" s="521"/>
      <c r="CA146" s="521"/>
      <c r="CB146" s="521"/>
      <c r="CC146" s="521"/>
      <c r="CD146" s="521"/>
      <c r="CE146" s="521"/>
      <c r="CF146" s="521"/>
      <c r="CG146" s="521"/>
      <c r="CH146" s="521"/>
      <c r="CI146" s="521"/>
      <c r="CJ146" s="521"/>
      <c r="CK146" s="521"/>
      <c r="CL146" s="521"/>
      <c r="CM146" s="521"/>
      <c r="CN146" s="521"/>
      <c r="CO146" s="521"/>
      <c r="CP146" s="521"/>
      <c r="CQ146" s="521"/>
      <c r="CR146" s="521"/>
      <c r="CS146" s="521"/>
      <c r="CT146" s="521"/>
      <c r="CU146" s="521"/>
      <c r="CV146" s="521"/>
      <c r="CW146" s="521"/>
      <c r="CX146" s="521"/>
      <c r="CY146" s="521"/>
      <c r="CZ146" s="521"/>
      <c r="DA146" s="521"/>
      <c r="DB146" s="521"/>
      <c r="DC146" s="521"/>
      <c r="DD146" s="521"/>
      <c r="DE146" s="521"/>
      <c r="DF146" s="521"/>
      <c r="DG146" s="521"/>
      <c r="DH146" s="521"/>
      <c r="DI146" s="521"/>
      <c r="DJ146" s="521"/>
      <c r="DK146" s="521"/>
      <c r="DL146" s="521"/>
      <c r="DM146" s="521"/>
      <c r="DN146" s="521"/>
      <c r="DO146" s="521"/>
      <c r="DP146" s="521"/>
      <c r="DQ146" s="521"/>
      <c r="DR146" s="521"/>
      <c r="DS146" s="521"/>
      <c r="DT146" s="521"/>
      <c r="DU146" s="521"/>
      <c r="DV146" s="521"/>
      <c r="DW146" s="521"/>
      <c r="DX146" s="521"/>
      <c r="DY146" s="521"/>
      <c r="DZ146" s="521"/>
      <c r="EA146" s="521"/>
      <c r="EB146" s="521"/>
      <c r="EC146" s="521"/>
      <c r="ED146" s="521"/>
      <c r="EE146" s="521"/>
      <c r="EF146" s="521"/>
      <c r="EG146" s="521"/>
      <c r="EH146" s="521"/>
      <c r="EI146" s="521"/>
      <c r="EJ146" s="521"/>
      <c r="EK146" s="521"/>
      <c r="EL146" s="521"/>
      <c r="EM146" s="521"/>
      <c r="EN146" s="521"/>
      <c r="EO146" s="521"/>
      <c r="EP146" s="521"/>
      <c r="EQ146" s="521"/>
      <c r="ER146" s="521"/>
      <c r="ES146" s="521"/>
      <c r="ET146" s="521"/>
      <c r="EU146" s="521"/>
      <c r="EV146" s="521"/>
      <c r="EW146" s="521"/>
      <c r="EX146" s="521"/>
      <c r="EY146" s="521"/>
      <c r="EZ146" s="521"/>
      <c r="FA146" s="521"/>
      <c r="FB146" s="521"/>
      <c r="FC146" s="521"/>
      <c r="FD146" s="521"/>
      <c r="FE146" s="521"/>
      <c r="FF146" s="521"/>
      <c r="FG146" s="521"/>
      <c r="FH146" s="521"/>
      <c r="FI146" s="521"/>
      <c r="FJ146" s="521"/>
      <c r="FK146" s="521"/>
      <c r="FL146" s="521"/>
      <c r="FM146" s="521"/>
      <c r="FN146" s="521"/>
      <c r="FO146" s="521"/>
      <c r="FP146" s="521"/>
      <c r="FQ146" s="521"/>
      <c r="FR146" s="521"/>
      <c r="FS146" s="521"/>
      <c r="FT146" s="521"/>
      <c r="FU146" s="521"/>
      <c r="FV146" s="521"/>
      <c r="FW146" s="521"/>
      <c r="FX146" s="521"/>
      <c r="FY146" s="521"/>
      <c r="FZ146" s="521"/>
      <c r="GA146" s="521"/>
      <c r="GB146" s="521"/>
      <c r="GC146" s="521"/>
      <c r="GD146" s="521"/>
      <c r="GE146" s="521"/>
      <c r="GF146" s="521"/>
      <c r="GG146" s="521"/>
      <c r="GH146" s="521"/>
      <c r="GI146" s="521"/>
      <c r="GJ146" s="521"/>
      <c r="GK146" s="521"/>
      <c r="GL146" s="521"/>
      <c r="GM146" s="521"/>
      <c r="GN146" s="521"/>
      <c r="GO146" s="521"/>
      <c r="GP146" s="521"/>
      <c r="GQ146" s="521"/>
      <c r="GR146" s="521"/>
      <c r="GS146" s="521"/>
      <c r="GT146" s="521"/>
      <c r="GU146" s="521"/>
      <c r="GV146" s="521"/>
      <c r="GW146" s="521"/>
      <c r="GX146" s="521"/>
      <c r="GY146" s="521"/>
      <c r="GZ146" s="521"/>
      <c r="HA146" s="521"/>
      <c r="HB146" s="521"/>
      <c r="HC146" s="521"/>
      <c r="HD146" s="521"/>
      <c r="HE146" s="521"/>
      <c r="HF146" s="521"/>
      <c r="HG146" s="521"/>
      <c r="HH146" s="521"/>
      <c r="HI146" s="521"/>
      <c r="HJ146" s="521"/>
      <c r="HK146" s="521"/>
      <c r="HL146" s="521"/>
      <c r="HM146" s="521"/>
      <c r="HN146" s="521"/>
      <c r="HO146" s="521"/>
      <c r="HP146" s="521"/>
      <c r="HQ146" s="521"/>
      <c r="HR146" s="521"/>
      <c r="HS146" s="521"/>
      <c r="HT146" s="521"/>
      <c r="HU146" s="521"/>
      <c r="HV146" s="521"/>
      <c r="HW146" s="521"/>
      <c r="HX146" s="521"/>
      <c r="HY146" s="521"/>
      <c r="HZ146" s="521"/>
      <c r="IA146" s="521"/>
      <c r="IB146" s="521"/>
      <c r="IC146" s="521"/>
      <c r="ID146" s="521"/>
      <c r="IE146" s="521"/>
      <c r="IF146" s="521"/>
      <c r="IG146" s="521"/>
      <c r="IH146" s="521"/>
      <c r="II146" s="521"/>
      <c r="IJ146" s="521"/>
      <c r="IK146" s="521"/>
      <c r="IL146" s="521"/>
      <c r="IM146" s="521"/>
      <c r="IN146" s="521"/>
      <c r="IO146" s="521"/>
      <c r="IP146" s="521"/>
      <c r="IQ146" s="521"/>
    </row>
    <row r="147" spans="1:251" ht="18" customHeight="1">
      <c r="A147" s="520">
        <v>138</v>
      </c>
      <c r="B147" s="533"/>
      <c r="C147" s="538"/>
      <c r="D147" s="589" t="s">
        <v>283</v>
      </c>
      <c r="E147" s="535"/>
      <c r="F147" s="536"/>
      <c r="G147" s="1293"/>
      <c r="H147" s="746"/>
      <c r="I147" s="721"/>
      <c r="J147" s="1258">
        <v>200</v>
      </c>
      <c r="K147" s="1258"/>
      <c r="L147" s="1259">
        <f>SUM(I147:K147)</f>
        <v>200</v>
      </c>
      <c r="M147" s="537"/>
      <c r="N147" s="521"/>
      <c r="O147" s="521"/>
      <c r="P147" s="521"/>
      <c r="Q147" s="521"/>
      <c r="R147" s="521"/>
      <c r="S147" s="521"/>
      <c r="T147" s="521"/>
      <c r="U147" s="521"/>
      <c r="V147" s="521"/>
      <c r="W147" s="521"/>
      <c r="X147" s="521"/>
      <c r="Y147" s="521"/>
      <c r="Z147" s="521"/>
      <c r="AA147" s="521"/>
      <c r="AB147" s="521"/>
      <c r="AC147" s="521"/>
      <c r="AD147" s="521"/>
      <c r="AE147" s="521"/>
      <c r="AF147" s="521"/>
      <c r="AG147" s="521"/>
      <c r="AH147" s="521"/>
      <c r="AI147" s="521"/>
      <c r="AJ147" s="521"/>
      <c r="AK147" s="521"/>
      <c r="AL147" s="521"/>
      <c r="AM147" s="521"/>
      <c r="AN147" s="521"/>
      <c r="AO147" s="521"/>
      <c r="AP147" s="521"/>
      <c r="AQ147" s="521"/>
      <c r="AR147" s="521"/>
      <c r="AS147" s="521"/>
      <c r="AT147" s="521"/>
      <c r="AU147" s="521"/>
      <c r="AV147" s="521"/>
      <c r="AW147" s="521"/>
      <c r="AX147" s="521"/>
      <c r="AY147" s="521"/>
      <c r="AZ147" s="521"/>
      <c r="BA147" s="521"/>
      <c r="BB147" s="521"/>
      <c r="BC147" s="521"/>
      <c r="BD147" s="521"/>
      <c r="BE147" s="521"/>
      <c r="BF147" s="521"/>
      <c r="BG147" s="521"/>
      <c r="BH147" s="521"/>
      <c r="BI147" s="521"/>
      <c r="BJ147" s="521"/>
      <c r="BK147" s="521"/>
      <c r="BL147" s="521"/>
      <c r="BM147" s="521"/>
      <c r="BN147" s="521"/>
      <c r="BO147" s="521"/>
      <c r="BP147" s="521"/>
      <c r="BQ147" s="521"/>
      <c r="BR147" s="521"/>
      <c r="BS147" s="521"/>
      <c r="BT147" s="521"/>
      <c r="BU147" s="521"/>
      <c r="BV147" s="521"/>
      <c r="BW147" s="521"/>
      <c r="BX147" s="521"/>
      <c r="BY147" s="521"/>
      <c r="BZ147" s="521"/>
      <c r="CA147" s="521"/>
      <c r="CB147" s="521"/>
      <c r="CC147" s="521"/>
      <c r="CD147" s="521"/>
      <c r="CE147" s="521"/>
      <c r="CF147" s="521"/>
      <c r="CG147" s="521"/>
      <c r="CH147" s="521"/>
      <c r="CI147" s="521"/>
      <c r="CJ147" s="521"/>
      <c r="CK147" s="521"/>
      <c r="CL147" s="521"/>
      <c r="CM147" s="521"/>
      <c r="CN147" s="521"/>
      <c r="CO147" s="521"/>
      <c r="CP147" s="521"/>
      <c r="CQ147" s="521"/>
      <c r="CR147" s="521"/>
      <c r="CS147" s="521"/>
      <c r="CT147" s="521"/>
      <c r="CU147" s="521"/>
      <c r="CV147" s="521"/>
      <c r="CW147" s="521"/>
      <c r="CX147" s="521"/>
      <c r="CY147" s="521"/>
      <c r="CZ147" s="521"/>
      <c r="DA147" s="521"/>
      <c r="DB147" s="521"/>
      <c r="DC147" s="521"/>
      <c r="DD147" s="521"/>
      <c r="DE147" s="521"/>
      <c r="DF147" s="521"/>
      <c r="DG147" s="521"/>
      <c r="DH147" s="521"/>
      <c r="DI147" s="521"/>
      <c r="DJ147" s="521"/>
      <c r="DK147" s="521"/>
      <c r="DL147" s="521"/>
      <c r="DM147" s="521"/>
      <c r="DN147" s="521"/>
      <c r="DO147" s="521"/>
      <c r="DP147" s="521"/>
      <c r="DQ147" s="521"/>
      <c r="DR147" s="521"/>
      <c r="DS147" s="521"/>
      <c r="DT147" s="521"/>
      <c r="DU147" s="521"/>
      <c r="DV147" s="521"/>
      <c r="DW147" s="521"/>
      <c r="DX147" s="521"/>
      <c r="DY147" s="521"/>
      <c r="DZ147" s="521"/>
      <c r="EA147" s="521"/>
      <c r="EB147" s="521"/>
      <c r="EC147" s="521"/>
      <c r="ED147" s="521"/>
      <c r="EE147" s="521"/>
      <c r="EF147" s="521"/>
      <c r="EG147" s="521"/>
      <c r="EH147" s="521"/>
      <c r="EI147" s="521"/>
      <c r="EJ147" s="521"/>
      <c r="EK147" s="521"/>
      <c r="EL147" s="521"/>
      <c r="EM147" s="521"/>
      <c r="EN147" s="521"/>
      <c r="EO147" s="521"/>
      <c r="EP147" s="521"/>
      <c r="EQ147" s="521"/>
      <c r="ER147" s="521"/>
      <c r="ES147" s="521"/>
      <c r="ET147" s="521"/>
      <c r="EU147" s="521"/>
      <c r="EV147" s="521"/>
      <c r="EW147" s="521"/>
      <c r="EX147" s="521"/>
      <c r="EY147" s="521"/>
      <c r="EZ147" s="521"/>
      <c r="FA147" s="521"/>
      <c r="FB147" s="521"/>
      <c r="FC147" s="521"/>
      <c r="FD147" s="521"/>
      <c r="FE147" s="521"/>
      <c r="FF147" s="521"/>
      <c r="FG147" s="521"/>
      <c r="FH147" s="521"/>
      <c r="FI147" s="521"/>
      <c r="FJ147" s="521"/>
      <c r="FK147" s="521"/>
      <c r="FL147" s="521"/>
      <c r="FM147" s="521"/>
      <c r="FN147" s="521"/>
      <c r="FO147" s="521"/>
      <c r="FP147" s="521"/>
      <c r="FQ147" s="521"/>
      <c r="FR147" s="521"/>
      <c r="FS147" s="521"/>
      <c r="FT147" s="521"/>
      <c r="FU147" s="521"/>
      <c r="FV147" s="521"/>
      <c r="FW147" s="521"/>
      <c r="FX147" s="521"/>
      <c r="FY147" s="521"/>
      <c r="FZ147" s="521"/>
      <c r="GA147" s="521"/>
      <c r="GB147" s="521"/>
      <c r="GC147" s="521"/>
      <c r="GD147" s="521"/>
      <c r="GE147" s="521"/>
      <c r="GF147" s="521"/>
      <c r="GG147" s="521"/>
      <c r="GH147" s="521"/>
      <c r="GI147" s="521"/>
      <c r="GJ147" s="521"/>
      <c r="GK147" s="521"/>
      <c r="GL147" s="521"/>
      <c r="GM147" s="521"/>
      <c r="GN147" s="521"/>
      <c r="GO147" s="521"/>
      <c r="GP147" s="521"/>
      <c r="GQ147" s="521"/>
      <c r="GR147" s="521"/>
      <c r="GS147" s="521"/>
      <c r="GT147" s="521"/>
      <c r="GU147" s="521"/>
      <c r="GV147" s="521"/>
      <c r="GW147" s="521"/>
      <c r="GX147" s="521"/>
      <c r="GY147" s="521"/>
      <c r="GZ147" s="521"/>
      <c r="HA147" s="521"/>
      <c r="HB147" s="521"/>
      <c r="HC147" s="521"/>
      <c r="HD147" s="521"/>
      <c r="HE147" s="521"/>
      <c r="HF147" s="521"/>
      <c r="HG147" s="521"/>
      <c r="HH147" s="521"/>
      <c r="HI147" s="521"/>
      <c r="HJ147" s="521"/>
      <c r="HK147" s="521"/>
      <c r="HL147" s="521"/>
      <c r="HM147" s="521"/>
      <c r="HN147" s="521"/>
      <c r="HO147" s="521"/>
      <c r="HP147" s="521"/>
      <c r="HQ147" s="521"/>
      <c r="HR147" s="521"/>
      <c r="HS147" s="521"/>
      <c r="HT147" s="521"/>
      <c r="HU147" s="521"/>
      <c r="HV147" s="521"/>
      <c r="HW147" s="521"/>
      <c r="HX147" s="521"/>
      <c r="HY147" s="521"/>
      <c r="HZ147" s="521"/>
      <c r="IA147" s="521"/>
      <c r="IB147" s="521"/>
      <c r="IC147" s="521"/>
      <c r="ID147" s="521"/>
      <c r="IE147" s="521"/>
      <c r="IF147" s="521"/>
      <c r="IG147" s="521"/>
      <c r="IH147" s="521"/>
      <c r="II147" s="521"/>
      <c r="IJ147" s="521"/>
      <c r="IK147" s="521"/>
      <c r="IL147" s="521"/>
      <c r="IM147" s="521"/>
      <c r="IN147" s="521"/>
      <c r="IO147" s="521"/>
      <c r="IP147" s="521"/>
      <c r="IQ147" s="521"/>
    </row>
    <row r="148" spans="1:251" ht="18" customHeight="1">
      <c r="A148" s="520">
        <v>139</v>
      </c>
      <c r="B148" s="533"/>
      <c r="C148" s="538"/>
      <c r="D148" s="478" t="s">
        <v>757</v>
      </c>
      <c r="E148" s="535"/>
      <c r="F148" s="536"/>
      <c r="G148" s="1293"/>
      <c r="H148" s="746"/>
      <c r="I148" s="1506">
        <v>114</v>
      </c>
      <c r="J148" s="1351">
        <v>86</v>
      </c>
      <c r="K148" s="1351"/>
      <c r="L148" s="1447">
        <f>SUM(I148:K148)</f>
        <v>200</v>
      </c>
      <c r="M148" s="537"/>
      <c r="N148" s="521"/>
      <c r="O148" s="521"/>
      <c r="P148" s="521"/>
      <c r="Q148" s="521"/>
      <c r="R148" s="521"/>
      <c r="S148" s="521"/>
      <c r="T148" s="521"/>
      <c r="U148" s="521"/>
      <c r="V148" s="521"/>
      <c r="W148" s="521"/>
      <c r="X148" s="521"/>
      <c r="Y148" s="521"/>
      <c r="Z148" s="521"/>
      <c r="AA148" s="521"/>
      <c r="AB148" s="521"/>
      <c r="AC148" s="521"/>
      <c r="AD148" s="521"/>
      <c r="AE148" s="521"/>
      <c r="AF148" s="521"/>
      <c r="AG148" s="521"/>
      <c r="AH148" s="521"/>
      <c r="AI148" s="521"/>
      <c r="AJ148" s="521"/>
      <c r="AK148" s="521"/>
      <c r="AL148" s="521"/>
      <c r="AM148" s="521"/>
      <c r="AN148" s="521"/>
      <c r="AO148" s="521"/>
      <c r="AP148" s="521"/>
      <c r="AQ148" s="521"/>
      <c r="AR148" s="521"/>
      <c r="AS148" s="521"/>
      <c r="AT148" s="521"/>
      <c r="AU148" s="521"/>
      <c r="AV148" s="521"/>
      <c r="AW148" s="521"/>
      <c r="AX148" s="521"/>
      <c r="AY148" s="521"/>
      <c r="AZ148" s="521"/>
      <c r="BA148" s="521"/>
      <c r="BB148" s="521"/>
      <c r="BC148" s="521"/>
      <c r="BD148" s="521"/>
      <c r="BE148" s="521"/>
      <c r="BF148" s="521"/>
      <c r="BG148" s="521"/>
      <c r="BH148" s="521"/>
      <c r="BI148" s="521"/>
      <c r="BJ148" s="521"/>
      <c r="BK148" s="521"/>
      <c r="BL148" s="521"/>
      <c r="BM148" s="521"/>
      <c r="BN148" s="521"/>
      <c r="BO148" s="521"/>
      <c r="BP148" s="521"/>
      <c r="BQ148" s="521"/>
      <c r="BR148" s="521"/>
      <c r="BS148" s="521"/>
      <c r="BT148" s="521"/>
      <c r="BU148" s="521"/>
      <c r="BV148" s="521"/>
      <c r="BW148" s="521"/>
      <c r="BX148" s="521"/>
      <c r="BY148" s="521"/>
      <c r="BZ148" s="521"/>
      <c r="CA148" s="521"/>
      <c r="CB148" s="521"/>
      <c r="CC148" s="521"/>
      <c r="CD148" s="521"/>
      <c r="CE148" s="521"/>
      <c r="CF148" s="521"/>
      <c r="CG148" s="521"/>
      <c r="CH148" s="521"/>
      <c r="CI148" s="521"/>
      <c r="CJ148" s="521"/>
      <c r="CK148" s="521"/>
      <c r="CL148" s="521"/>
      <c r="CM148" s="521"/>
      <c r="CN148" s="521"/>
      <c r="CO148" s="521"/>
      <c r="CP148" s="521"/>
      <c r="CQ148" s="521"/>
      <c r="CR148" s="521"/>
      <c r="CS148" s="521"/>
      <c r="CT148" s="521"/>
      <c r="CU148" s="521"/>
      <c r="CV148" s="521"/>
      <c r="CW148" s="521"/>
      <c r="CX148" s="521"/>
      <c r="CY148" s="521"/>
      <c r="CZ148" s="521"/>
      <c r="DA148" s="521"/>
      <c r="DB148" s="521"/>
      <c r="DC148" s="521"/>
      <c r="DD148" s="521"/>
      <c r="DE148" s="521"/>
      <c r="DF148" s="521"/>
      <c r="DG148" s="521"/>
      <c r="DH148" s="521"/>
      <c r="DI148" s="521"/>
      <c r="DJ148" s="521"/>
      <c r="DK148" s="521"/>
      <c r="DL148" s="521"/>
      <c r="DM148" s="521"/>
      <c r="DN148" s="521"/>
      <c r="DO148" s="521"/>
      <c r="DP148" s="521"/>
      <c r="DQ148" s="521"/>
      <c r="DR148" s="521"/>
      <c r="DS148" s="521"/>
      <c r="DT148" s="521"/>
      <c r="DU148" s="521"/>
      <c r="DV148" s="521"/>
      <c r="DW148" s="521"/>
      <c r="DX148" s="521"/>
      <c r="DY148" s="521"/>
      <c r="DZ148" s="521"/>
      <c r="EA148" s="521"/>
      <c r="EB148" s="521"/>
      <c r="EC148" s="521"/>
      <c r="ED148" s="521"/>
      <c r="EE148" s="521"/>
      <c r="EF148" s="521"/>
      <c r="EG148" s="521"/>
      <c r="EH148" s="521"/>
      <c r="EI148" s="521"/>
      <c r="EJ148" s="521"/>
      <c r="EK148" s="521"/>
      <c r="EL148" s="521"/>
      <c r="EM148" s="521"/>
      <c r="EN148" s="521"/>
      <c r="EO148" s="521"/>
      <c r="EP148" s="521"/>
      <c r="EQ148" s="521"/>
      <c r="ER148" s="521"/>
      <c r="ES148" s="521"/>
      <c r="ET148" s="521"/>
      <c r="EU148" s="521"/>
      <c r="EV148" s="521"/>
      <c r="EW148" s="521"/>
      <c r="EX148" s="521"/>
      <c r="EY148" s="521"/>
      <c r="EZ148" s="521"/>
      <c r="FA148" s="521"/>
      <c r="FB148" s="521"/>
      <c r="FC148" s="521"/>
      <c r="FD148" s="521"/>
      <c r="FE148" s="521"/>
      <c r="FF148" s="521"/>
      <c r="FG148" s="521"/>
      <c r="FH148" s="521"/>
      <c r="FI148" s="521"/>
      <c r="FJ148" s="521"/>
      <c r="FK148" s="521"/>
      <c r="FL148" s="521"/>
      <c r="FM148" s="521"/>
      <c r="FN148" s="521"/>
      <c r="FO148" s="521"/>
      <c r="FP148" s="521"/>
      <c r="FQ148" s="521"/>
      <c r="FR148" s="521"/>
      <c r="FS148" s="521"/>
      <c r="FT148" s="521"/>
      <c r="FU148" s="521"/>
      <c r="FV148" s="521"/>
      <c r="FW148" s="521"/>
      <c r="FX148" s="521"/>
      <c r="FY148" s="521"/>
      <c r="FZ148" s="521"/>
      <c r="GA148" s="521"/>
      <c r="GB148" s="521"/>
      <c r="GC148" s="521"/>
      <c r="GD148" s="521"/>
      <c r="GE148" s="521"/>
      <c r="GF148" s="521"/>
      <c r="GG148" s="521"/>
      <c r="GH148" s="521"/>
      <c r="GI148" s="521"/>
      <c r="GJ148" s="521"/>
      <c r="GK148" s="521"/>
      <c r="GL148" s="521"/>
      <c r="GM148" s="521"/>
      <c r="GN148" s="521"/>
      <c r="GO148" s="521"/>
      <c r="GP148" s="521"/>
      <c r="GQ148" s="521"/>
      <c r="GR148" s="521"/>
      <c r="GS148" s="521"/>
      <c r="GT148" s="521"/>
      <c r="GU148" s="521"/>
      <c r="GV148" s="521"/>
      <c r="GW148" s="521"/>
      <c r="GX148" s="521"/>
      <c r="GY148" s="521"/>
      <c r="GZ148" s="521"/>
      <c r="HA148" s="521"/>
      <c r="HB148" s="521"/>
      <c r="HC148" s="521"/>
      <c r="HD148" s="521"/>
      <c r="HE148" s="521"/>
      <c r="HF148" s="521"/>
      <c r="HG148" s="521"/>
      <c r="HH148" s="521"/>
      <c r="HI148" s="521"/>
      <c r="HJ148" s="521"/>
      <c r="HK148" s="521"/>
      <c r="HL148" s="521"/>
      <c r="HM148" s="521"/>
      <c r="HN148" s="521"/>
      <c r="HO148" s="521"/>
      <c r="HP148" s="521"/>
      <c r="HQ148" s="521"/>
      <c r="HR148" s="521"/>
      <c r="HS148" s="521"/>
      <c r="HT148" s="521"/>
      <c r="HU148" s="521"/>
      <c r="HV148" s="521"/>
      <c r="HW148" s="521"/>
      <c r="HX148" s="521"/>
      <c r="HY148" s="521"/>
      <c r="HZ148" s="521"/>
      <c r="IA148" s="521"/>
      <c r="IB148" s="521"/>
      <c r="IC148" s="521"/>
      <c r="ID148" s="521"/>
      <c r="IE148" s="521"/>
      <c r="IF148" s="521"/>
      <c r="IG148" s="521"/>
      <c r="IH148" s="521"/>
      <c r="II148" s="521"/>
      <c r="IJ148" s="521"/>
      <c r="IK148" s="521"/>
      <c r="IL148" s="521"/>
      <c r="IM148" s="521"/>
      <c r="IN148" s="521"/>
      <c r="IO148" s="521"/>
      <c r="IP148" s="521"/>
      <c r="IQ148" s="521"/>
    </row>
    <row r="149" spans="1:251" ht="18" customHeight="1">
      <c r="A149" s="520">
        <v>140</v>
      </c>
      <c r="B149" s="533"/>
      <c r="C149" s="538"/>
      <c r="D149" s="1090" t="s">
        <v>892</v>
      </c>
      <c r="E149" s="535"/>
      <c r="F149" s="536"/>
      <c r="G149" s="1293"/>
      <c r="H149" s="746"/>
      <c r="I149" s="1717">
        <v>114</v>
      </c>
      <c r="J149" s="1291">
        <v>0</v>
      </c>
      <c r="K149" s="535"/>
      <c r="L149" s="1138">
        <f>SUM(I149:K149)</f>
        <v>114</v>
      </c>
      <c r="M149" s="537"/>
      <c r="N149" s="521"/>
      <c r="O149" s="521"/>
      <c r="P149" s="521"/>
      <c r="Q149" s="521"/>
      <c r="R149" s="521"/>
      <c r="S149" s="521"/>
      <c r="T149" s="521"/>
      <c r="U149" s="521"/>
      <c r="V149" s="521"/>
      <c r="W149" s="521"/>
      <c r="X149" s="521"/>
      <c r="Y149" s="521"/>
      <c r="Z149" s="521"/>
      <c r="AA149" s="521"/>
      <c r="AB149" s="521"/>
      <c r="AC149" s="521"/>
      <c r="AD149" s="521"/>
      <c r="AE149" s="521"/>
      <c r="AF149" s="521"/>
      <c r="AG149" s="521"/>
      <c r="AH149" s="521"/>
      <c r="AI149" s="521"/>
      <c r="AJ149" s="521"/>
      <c r="AK149" s="521"/>
      <c r="AL149" s="521"/>
      <c r="AM149" s="521"/>
      <c r="AN149" s="521"/>
      <c r="AO149" s="521"/>
      <c r="AP149" s="521"/>
      <c r="AQ149" s="521"/>
      <c r="AR149" s="521"/>
      <c r="AS149" s="521"/>
      <c r="AT149" s="521"/>
      <c r="AU149" s="521"/>
      <c r="AV149" s="521"/>
      <c r="AW149" s="521"/>
      <c r="AX149" s="521"/>
      <c r="AY149" s="521"/>
      <c r="AZ149" s="521"/>
      <c r="BA149" s="521"/>
      <c r="BB149" s="521"/>
      <c r="BC149" s="521"/>
      <c r="BD149" s="521"/>
      <c r="BE149" s="521"/>
      <c r="BF149" s="521"/>
      <c r="BG149" s="521"/>
      <c r="BH149" s="521"/>
      <c r="BI149" s="521"/>
      <c r="BJ149" s="521"/>
      <c r="BK149" s="521"/>
      <c r="BL149" s="521"/>
      <c r="BM149" s="521"/>
      <c r="BN149" s="521"/>
      <c r="BO149" s="521"/>
      <c r="BP149" s="521"/>
      <c r="BQ149" s="521"/>
      <c r="BR149" s="521"/>
      <c r="BS149" s="521"/>
      <c r="BT149" s="521"/>
      <c r="BU149" s="521"/>
      <c r="BV149" s="521"/>
      <c r="BW149" s="521"/>
      <c r="BX149" s="521"/>
      <c r="BY149" s="521"/>
      <c r="BZ149" s="521"/>
      <c r="CA149" s="521"/>
      <c r="CB149" s="521"/>
      <c r="CC149" s="521"/>
      <c r="CD149" s="521"/>
      <c r="CE149" s="521"/>
      <c r="CF149" s="521"/>
      <c r="CG149" s="521"/>
      <c r="CH149" s="521"/>
      <c r="CI149" s="521"/>
      <c r="CJ149" s="521"/>
      <c r="CK149" s="521"/>
      <c r="CL149" s="521"/>
      <c r="CM149" s="521"/>
      <c r="CN149" s="521"/>
      <c r="CO149" s="521"/>
      <c r="CP149" s="521"/>
      <c r="CQ149" s="521"/>
      <c r="CR149" s="521"/>
      <c r="CS149" s="521"/>
      <c r="CT149" s="521"/>
      <c r="CU149" s="521"/>
      <c r="CV149" s="521"/>
      <c r="CW149" s="521"/>
      <c r="CX149" s="521"/>
      <c r="CY149" s="521"/>
      <c r="CZ149" s="521"/>
      <c r="DA149" s="521"/>
      <c r="DB149" s="521"/>
      <c r="DC149" s="521"/>
      <c r="DD149" s="521"/>
      <c r="DE149" s="521"/>
      <c r="DF149" s="521"/>
      <c r="DG149" s="521"/>
      <c r="DH149" s="521"/>
      <c r="DI149" s="521"/>
      <c r="DJ149" s="521"/>
      <c r="DK149" s="521"/>
      <c r="DL149" s="521"/>
      <c r="DM149" s="521"/>
      <c r="DN149" s="521"/>
      <c r="DO149" s="521"/>
      <c r="DP149" s="521"/>
      <c r="DQ149" s="521"/>
      <c r="DR149" s="521"/>
      <c r="DS149" s="521"/>
      <c r="DT149" s="521"/>
      <c r="DU149" s="521"/>
      <c r="DV149" s="521"/>
      <c r="DW149" s="521"/>
      <c r="DX149" s="521"/>
      <c r="DY149" s="521"/>
      <c r="DZ149" s="521"/>
      <c r="EA149" s="521"/>
      <c r="EB149" s="521"/>
      <c r="EC149" s="521"/>
      <c r="ED149" s="521"/>
      <c r="EE149" s="521"/>
      <c r="EF149" s="521"/>
      <c r="EG149" s="521"/>
      <c r="EH149" s="521"/>
      <c r="EI149" s="521"/>
      <c r="EJ149" s="521"/>
      <c r="EK149" s="521"/>
      <c r="EL149" s="521"/>
      <c r="EM149" s="521"/>
      <c r="EN149" s="521"/>
      <c r="EO149" s="521"/>
      <c r="EP149" s="521"/>
      <c r="EQ149" s="521"/>
      <c r="ER149" s="521"/>
      <c r="ES149" s="521"/>
      <c r="ET149" s="521"/>
      <c r="EU149" s="521"/>
      <c r="EV149" s="521"/>
      <c r="EW149" s="521"/>
      <c r="EX149" s="521"/>
      <c r="EY149" s="521"/>
      <c r="EZ149" s="521"/>
      <c r="FA149" s="521"/>
      <c r="FB149" s="521"/>
      <c r="FC149" s="521"/>
      <c r="FD149" s="521"/>
      <c r="FE149" s="521"/>
      <c r="FF149" s="521"/>
      <c r="FG149" s="521"/>
      <c r="FH149" s="521"/>
      <c r="FI149" s="521"/>
      <c r="FJ149" s="521"/>
      <c r="FK149" s="521"/>
      <c r="FL149" s="521"/>
      <c r="FM149" s="521"/>
      <c r="FN149" s="521"/>
      <c r="FO149" s="521"/>
      <c r="FP149" s="521"/>
      <c r="FQ149" s="521"/>
      <c r="FR149" s="521"/>
      <c r="FS149" s="521"/>
      <c r="FT149" s="521"/>
      <c r="FU149" s="521"/>
      <c r="FV149" s="521"/>
      <c r="FW149" s="521"/>
      <c r="FX149" s="521"/>
      <c r="FY149" s="521"/>
      <c r="FZ149" s="521"/>
      <c r="GA149" s="521"/>
      <c r="GB149" s="521"/>
      <c r="GC149" s="521"/>
      <c r="GD149" s="521"/>
      <c r="GE149" s="521"/>
      <c r="GF149" s="521"/>
      <c r="GG149" s="521"/>
      <c r="GH149" s="521"/>
      <c r="GI149" s="521"/>
      <c r="GJ149" s="521"/>
      <c r="GK149" s="521"/>
      <c r="GL149" s="521"/>
      <c r="GM149" s="521"/>
      <c r="GN149" s="521"/>
      <c r="GO149" s="521"/>
      <c r="GP149" s="521"/>
      <c r="GQ149" s="521"/>
      <c r="GR149" s="521"/>
      <c r="GS149" s="521"/>
      <c r="GT149" s="521"/>
      <c r="GU149" s="521"/>
      <c r="GV149" s="521"/>
      <c r="GW149" s="521"/>
      <c r="GX149" s="521"/>
      <c r="GY149" s="521"/>
      <c r="GZ149" s="521"/>
      <c r="HA149" s="521"/>
      <c r="HB149" s="521"/>
      <c r="HC149" s="521"/>
      <c r="HD149" s="521"/>
      <c r="HE149" s="521"/>
      <c r="HF149" s="521"/>
      <c r="HG149" s="521"/>
      <c r="HH149" s="521"/>
      <c r="HI149" s="521"/>
      <c r="HJ149" s="521"/>
      <c r="HK149" s="521"/>
      <c r="HL149" s="521"/>
      <c r="HM149" s="521"/>
      <c r="HN149" s="521"/>
      <c r="HO149" s="521"/>
      <c r="HP149" s="521"/>
      <c r="HQ149" s="521"/>
      <c r="HR149" s="521"/>
      <c r="HS149" s="521"/>
      <c r="HT149" s="521"/>
      <c r="HU149" s="521"/>
      <c r="HV149" s="521"/>
      <c r="HW149" s="521"/>
      <c r="HX149" s="521"/>
      <c r="HY149" s="521"/>
      <c r="HZ149" s="521"/>
      <c r="IA149" s="521"/>
      <c r="IB149" s="521"/>
      <c r="IC149" s="521"/>
      <c r="ID149" s="521"/>
      <c r="IE149" s="521"/>
      <c r="IF149" s="521"/>
      <c r="IG149" s="521"/>
      <c r="IH149" s="521"/>
      <c r="II149" s="521"/>
      <c r="IJ149" s="521"/>
      <c r="IK149" s="521"/>
      <c r="IL149" s="521"/>
      <c r="IM149" s="521"/>
      <c r="IN149" s="521"/>
      <c r="IO149" s="521"/>
      <c r="IP149" s="521"/>
      <c r="IQ149" s="521"/>
    </row>
    <row r="150" spans="1:251" ht="33.75" customHeight="1">
      <c r="A150" s="520">
        <v>141</v>
      </c>
      <c r="B150" s="533"/>
      <c r="C150" s="538">
        <v>36</v>
      </c>
      <c r="D150" s="997" t="s">
        <v>636</v>
      </c>
      <c r="E150" s="535">
        <f>F150+G150+L152+M151</f>
        <v>275</v>
      </c>
      <c r="F150" s="536"/>
      <c r="G150" s="1293"/>
      <c r="H150" s="746" t="s">
        <v>23</v>
      </c>
      <c r="I150" s="721"/>
      <c r="J150" s="1182"/>
      <c r="K150" s="1182"/>
      <c r="L150" s="507"/>
      <c r="M150" s="537"/>
      <c r="N150" s="521"/>
      <c r="O150" s="521"/>
      <c r="P150" s="521"/>
      <c r="Q150" s="521"/>
      <c r="R150" s="521"/>
      <c r="S150" s="521"/>
      <c r="T150" s="521"/>
      <c r="U150" s="521"/>
      <c r="V150" s="521"/>
      <c r="W150" s="521"/>
      <c r="X150" s="521"/>
      <c r="Y150" s="521"/>
      <c r="Z150" s="521"/>
      <c r="AA150" s="521"/>
      <c r="AB150" s="521"/>
      <c r="AC150" s="521"/>
      <c r="AD150" s="521"/>
      <c r="AE150" s="521"/>
      <c r="AF150" s="521"/>
      <c r="AG150" s="521"/>
      <c r="AH150" s="521"/>
      <c r="AI150" s="521"/>
      <c r="AJ150" s="521"/>
      <c r="AK150" s="521"/>
      <c r="AL150" s="521"/>
      <c r="AM150" s="521"/>
      <c r="AN150" s="521"/>
      <c r="AO150" s="521"/>
      <c r="AP150" s="521"/>
      <c r="AQ150" s="521"/>
      <c r="AR150" s="521"/>
      <c r="AS150" s="521"/>
      <c r="AT150" s="521"/>
      <c r="AU150" s="521"/>
      <c r="AV150" s="521"/>
      <c r="AW150" s="521"/>
      <c r="AX150" s="521"/>
      <c r="AY150" s="521"/>
      <c r="AZ150" s="521"/>
      <c r="BA150" s="521"/>
      <c r="BB150" s="521"/>
      <c r="BC150" s="521"/>
      <c r="BD150" s="521"/>
      <c r="BE150" s="521"/>
      <c r="BF150" s="521"/>
      <c r="BG150" s="521"/>
      <c r="BH150" s="521"/>
      <c r="BI150" s="521"/>
      <c r="BJ150" s="521"/>
      <c r="BK150" s="521"/>
      <c r="BL150" s="521"/>
      <c r="BM150" s="521"/>
      <c r="BN150" s="521"/>
      <c r="BO150" s="521"/>
      <c r="BP150" s="521"/>
      <c r="BQ150" s="521"/>
      <c r="BR150" s="521"/>
      <c r="BS150" s="521"/>
      <c r="BT150" s="521"/>
      <c r="BU150" s="521"/>
      <c r="BV150" s="521"/>
      <c r="BW150" s="521"/>
      <c r="BX150" s="521"/>
      <c r="BY150" s="521"/>
      <c r="BZ150" s="521"/>
      <c r="CA150" s="521"/>
      <c r="CB150" s="521"/>
      <c r="CC150" s="521"/>
      <c r="CD150" s="521"/>
      <c r="CE150" s="521"/>
      <c r="CF150" s="521"/>
      <c r="CG150" s="521"/>
      <c r="CH150" s="521"/>
      <c r="CI150" s="521"/>
      <c r="CJ150" s="521"/>
      <c r="CK150" s="521"/>
      <c r="CL150" s="521"/>
      <c r="CM150" s="521"/>
      <c r="CN150" s="521"/>
      <c r="CO150" s="521"/>
      <c r="CP150" s="521"/>
      <c r="CQ150" s="521"/>
      <c r="CR150" s="521"/>
      <c r="CS150" s="521"/>
      <c r="CT150" s="521"/>
      <c r="CU150" s="521"/>
      <c r="CV150" s="521"/>
      <c r="CW150" s="521"/>
      <c r="CX150" s="521"/>
      <c r="CY150" s="521"/>
      <c r="CZ150" s="521"/>
      <c r="DA150" s="521"/>
      <c r="DB150" s="521"/>
      <c r="DC150" s="521"/>
      <c r="DD150" s="521"/>
      <c r="DE150" s="521"/>
      <c r="DF150" s="521"/>
      <c r="DG150" s="521"/>
      <c r="DH150" s="521"/>
      <c r="DI150" s="521"/>
      <c r="DJ150" s="521"/>
      <c r="DK150" s="521"/>
      <c r="DL150" s="521"/>
      <c r="DM150" s="521"/>
      <c r="DN150" s="521"/>
      <c r="DO150" s="521"/>
      <c r="DP150" s="521"/>
      <c r="DQ150" s="521"/>
      <c r="DR150" s="521"/>
      <c r="DS150" s="521"/>
      <c r="DT150" s="521"/>
      <c r="DU150" s="521"/>
      <c r="DV150" s="521"/>
      <c r="DW150" s="521"/>
      <c r="DX150" s="521"/>
      <c r="DY150" s="521"/>
      <c r="DZ150" s="521"/>
      <c r="EA150" s="521"/>
      <c r="EB150" s="521"/>
      <c r="EC150" s="521"/>
      <c r="ED150" s="521"/>
      <c r="EE150" s="521"/>
      <c r="EF150" s="521"/>
      <c r="EG150" s="521"/>
      <c r="EH150" s="521"/>
      <c r="EI150" s="521"/>
      <c r="EJ150" s="521"/>
      <c r="EK150" s="521"/>
      <c r="EL150" s="521"/>
      <c r="EM150" s="521"/>
      <c r="EN150" s="521"/>
      <c r="EO150" s="521"/>
      <c r="EP150" s="521"/>
      <c r="EQ150" s="521"/>
      <c r="ER150" s="521"/>
      <c r="ES150" s="521"/>
      <c r="ET150" s="521"/>
      <c r="EU150" s="521"/>
      <c r="EV150" s="521"/>
      <c r="EW150" s="521"/>
      <c r="EX150" s="521"/>
      <c r="EY150" s="521"/>
      <c r="EZ150" s="521"/>
      <c r="FA150" s="521"/>
      <c r="FB150" s="521"/>
      <c r="FC150" s="521"/>
      <c r="FD150" s="521"/>
      <c r="FE150" s="521"/>
      <c r="FF150" s="521"/>
      <c r="FG150" s="521"/>
      <c r="FH150" s="521"/>
      <c r="FI150" s="521"/>
      <c r="FJ150" s="521"/>
      <c r="FK150" s="521"/>
      <c r="FL150" s="521"/>
      <c r="FM150" s="521"/>
      <c r="FN150" s="521"/>
      <c r="FO150" s="521"/>
      <c r="FP150" s="521"/>
      <c r="FQ150" s="521"/>
      <c r="FR150" s="521"/>
      <c r="FS150" s="521"/>
      <c r="FT150" s="521"/>
      <c r="FU150" s="521"/>
      <c r="FV150" s="521"/>
      <c r="FW150" s="521"/>
      <c r="FX150" s="521"/>
      <c r="FY150" s="521"/>
      <c r="FZ150" s="521"/>
      <c r="GA150" s="521"/>
      <c r="GB150" s="521"/>
      <c r="GC150" s="521"/>
      <c r="GD150" s="521"/>
      <c r="GE150" s="521"/>
      <c r="GF150" s="521"/>
      <c r="GG150" s="521"/>
      <c r="GH150" s="521"/>
      <c r="GI150" s="521"/>
      <c r="GJ150" s="521"/>
      <c r="GK150" s="521"/>
      <c r="GL150" s="521"/>
      <c r="GM150" s="521"/>
      <c r="GN150" s="521"/>
      <c r="GO150" s="521"/>
      <c r="GP150" s="521"/>
      <c r="GQ150" s="521"/>
      <c r="GR150" s="521"/>
      <c r="GS150" s="521"/>
      <c r="GT150" s="521"/>
      <c r="GU150" s="521"/>
      <c r="GV150" s="521"/>
      <c r="GW150" s="521"/>
      <c r="GX150" s="521"/>
      <c r="GY150" s="521"/>
      <c r="GZ150" s="521"/>
      <c r="HA150" s="521"/>
      <c r="HB150" s="521"/>
      <c r="HC150" s="521"/>
      <c r="HD150" s="521"/>
      <c r="HE150" s="521"/>
      <c r="HF150" s="521"/>
      <c r="HG150" s="521"/>
      <c r="HH150" s="521"/>
      <c r="HI150" s="521"/>
      <c r="HJ150" s="521"/>
      <c r="HK150" s="521"/>
      <c r="HL150" s="521"/>
      <c r="HM150" s="521"/>
      <c r="HN150" s="521"/>
      <c r="HO150" s="521"/>
      <c r="HP150" s="521"/>
      <c r="HQ150" s="521"/>
      <c r="HR150" s="521"/>
      <c r="HS150" s="521"/>
      <c r="HT150" s="521"/>
      <c r="HU150" s="521"/>
      <c r="HV150" s="521"/>
      <c r="HW150" s="521"/>
      <c r="HX150" s="521"/>
      <c r="HY150" s="521"/>
      <c r="HZ150" s="521"/>
      <c r="IA150" s="521"/>
      <c r="IB150" s="521"/>
      <c r="IC150" s="521"/>
      <c r="ID150" s="521"/>
      <c r="IE150" s="521"/>
      <c r="IF150" s="521"/>
      <c r="IG150" s="521"/>
      <c r="IH150" s="521"/>
      <c r="II150" s="521"/>
      <c r="IJ150" s="521"/>
      <c r="IK150" s="521"/>
      <c r="IL150" s="521"/>
      <c r="IM150" s="521"/>
      <c r="IN150" s="521"/>
      <c r="IO150" s="521"/>
      <c r="IP150" s="521"/>
      <c r="IQ150" s="521"/>
    </row>
    <row r="151" spans="1:251" ht="18" customHeight="1">
      <c r="A151" s="520">
        <v>142</v>
      </c>
      <c r="B151" s="533"/>
      <c r="C151" s="538"/>
      <c r="D151" s="589" t="s">
        <v>283</v>
      </c>
      <c r="E151" s="535"/>
      <c r="F151" s="536"/>
      <c r="G151" s="1293"/>
      <c r="H151" s="746"/>
      <c r="I151" s="721"/>
      <c r="J151" s="1258">
        <v>275</v>
      </c>
      <c r="K151" s="1258"/>
      <c r="L151" s="1259">
        <f>SUM(I151:K151)</f>
        <v>275</v>
      </c>
      <c r="M151" s="537"/>
      <c r="N151" s="521"/>
      <c r="O151" s="521"/>
      <c r="P151" s="521"/>
      <c r="Q151" s="521"/>
      <c r="R151" s="521"/>
      <c r="S151" s="521"/>
      <c r="T151" s="521"/>
      <c r="U151" s="521"/>
      <c r="V151" s="521"/>
      <c r="W151" s="521"/>
      <c r="X151" s="521"/>
      <c r="Y151" s="521"/>
      <c r="Z151" s="521"/>
      <c r="AA151" s="521"/>
      <c r="AB151" s="521"/>
      <c r="AC151" s="521"/>
      <c r="AD151" s="521"/>
      <c r="AE151" s="521"/>
      <c r="AF151" s="521"/>
      <c r="AG151" s="521"/>
      <c r="AH151" s="521"/>
      <c r="AI151" s="521"/>
      <c r="AJ151" s="521"/>
      <c r="AK151" s="521"/>
      <c r="AL151" s="521"/>
      <c r="AM151" s="521"/>
      <c r="AN151" s="521"/>
      <c r="AO151" s="521"/>
      <c r="AP151" s="521"/>
      <c r="AQ151" s="521"/>
      <c r="AR151" s="521"/>
      <c r="AS151" s="521"/>
      <c r="AT151" s="521"/>
      <c r="AU151" s="521"/>
      <c r="AV151" s="521"/>
      <c r="AW151" s="521"/>
      <c r="AX151" s="521"/>
      <c r="AY151" s="521"/>
      <c r="AZ151" s="521"/>
      <c r="BA151" s="521"/>
      <c r="BB151" s="521"/>
      <c r="BC151" s="521"/>
      <c r="BD151" s="521"/>
      <c r="BE151" s="521"/>
      <c r="BF151" s="521"/>
      <c r="BG151" s="521"/>
      <c r="BH151" s="521"/>
      <c r="BI151" s="521"/>
      <c r="BJ151" s="521"/>
      <c r="BK151" s="521"/>
      <c r="BL151" s="521"/>
      <c r="BM151" s="521"/>
      <c r="BN151" s="521"/>
      <c r="BO151" s="521"/>
      <c r="BP151" s="521"/>
      <c r="BQ151" s="521"/>
      <c r="BR151" s="521"/>
      <c r="BS151" s="521"/>
      <c r="BT151" s="521"/>
      <c r="BU151" s="521"/>
      <c r="BV151" s="521"/>
      <c r="BW151" s="521"/>
      <c r="BX151" s="521"/>
      <c r="BY151" s="521"/>
      <c r="BZ151" s="521"/>
      <c r="CA151" s="521"/>
      <c r="CB151" s="521"/>
      <c r="CC151" s="521"/>
      <c r="CD151" s="521"/>
      <c r="CE151" s="521"/>
      <c r="CF151" s="521"/>
      <c r="CG151" s="521"/>
      <c r="CH151" s="521"/>
      <c r="CI151" s="521"/>
      <c r="CJ151" s="521"/>
      <c r="CK151" s="521"/>
      <c r="CL151" s="521"/>
      <c r="CM151" s="521"/>
      <c r="CN151" s="521"/>
      <c r="CO151" s="521"/>
      <c r="CP151" s="521"/>
      <c r="CQ151" s="521"/>
      <c r="CR151" s="521"/>
      <c r="CS151" s="521"/>
      <c r="CT151" s="521"/>
      <c r="CU151" s="521"/>
      <c r="CV151" s="521"/>
      <c r="CW151" s="521"/>
      <c r="CX151" s="521"/>
      <c r="CY151" s="521"/>
      <c r="CZ151" s="521"/>
      <c r="DA151" s="521"/>
      <c r="DB151" s="521"/>
      <c r="DC151" s="521"/>
      <c r="DD151" s="521"/>
      <c r="DE151" s="521"/>
      <c r="DF151" s="521"/>
      <c r="DG151" s="521"/>
      <c r="DH151" s="521"/>
      <c r="DI151" s="521"/>
      <c r="DJ151" s="521"/>
      <c r="DK151" s="521"/>
      <c r="DL151" s="521"/>
      <c r="DM151" s="521"/>
      <c r="DN151" s="521"/>
      <c r="DO151" s="521"/>
      <c r="DP151" s="521"/>
      <c r="DQ151" s="521"/>
      <c r="DR151" s="521"/>
      <c r="DS151" s="521"/>
      <c r="DT151" s="521"/>
      <c r="DU151" s="521"/>
      <c r="DV151" s="521"/>
      <c r="DW151" s="521"/>
      <c r="DX151" s="521"/>
      <c r="DY151" s="521"/>
      <c r="DZ151" s="521"/>
      <c r="EA151" s="521"/>
      <c r="EB151" s="521"/>
      <c r="EC151" s="521"/>
      <c r="ED151" s="521"/>
      <c r="EE151" s="521"/>
      <c r="EF151" s="521"/>
      <c r="EG151" s="521"/>
      <c r="EH151" s="521"/>
      <c r="EI151" s="521"/>
      <c r="EJ151" s="521"/>
      <c r="EK151" s="521"/>
      <c r="EL151" s="521"/>
      <c r="EM151" s="521"/>
      <c r="EN151" s="521"/>
      <c r="EO151" s="521"/>
      <c r="EP151" s="521"/>
      <c r="EQ151" s="521"/>
      <c r="ER151" s="521"/>
      <c r="ES151" s="521"/>
      <c r="ET151" s="521"/>
      <c r="EU151" s="521"/>
      <c r="EV151" s="521"/>
      <c r="EW151" s="521"/>
      <c r="EX151" s="521"/>
      <c r="EY151" s="521"/>
      <c r="EZ151" s="521"/>
      <c r="FA151" s="521"/>
      <c r="FB151" s="521"/>
      <c r="FC151" s="521"/>
      <c r="FD151" s="521"/>
      <c r="FE151" s="521"/>
      <c r="FF151" s="521"/>
      <c r="FG151" s="521"/>
      <c r="FH151" s="521"/>
      <c r="FI151" s="521"/>
      <c r="FJ151" s="521"/>
      <c r="FK151" s="521"/>
      <c r="FL151" s="521"/>
      <c r="FM151" s="521"/>
      <c r="FN151" s="521"/>
      <c r="FO151" s="521"/>
      <c r="FP151" s="521"/>
      <c r="FQ151" s="521"/>
      <c r="FR151" s="521"/>
      <c r="FS151" s="521"/>
      <c r="FT151" s="521"/>
      <c r="FU151" s="521"/>
      <c r="FV151" s="521"/>
      <c r="FW151" s="521"/>
      <c r="FX151" s="521"/>
      <c r="FY151" s="521"/>
      <c r="FZ151" s="521"/>
      <c r="GA151" s="521"/>
      <c r="GB151" s="521"/>
      <c r="GC151" s="521"/>
      <c r="GD151" s="521"/>
      <c r="GE151" s="521"/>
      <c r="GF151" s="521"/>
      <c r="GG151" s="521"/>
      <c r="GH151" s="521"/>
      <c r="GI151" s="521"/>
      <c r="GJ151" s="521"/>
      <c r="GK151" s="521"/>
      <c r="GL151" s="521"/>
      <c r="GM151" s="521"/>
      <c r="GN151" s="521"/>
      <c r="GO151" s="521"/>
      <c r="GP151" s="521"/>
      <c r="GQ151" s="521"/>
      <c r="GR151" s="521"/>
      <c r="GS151" s="521"/>
      <c r="GT151" s="521"/>
      <c r="GU151" s="521"/>
      <c r="GV151" s="521"/>
      <c r="GW151" s="521"/>
      <c r="GX151" s="521"/>
      <c r="GY151" s="521"/>
      <c r="GZ151" s="521"/>
      <c r="HA151" s="521"/>
      <c r="HB151" s="521"/>
      <c r="HC151" s="521"/>
      <c r="HD151" s="521"/>
      <c r="HE151" s="521"/>
      <c r="HF151" s="521"/>
      <c r="HG151" s="521"/>
      <c r="HH151" s="521"/>
      <c r="HI151" s="521"/>
      <c r="HJ151" s="521"/>
      <c r="HK151" s="521"/>
      <c r="HL151" s="521"/>
      <c r="HM151" s="521"/>
      <c r="HN151" s="521"/>
      <c r="HO151" s="521"/>
      <c r="HP151" s="521"/>
      <c r="HQ151" s="521"/>
      <c r="HR151" s="521"/>
      <c r="HS151" s="521"/>
      <c r="HT151" s="521"/>
      <c r="HU151" s="521"/>
      <c r="HV151" s="521"/>
      <c r="HW151" s="521"/>
      <c r="HX151" s="521"/>
      <c r="HY151" s="521"/>
      <c r="HZ151" s="521"/>
      <c r="IA151" s="521"/>
      <c r="IB151" s="521"/>
      <c r="IC151" s="521"/>
      <c r="ID151" s="521"/>
      <c r="IE151" s="521"/>
      <c r="IF151" s="521"/>
      <c r="IG151" s="521"/>
      <c r="IH151" s="521"/>
      <c r="II151" s="521"/>
      <c r="IJ151" s="521"/>
      <c r="IK151" s="521"/>
      <c r="IL151" s="521"/>
      <c r="IM151" s="521"/>
      <c r="IN151" s="521"/>
      <c r="IO151" s="521"/>
      <c r="IP151" s="521"/>
      <c r="IQ151" s="521"/>
    </row>
    <row r="152" spans="1:251" ht="18" customHeight="1">
      <c r="A152" s="520">
        <v>143</v>
      </c>
      <c r="B152" s="533"/>
      <c r="C152" s="538"/>
      <c r="D152" s="478" t="s">
        <v>757</v>
      </c>
      <c r="E152" s="535"/>
      <c r="F152" s="536"/>
      <c r="G152" s="1293"/>
      <c r="H152" s="746"/>
      <c r="I152" s="721"/>
      <c r="J152" s="1351">
        <v>275</v>
      </c>
      <c r="K152" s="1351"/>
      <c r="L152" s="1447">
        <f>SUM(I152:K152)</f>
        <v>275</v>
      </c>
      <c r="M152" s="537"/>
      <c r="N152" s="521"/>
      <c r="O152" s="521"/>
      <c r="P152" s="521"/>
      <c r="Q152" s="521"/>
      <c r="R152" s="521"/>
      <c r="S152" s="521"/>
      <c r="T152" s="521"/>
      <c r="U152" s="521"/>
      <c r="V152" s="521"/>
      <c r="W152" s="521"/>
      <c r="X152" s="521"/>
      <c r="Y152" s="521"/>
      <c r="Z152" s="521"/>
      <c r="AA152" s="521"/>
      <c r="AB152" s="521"/>
      <c r="AC152" s="521"/>
      <c r="AD152" s="521"/>
      <c r="AE152" s="521"/>
      <c r="AF152" s="521"/>
      <c r="AG152" s="521"/>
      <c r="AH152" s="521"/>
      <c r="AI152" s="521"/>
      <c r="AJ152" s="521"/>
      <c r="AK152" s="521"/>
      <c r="AL152" s="521"/>
      <c r="AM152" s="521"/>
      <c r="AN152" s="521"/>
      <c r="AO152" s="521"/>
      <c r="AP152" s="521"/>
      <c r="AQ152" s="521"/>
      <c r="AR152" s="521"/>
      <c r="AS152" s="521"/>
      <c r="AT152" s="521"/>
      <c r="AU152" s="521"/>
      <c r="AV152" s="521"/>
      <c r="AW152" s="521"/>
      <c r="AX152" s="521"/>
      <c r="AY152" s="521"/>
      <c r="AZ152" s="521"/>
      <c r="BA152" s="521"/>
      <c r="BB152" s="521"/>
      <c r="BC152" s="521"/>
      <c r="BD152" s="521"/>
      <c r="BE152" s="521"/>
      <c r="BF152" s="521"/>
      <c r="BG152" s="521"/>
      <c r="BH152" s="521"/>
      <c r="BI152" s="521"/>
      <c r="BJ152" s="521"/>
      <c r="BK152" s="521"/>
      <c r="BL152" s="521"/>
      <c r="BM152" s="521"/>
      <c r="BN152" s="521"/>
      <c r="BO152" s="521"/>
      <c r="BP152" s="521"/>
      <c r="BQ152" s="521"/>
      <c r="BR152" s="521"/>
      <c r="BS152" s="521"/>
      <c r="BT152" s="521"/>
      <c r="BU152" s="521"/>
      <c r="BV152" s="521"/>
      <c r="BW152" s="521"/>
      <c r="BX152" s="521"/>
      <c r="BY152" s="521"/>
      <c r="BZ152" s="521"/>
      <c r="CA152" s="521"/>
      <c r="CB152" s="521"/>
      <c r="CC152" s="521"/>
      <c r="CD152" s="521"/>
      <c r="CE152" s="521"/>
      <c r="CF152" s="521"/>
      <c r="CG152" s="521"/>
      <c r="CH152" s="521"/>
      <c r="CI152" s="521"/>
      <c r="CJ152" s="521"/>
      <c r="CK152" s="521"/>
      <c r="CL152" s="521"/>
      <c r="CM152" s="521"/>
      <c r="CN152" s="521"/>
      <c r="CO152" s="521"/>
      <c r="CP152" s="521"/>
      <c r="CQ152" s="521"/>
      <c r="CR152" s="521"/>
      <c r="CS152" s="521"/>
      <c r="CT152" s="521"/>
      <c r="CU152" s="521"/>
      <c r="CV152" s="521"/>
      <c r="CW152" s="521"/>
      <c r="CX152" s="521"/>
      <c r="CY152" s="521"/>
      <c r="CZ152" s="521"/>
      <c r="DA152" s="521"/>
      <c r="DB152" s="521"/>
      <c r="DC152" s="521"/>
      <c r="DD152" s="521"/>
      <c r="DE152" s="521"/>
      <c r="DF152" s="521"/>
      <c r="DG152" s="521"/>
      <c r="DH152" s="521"/>
      <c r="DI152" s="521"/>
      <c r="DJ152" s="521"/>
      <c r="DK152" s="521"/>
      <c r="DL152" s="521"/>
      <c r="DM152" s="521"/>
      <c r="DN152" s="521"/>
      <c r="DO152" s="521"/>
      <c r="DP152" s="521"/>
      <c r="DQ152" s="521"/>
      <c r="DR152" s="521"/>
      <c r="DS152" s="521"/>
      <c r="DT152" s="521"/>
      <c r="DU152" s="521"/>
      <c r="DV152" s="521"/>
      <c r="DW152" s="521"/>
      <c r="DX152" s="521"/>
      <c r="DY152" s="521"/>
      <c r="DZ152" s="521"/>
      <c r="EA152" s="521"/>
      <c r="EB152" s="521"/>
      <c r="EC152" s="521"/>
      <c r="ED152" s="521"/>
      <c r="EE152" s="521"/>
      <c r="EF152" s="521"/>
      <c r="EG152" s="521"/>
      <c r="EH152" s="521"/>
      <c r="EI152" s="521"/>
      <c r="EJ152" s="521"/>
      <c r="EK152" s="521"/>
      <c r="EL152" s="521"/>
      <c r="EM152" s="521"/>
      <c r="EN152" s="521"/>
      <c r="EO152" s="521"/>
      <c r="EP152" s="521"/>
      <c r="EQ152" s="521"/>
      <c r="ER152" s="521"/>
      <c r="ES152" s="521"/>
      <c r="ET152" s="521"/>
      <c r="EU152" s="521"/>
      <c r="EV152" s="521"/>
      <c r="EW152" s="521"/>
      <c r="EX152" s="521"/>
      <c r="EY152" s="521"/>
      <c r="EZ152" s="521"/>
      <c r="FA152" s="521"/>
      <c r="FB152" s="521"/>
      <c r="FC152" s="521"/>
      <c r="FD152" s="521"/>
      <c r="FE152" s="521"/>
      <c r="FF152" s="521"/>
      <c r="FG152" s="521"/>
      <c r="FH152" s="521"/>
      <c r="FI152" s="521"/>
      <c r="FJ152" s="521"/>
      <c r="FK152" s="521"/>
      <c r="FL152" s="521"/>
      <c r="FM152" s="521"/>
      <c r="FN152" s="521"/>
      <c r="FO152" s="521"/>
      <c r="FP152" s="521"/>
      <c r="FQ152" s="521"/>
      <c r="FR152" s="521"/>
      <c r="FS152" s="521"/>
      <c r="FT152" s="521"/>
      <c r="FU152" s="521"/>
      <c r="FV152" s="521"/>
      <c r="FW152" s="521"/>
      <c r="FX152" s="521"/>
      <c r="FY152" s="521"/>
      <c r="FZ152" s="521"/>
      <c r="GA152" s="521"/>
      <c r="GB152" s="521"/>
      <c r="GC152" s="521"/>
      <c r="GD152" s="521"/>
      <c r="GE152" s="521"/>
      <c r="GF152" s="521"/>
      <c r="GG152" s="521"/>
      <c r="GH152" s="521"/>
      <c r="GI152" s="521"/>
      <c r="GJ152" s="521"/>
      <c r="GK152" s="521"/>
      <c r="GL152" s="521"/>
      <c r="GM152" s="521"/>
      <c r="GN152" s="521"/>
      <c r="GO152" s="521"/>
      <c r="GP152" s="521"/>
      <c r="GQ152" s="521"/>
      <c r="GR152" s="521"/>
      <c r="GS152" s="521"/>
      <c r="GT152" s="521"/>
      <c r="GU152" s="521"/>
      <c r="GV152" s="521"/>
      <c r="GW152" s="521"/>
      <c r="GX152" s="521"/>
      <c r="GY152" s="521"/>
      <c r="GZ152" s="521"/>
      <c r="HA152" s="521"/>
      <c r="HB152" s="521"/>
      <c r="HC152" s="521"/>
      <c r="HD152" s="521"/>
      <c r="HE152" s="521"/>
      <c r="HF152" s="521"/>
      <c r="HG152" s="521"/>
      <c r="HH152" s="521"/>
      <c r="HI152" s="521"/>
      <c r="HJ152" s="521"/>
      <c r="HK152" s="521"/>
      <c r="HL152" s="521"/>
      <c r="HM152" s="521"/>
      <c r="HN152" s="521"/>
      <c r="HO152" s="521"/>
      <c r="HP152" s="521"/>
      <c r="HQ152" s="521"/>
      <c r="HR152" s="521"/>
      <c r="HS152" s="521"/>
      <c r="HT152" s="521"/>
      <c r="HU152" s="521"/>
      <c r="HV152" s="521"/>
      <c r="HW152" s="521"/>
      <c r="HX152" s="521"/>
      <c r="HY152" s="521"/>
      <c r="HZ152" s="521"/>
      <c r="IA152" s="521"/>
      <c r="IB152" s="521"/>
      <c r="IC152" s="521"/>
      <c r="ID152" s="521"/>
      <c r="IE152" s="521"/>
      <c r="IF152" s="521"/>
      <c r="IG152" s="521"/>
      <c r="IH152" s="521"/>
      <c r="II152" s="521"/>
      <c r="IJ152" s="521"/>
      <c r="IK152" s="521"/>
      <c r="IL152" s="521"/>
      <c r="IM152" s="521"/>
      <c r="IN152" s="521"/>
      <c r="IO152" s="521"/>
      <c r="IP152" s="521"/>
      <c r="IQ152" s="521"/>
    </row>
    <row r="153" spans="1:251" ht="18" customHeight="1">
      <c r="A153" s="520">
        <v>144</v>
      </c>
      <c r="B153" s="533"/>
      <c r="C153" s="538"/>
      <c r="D153" s="1090" t="s">
        <v>893</v>
      </c>
      <c r="E153" s="535"/>
      <c r="F153" s="536"/>
      <c r="G153" s="1293"/>
      <c r="H153" s="746"/>
      <c r="I153" s="721"/>
      <c r="J153" s="1291">
        <v>0</v>
      </c>
      <c r="K153" s="1291"/>
      <c r="L153" s="1138">
        <f>SUM(I153:K153)</f>
        <v>0</v>
      </c>
      <c r="M153" s="537"/>
      <c r="N153" s="521"/>
      <c r="O153" s="521"/>
      <c r="P153" s="521"/>
      <c r="Q153" s="521"/>
      <c r="R153" s="521"/>
      <c r="S153" s="521"/>
      <c r="T153" s="521"/>
      <c r="U153" s="521"/>
      <c r="V153" s="521"/>
      <c r="W153" s="521"/>
      <c r="X153" s="521"/>
      <c r="Y153" s="521"/>
      <c r="Z153" s="521"/>
      <c r="AA153" s="521"/>
      <c r="AB153" s="521"/>
      <c r="AC153" s="521"/>
      <c r="AD153" s="521"/>
      <c r="AE153" s="521"/>
      <c r="AF153" s="521"/>
      <c r="AG153" s="521"/>
      <c r="AH153" s="521"/>
      <c r="AI153" s="521"/>
      <c r="AJ153" s="521"/>
      <c r="AK153" s="521"/>
      <c r="AL153" s="521"/>
      <c r="AM153" s="521"/>
      <c r="AN153" s="521"/>
      <c r="AO153" s="521"/>
      <c r="AP153" s="521"/>
      <c r="AQ153" s="521"/>
      <c r="AR153" s="521"/>
      <c r="AS153" s="521"/>
      <c r="AT153" s="521"/>
      <c r="AU153" s="521"/>
      <c r="AV153" s="521"/>
      <c r="AW153" s="521"/>
      <c r="AX153" s="521"/>
      <c r="AY153" s="521"/>
      <c r="AZ153" s="521"/>
      <c r="BA153" s="521"/>
      <c r="BB153" s="521"/>
      <c r="BC153" s="521"/>
      <c r="BD153" s="521"/>
      <c r="BE153" s="521"/>
      <c r="BF153" s="521"/>
      <c r="BG153" s="521"/>
      <c r="BH153" s="521"/>
      <c r="BI153" s="521"/>
      <c r="BJ153" s="521"/>
      <c r="BK153" s="521"/>
      <c r="BL153" s="521"/>
      <c r="BM153" s="521"/>
      <c r="BN153" s="521"/>
      <c r="BO153" s="521"/>
      <c r="BP153" s="521"/>
      <c r="BQ153" s="521"/>
      <c r="BR153" s="521"/>
      <c r="BS153" s="521"/>
      <c r="BT153" s="521"/>
      <c r="BU153" s="521"/>
      <c r="BV153" s="521"/>
      <c r="BW153" s="521"/>
      <c r="BX153" s="521"/>
      <c r="BY153" s="521"/>
      <c r="BZ153" s="521"/>
      <c r="CA153" s="521"/>
      <c r="CB153" s="521"/>
      <c r="CC153" s="521"/>
      <c r="CD153" s="521"/>
      <c r="CE153" s="521"/>
      <c r="CF153" s="521"/>
      <c r="CG153" s="521"/>
      <c r="CH153" s="521"/>
      <c r="CI153" s="521"/>
      <c r="CJ153" s="521"/>
      <c r="CK153" s="521"/>
      <c r="CL153" s="521"/>
      <c r="CM153" s="521"/>
      <c r="CN153" s="521"/>
      <c r="CO153" s="521"/>
      <c r="CP153" s="521"/>
      <c r="CQ153" s="521"/>
      <c r="CR153" s="521"/>
      <c r="CS153" s="521"/>
      <c r="CT153" s="521"/>
      <c r="CU153" s="521"/>
      <c r="CV153" s="521"/>
      <c r="CW153" s="521"/>
      <c r="CX153" s="521"/>
      <c r="CY153" s="521"/>
      <c r="CZ153" s="521"/>
      <c r="DA153" s="521"/>
      <c r="DB153" s="521"/>
      <c r="DC153" s="521"/>
      <c r="DD153" s="521"/>
      <c r="DE153" s="521"/>
      <c r="DF153" s="521"/>
      <c r="DG153" s="521"/>
      <c r="DH153" s="521"/>
      <c r="DI153" s="521"/>
      <c r="DJ153" s="521"/>
      <c r="DK153" s="521"/>
      <c r="DL153" s="521"/>
      <c r="DM153" s="521"/>
      <c r="DN153" s="521"/>
      <c r="DO153" s="521"/>
      <c r="DP153" s="521"/>
      <c r="DQ153" s="521"/>
      <c r="DR153" s="521"/>
      <c r="DS153" s="521"/>
      <c r="DT153" s="521"/>
      <c r="DU153" s="521"/>
      <c r="DV153" s="521"/>
      <c r="DW153" s="521"/>
      <c r="DX153" s="521"/>
      <c r="DY153" s="521"/>
      <c r="DZ153" s="521"/>
      <c r="EA153" s="521"/>
      <c r="EB153" s="521"/>
      <c r="EC153" s="521"/>
      <c r="ED153" s="521"/>
      <c r="EE153" s="521"/>
      <c r="EF153" s="521"/>
      <c r="EG153" s="521"/>
      <c r="EH153" s="521"/>
      <c r="EI153" s="521"/>
      <c r="EJ153" s="521"/>
      <c r="EK153" s="521"/>
      <c r="EL153" s="521"/>
      <c r="EM153" s="521"/>
      <c r="EN153" s="521"/>
      <c r="EO153" s="521"/>
      <c r="EP153" s="521"/>
      <c r="EQ153" s="521"/>
      <c r="ER153" s="521"/>
      <c r="ES153" s="521"/>
      <c r="ET153" s="521"/>
      <c r="EU153" s="521"/>
      <c r="EV153" s="521"/>
      <c r="EW153" s="521"/>
      <c r="EX153" s="521"/>
      <c r="EY153" s="521"/>
      <c r="EZ153" s="521"/>
      <c r="FA153" s="521"/>
      <c r="FB153" s="521"/>
      <c r="FC153" s="521"/>
      <c r="FD153" s="521"/>
      <c r="FE153" s="521"/>
      <c r="FF153" s="521"/>
      <c r="FG153" s="521"/>
      <c r="FH153" s="521"/>
      <c r="FI153" s="521"/>
      <c r="FJ153" s="521"/>
      <c r="FK153" s="521"/>
      <c r="FL153" s="521"/>
      <c r="FM153" s="521"/>
      <c r="FN153" s="521"/>
      <c r="FO153" s="521"/>
      <c r="FP153" s="521"/>
      <c r="FQ153" s="521"/>
      <c r="FR153" s="521"/>
      <c r="FS153" s="521"/>
      <c r="FT153" s="521"/>
      <c r="FU153" s="521"/>
      <c r="FV153" s="521"/>
      <c r="FW153" s="521"/>
      <c r="FX153" s="521"/>
      <c r="FY153" s="521"/>
      <c r="FZ153" s="521"/>
      <c r="GA153" s="521"/>
      <c r="GB153" s="521"/>
      <c r="GC153" s="521"/>
      <c r="GD153" s="521"/>
      <c r="GE153" s="521"/>
      <c r="GF153" s="521"/>
      <c r="GG153" s="521"/>
      <c r="GH153" s="521"/>
      <c r="GI153" s="521"/>
      <c r="GJ153" s="521"/>
      <c r="GK153" s="521"/>
      <c r="GL153" s="521"/>
      <c r="GM153" s="521"/>
      <c r="GN153" s="521"/>
      <c r="GO153" s="521"/>
      <c r="GP153" s="521"/>
      <c r="GQ153" s="521"/>
      <c r="GR153" s="521"/>
      <c r="GS153" s="521"/>
      <c r="GT153" s="521"/>
      <c r="GU153" s="521"/>
      <c r="GV153" s="521"/>
      <c r="GW153" s="521"/>
      <c r="GX153" s="521"/>
      <c r="GY153" s="521"/>
      <c r="GZ153" s="521"/>
      <c r="HA153" s="521"/>
      <c r="HB153" s="521"/>
      <c r="HC153" s="521"/>
      <c r="HD153" s="521"/>
      <c r="HE153" s="521"/>
      <c r="HF153" s="521"/>
      <c r="HG153" s="521"/>
      <c r="HH153" s="521"/>
      <c r="HI153" s="521"/>
      <c r="HJ153" s="521"/>
      <c r="HK153" s="521"/>
      <c r="HL153" s="521"/>
      <c r="HM153" s="521"/>
      <c r="HN153" s="521"/>
      <c r="HO153" s="521"/>
      <c r="HP153" s="521"/>
      <c r="HQ153" s="521"/>
      <c r="HR153" s="521"/>
      <c r="HS153" s="521"/>
      <c r="HT153" s="521"/>
      <c r="HU153" s="521"/>
      <c r="HV153" s="521"/>
      <c r="HW153" s="521"/>
      <c r="HX153" s="521"/>
      <c r="HY153" s="521"/>
      <c r="HZ153" s="521"/>
      <c r="IA153" s="521"/>
      <c r="IB153" s="521"/>
      <c r="IC153" s="521"/>
      <c r="ID153" s="521"/>
      <c r="IE153" s="521"/>
      <c r="IF153" s="521"/>
      <c r="IG153" s="521"/>
      <c r="IH153" s="521"/>
      <c r="II153" s="521"/>
      <c r="IJ153" s="521"/>
      <c r="IK153" s="521"/>
      <c r="IL153" s="521"/>
      <c r="IM153" s="521"/>
      <c r="IN153" s="521"/>
      <c r="IO153" s="521"/>
      <c r="IP153" s="521"/>
      <c r="IQ153" s="521"/>
    </row>
    <row r="154" spans="1:251" ht="35.25" customHeight="1">
      <c r="A154" s="520">
        <v>145</v>
      </c>
      <c r="B154" s="533"/>
      <c r="C154" s="538">
        <v>37</v>
      </c>
      <c r="D154" s="997" t="s">
        <v>665</v>
      </c>
      <c r="E154" s="535">
        <f>F154+G154+L156+M155</f>
        <v>10</v>
      </c>
      <c r="F154" s="536"/>
      <c r="G154" s="1293"/>
      <c r="H154" s="746" t="s">
        <v>23</v>
      </c>
      <c r="I154" s="721"/>
      <c r="J154" s="1182"/>
      <c r="K154" s="1182"/>
      <c r="L154" s="507"/>
      <c r="M154" s="537"/>
      <c r="N154" s="521"/>
      <c r="O154" s="521"/>
      <c r="P154" s="521"/>
      <c r="Q154" s="521"/>
      <c r="R154" s="521"/>
      <c r="S154" s="521"/>
      <c r="T154" s="521"/>
      <c r="U154" s="521"/>
      <c r="V154" s="521"/>
      <c r="W154" s="521"/>
      <c r="X154" s="521"/>
      <c r="Y154" s="521"/>
      <c r="Z154" s="521"/>
      <c r="AA154" s="521"/>
      <c r="AB154" s="521"/>
      <c r="AC154" s="521"/>
      <c r="AD154" s="521"/>
      <c r="AE154" s="521"/>
      <c r="AF154" s="521"/>
      <c r="AG154" s="521"/>
      <c r="AH154" s="521"/>
      <c r="AI154" s="521"/>
      <c r="AJ154" s="521"/>
      <c r="AK154" s="521"/>
      <c r="AL154" s="521"/>
      <c r="AM154" s="521"/>
      <c r="AN154" s="521"/>
      <c r="AO154" s="521"/>
      <c r="AP154" s="521"/>
      <c r="AQ154" s="521"/>
      <c r="AR154" s="521"/>
      <c r="AS154" s="521"/>
      <c r="AT154" s="521"/>
      <c r="AU154" s="521"/>
      <c r="AV154" s="521"/>
      <c r="AW154" s="521"/>
      <c r="AX154" s="521"/>
      <c r="AY154" s="521"/>
      <c r="AZ154" s="521"/>
      <c r="BA154" s="521"/>
      <c r="BB154" s="521"/>
      <c r="BC154" s="521"/>
      <c r="BD154" s="521"/>
      <c r="BE154" s="521"/>
      <c r="BF154" s="521"/>
      <c r="BG154" s="521"/>
      <c r="BH154" s="521"/>
      <c r="BI154" s="521"/>
      <c r="BJ154" s="521"/>
      <c r="BK154" s="521"/>
      <c r="BL154" s="521"/>
      <c r="BM154" s="521"/>
      <c r="BN154" s="521"/>
      <c r="BO154" s="521"/>
      <c r="BP154" s="521"/>
      <c r="BQ154" s="521"/>
      <c r="BR154" s="521"/>
      <c r="BS154" s="521"/>
      <c r="BT154" s="521"/>
      <c r="BU154" s="521"/>
      <c r="BV154" s="521"/>
      <c r="BW154" s="521"/>
      <c r="BX154" s="521"/>
      <c r="BY154" s="521"/>
      <c r="BZ154" s="521"/>
      <c r="CA154" s="521"/>
      <c r="CB154" s="521"/>
      <c r="CC154" s="521"/>
      <c r="CD154" s="521"/>
      <c r="CE154" s="521"/>
      <c r="CF154" s="521"/>
      <c r="CG154" s="521"/>
      <c r="CH154" s="521"/>
      <c r="CI154" s="521"/>
      <c r="CJ154" s="521"/>
      <c r="CK154" s="521"/>
      <c r="CL154" s="521"/>
      <c r="CM154" s="521"/>
      <c r="CN154" s="521"/>
      <c r="CO154" s="521"/>
      <c r="CP154" s="521"/>
      <c r="CQ154" s="521"/>
      <c r="CR154" s="521"/>
      <c r="CS154" s="521"/>
      <c r="CT154" s="521"/>
      <c r="CU154" s="521"/>
      <c r="CV154" s="521"/>
      <c r="CW154" s="521"/>
      <c r="CX154" s="521"/>
      <c r="CY154" s="521"/>
      <c r="CZ154" s="521"/>
      <c r="DA154" s="521"/>
      <c r="DB154" s="521"/>
      <c r="DC154" s="521"/>
      <c r="DD154" s="521"/>
      <c r="DE154" s="521"/>
      <c r="DF154" s="521"/>
      <c r="DG154" s="521"/>
      <c r="DH154" s="521"/>
      <c r="DI154" s="521"/>
      <c r="DJ154" s="521"/>
      <c r="DK154" s="521"/>
      <c r="DL154" s="521"/>
      <c r="DM154" s="521"/>
      <c r="DN154" s="521"/>
      <c r="DO154" s="521"/>
      <c r="DP154" s="521"/>
      <c r="DQ154" s="521"/>
      <c r="DR154" s="521"/>
      <c r="DS154" s="521"/>
      <c r="DT154" s="521"/>
      <c r="DU154" s="521"/>
      <c r="DV154" s="521"/>
      <c r="DW154" s="521"/>
      <c r="DX154" s="521"/>
      <c r="DY154" s="521"/>
      <c r="DZ154" s="521"/>
      <c r="EA154" s="521"/>
      <c r="EB154" s="521"/>
      <c r="EC154" s="521"/>
      <c r="ED154" s="521"/>
      <c r="EE154" s="521"/>
      <c r="EF154" s="521"/>
      <c r="EG154" s="521"/>
      <c r="EH154" s="521"/>
      <c r="EI154" s="521"/>
      <c r="EJ154" s="521"/>
      <c r="EK154" s="521"/>
      <c r="EL154" s="521"/>
      <c r="EM154" s="521"/>
      <c r="EN154" s="521"/>
      <c r="EO154" s="521"/>
      <c r="EP154" s="521"/>
      <c r="EQ154" s="521"/>
      <c r="ER154" s="521"/>
      <c r="ES154" s="521"/>
      <c r="ET154" s="521"/>
      <c r="EU154" s="521"/>
      <c r="EV154" s="521"/>
      <c r="EW154" s="521"/>
      <c r="EX154" s="521"/>
      <c r="EY154" s="521"/>
      <c r="EZ154" s="521"/>
      <c r="FA154" s="521"/>
      <c r="FB154" s="521"/>
      <c r="FC154" s="521"/>
      <c r="FD154" s="521"/>
      <c r="FE154" s="521"/>
      <c r="FF154" s="521"/>
      <c r="FG154" s="521"/>
      <c r="FH154" s="521"/>
      <c r="FI154" s="521"/>
      <c r="FJ154" s="521"/>
      <c r="FK154" s="521"/>
      <c r="FL154" s="521"/>
      <c r="FM154" s="521"/>
      <c r="FN154" s="521"/>
      <c r="FO154" s="521"/>
      <c r="FP154" s="521"/>
      <c r="FQ154" s="521"/>
      <c r="FR154" s="521"/>
      <c r="FS154" s="521"/>
      <c r="FT154" s="521"/>
      <c r="FU154" s="521"/>
      <c r="FV154" s="521"/>
      <c r="FW154" s="521"/>
      <c r="FX154" s="521"/>
      <c r="FY154" s="521"/>
      <c r="FZ154" s="521"/>
      <c r="GA154" s="521"/>
      <c r="GB154" s="521"/>
      <c r="GC154" s="521"/>
      <c r="GD154" s="521"/>
      <c r="GE154" s="521"/>
      <c r="GF154" s="521"/>
      <c r="GG154" s="521"/>
      <c r="GH154" s="521"/>
      <c r="GI154" s="521"/>
      <c r="GJ154" s="521"/>
      <c r="GK154" s="521"/>
      <c r="GL154" s="521"/>
      <c r="GM154" s="521"/>
      <c r="GN154" s="521"/>
      <c r="GO154" s="521"/>
      <c r="GP154" s="521"/>
      <c r="GQ154" s="521"/>
      <c r="GR154" s="521"/>
      <c r="GS154" s="521"/>
      <c r="GT154" s="521"/>
      <c r="GU154" s="521"/>
      <c r="GV154" s="521"/>
      <c r="GW154" s="521"/>
      <c r="GX154" s="521"/>
      <c r="GY154" s="521"/>
      <c r="GZ154" s="521"/>
      <c r="HA154" s="521"/>
      <c r="HB154" s="521"/>
      <c r="HC154" s="521"/>
      <c r="HD154" s="521"/>
      <c r="HE154" s="521"/>
      <c r="HF154" s="521"/>
      <c r="HG154" s="521"/>
      <c r="HH154" s="521"/>
      <c r="HI154" s="521"/>
      <c r="HJ154" s="521"/>
      <c r="HK154" s="521"/>
      <c r="HL154" s="521"/>
      <c r="HM154" s="521"/>
      <c r="HN154" s="521"/>
      <c r="HO154" s="521"/>
      <c r="HP154" s="521"/>
      <c r="HQ154" s="521"/>
      <c r="HR154" s="521"/>
      <c r="HS154" s="521"/>
      <c r="HT154" s="521"/>
      <c r="HU154" s="521"/>
      <c r="HV154" s="521"/>
      <c r="HW154" s="521"/>
      <c r="HX154" s="521"/>
      <c r="HY154" s="521"/>
      <c r="HZ154" s="521"/>
      <c r="IA154" s="521"/>
      <c r="IB154" s="521"/>
      <c r="IC154" s="521"/>
      <c r="ID154" s="521"/>
      <c r="IE154" s="521"/>
      <c r="IF154" s="521"/>
      <c r="IG154" s="521"/>
      <c r="IH154" s="521"/>
      <c r="II154" s="521"/>
      <c r="IJ154" s="521"/>
      <c r="IK154" s="521"/>
      <c r="IL154" s="521"/>
      <c r="IM154" s="521"/>
      <c r="IN154" s="521"/>
      <c r="IO154" s="521"/>
      <c r="IP154" s="521"/>
      <c r="IQ154" s="521"/>
    </row>
    <row r="155" spans="1:251" ht="19.5" customHeight="1">
      <c r="A155" s="520">
        <v>146</v>
      </c>
      <c r="B155" s="533"/>
      <c r="C155" s="538"/>
      <c r="D155" s="589" t="s">
        <v>283</v>
      </c>
      <c r="E155" s="535"/>
      <c r="F155" s="536"/>
      <c r="G155" s="1293"/>
      <c r="H155" s="746"/>
      <c r="I155" s="721"/>
      <c r="J155" s="1258">
        <v>10</v>
      </c>
      <c r="K155" s="1258"/>
      <c r="L155" s="1259">
        <f>SUM(I155:K155)</f>
        <v>10</v>
      </c>
      <c r="M155" s="537"/>
      <c r="N155" s="521"/>
      <c r="O155" s="521"/>
      <c r="P155" s="521"/>
      <c r="Q155" s="521"/>
      <c r="R155" s="521"/>
      <c r="S155" s="521"/>
      <c r="T155" s="521"/>
      <c r="U155" s="521"/>
      <c r="V155" s="521"/>
      <c r="W155" s="521"/>
      <c r="X155" s="521"/>
      <c r="Y155" s="521"/>
      <c r="Z155" s="521"/>
      <c r="AA155" s="521"/>
      <c r="AB155" s="521"/>
      <c r="AC155" s="521"/>
      <c r="AD155" s="521"/>
      <c r="AE155" s="521"/>
      <c r="AF155" s="521"/>
      <c r="AG155" s="521"/>
      <c r="AH155" s="521"/>
      <c r="AI155" s="521"/>
      <c r="AJ155" s="521"/>
      <c r="AK155" s="521"/>
      <c r="AL155" s="521"/>
      <c r="AM155" s="521"/>
      <c r="AN155" s="521"/>
      <c r="AO155" s="521"/>
      <c r="AP155" s="521"/>
      <c r="AQ155" s="521"/>
      <c r="AR155" s="521"/>
      <c r="AS155" s="521"/>
      <c r="AT155" s="521"/>
      <c r="AU155" s="521"/>
      <c r="AV155" s="521"/>
      <c r="AW155" s="521"/>
      <c r="AX155" s="521"/>
      <c r="AY155" s="521"/>
      <c r="AZ155" s="521"/>
      <c r="BA155" s="521"/>
      <c r="BB155" s="521"/>
      <c r="BC155" s="521"/>
      <c r="BD155" s="521"/>
      <c r="BE155" s="521"/>
      <c r="BF155" s="521"/>
      <c r="BG155" s="521"/>
      <c r="BH155" s="521"/>
      <c r="BI155" s="521"/>
      <c r="BJ155" s="521"/>
      <c r="BK155" s="521"/>
      <c r="BL155" s="521"/>
      <c r="BM155" s="521"/>
      <c r="BN155" s="521"/>
      <c r="BO155" s="521"/>
      <c r="BP155" s="521"/>
      <c r="BQ155" s="521"/>
      <c r="BR155" s="521"/>
      <c r="BS155" s="521"/>
      <c r="BT155" s="521"/>
      <c r="BU155" s="521"/>
      <c r="BV155" s="521"/>
      <c r="BW155" s="521"/>
      <c r="BX155" s="521"/>
      <c r="BY155" s="521"/>
      <c r="BZ155" s="521"/>
      <c r="CA155" s="521"/>
      <c r="CB155" s="521"/>
      <c r="CC155" s="521"/>
      <c r="CD155" s="521"/>
      <c r="CE155" s="521"/>
      <c r="CF155" s="521"/>
      <c r="CG155" s="521"/>
      <c r="CH155" s="521"/>
      <c r="CI155" s="521"/>
      <c r="CJ155" s="521"/>
      <c r="CK155" s="521"/>
      <c r="CL155" s="521"/>
      <c r="CM155" s="521"/>
      <c r="CN155" s="521"/>
      <c r="CO155" s="521"/>
      <c r="CP155" s="521"/>
      <c r="CQ155" s="521"/>
      <c r="CR155" s="521"/>
      <c r="CS155" s="521"/>
      <c r="CT155" s="521"/>
      <c r="CU155" s="521"/>
      <c r="CV155" s="521"/>
      <c r="CW155" s="521"/>
      <c r="CX155" s="521"/>
      <c r="CY155" s="521"/>
      <c r="CZ155" s="521"/>
      <c r="DA155" s="521"/>
      <c r="DB155" s="521"/>
      <c r="DC155" s="521"/>
      <c r="DD155" s="521"/>
      <c r="DE155" s="521"/>
      <c r="DF155" s="521"/>
      <c r="DG155" s="521"/>
      <c r="DH155" s="521"/>
      <c r="DI155" s="521"/>
      <c r="DJ155" s="521"/>
      <c r="DK155" s="521"/>
      <c r="DL155" s="521"/>
      <c r="DM155" s="521"/>
      <c r="DN155" s="521"/>
      <c r="DO155" s="521"/>
      <c r="DP155" s="521"/>
      <c r="DQ155" s="521"/>
      <c r="DR155" s="521"/>
      <c r="DS155" s="521"/>
      <c r="DT155" s="521"/>
      <c r="DU155" s="521"/>
      <c r="DV155" s="521"/>
      <c r="DW155" s="521"/>
      <c r="DX155" s="521"/>
      <c r="DY155" s="521"/>
      <c r="DZ155" s="521"/>
      <c r="EA155" s="521"/>
      <c r="EB155" s="521"/>
      <c r="EC155" s="521"/>
      <c r="ED155" s="521"/>
      <c r="EE155" s="521"/>
      <c r="EF155" s="521"/>
      <c r="EG155" s="521"/>
      <c r="EH155" s="521"/>
      <c r="EI155" s="521"/>
      <c r="EJ155" s="521"/>
      <c r="EK155" s="521"/>
      <c r="EL155" s="521"/>
      <c r="EM155" s="521"/>
      <c r="EN155" s="521"/>
      <c r="EO155" s="521"/>
      <c r="EP155" s="521"/>
      <c r="EQ155" s="521"/>
      <c r="ER155" s="521"/>
      <c r="ES155" s="521"/>
      <c r="ET155" s="521"/>
      <c r="EU155" s="521"/>
      <c r="EV155" s="521"/>
      <c r="EW155" s="521"/>
      <c r="EX155" s="521"/>
      <c r="EY155" s="521"/>
      <c r="EZ155" s="521"/>
      <c r="FA155" s="521"/>
      <c r="FB155" s="521"/>
      <c r="FC155" s="521"/>
      <c r="FD155" s="521"/>
      <c r="FE155" s="521"/>
      <c r="FF155" s="521"/>
      <c r="FG155" s="521"/>
      <c r="FH155" s="521"/>
      <c r="FI155" s="521"/>
      <c r="FJ155" s="521"/>
      <c r="FK155" s="521"/>
      <c r="FL155" s="521"/>
      <c r="FM155" s="521"/>
      <c r="FN155" s="521"/>
      <c r="FO155" s="521"/>
      <c r="FP155" s="521"/>
      <c r="FQ155" s="521"/>
      <c r="FR155" s="521"/>
      <c r="FS155" s="521"/>
      <c r="FT155" s="521"/>
      <c r="FU155" s="521"/>
      <c r="FV155" s="521"/>
      <c r="FW155" s="521"/>
      <c r="FX155" s="521"/>
      <c r="FY155" s="521"/>
      <c r="FZ155" s="521"/>
      <c r="GA155" s="521"/>
      <c r="GB155" s="521"/>
      <c r="GC155" s="521"/>
      <c r="GD155" s="521"/>
      <c r="GE155" s="521"/>
      <c r="GF155" s="521"/>
      <c r="GG155" s="521"/>
      <c r="GH155" s="521"/>
      <c r="GI155" s="521"/>
      <c r="GJ155" s="521"/>
      <c r="GK155" s="521"/>
      <c r="GL155" s="521"/>
      <c r="GM155" s="521"/>
      <c r="GN155" s="521"/>
      <c r="GO155" s="521"/>
      <c r="GP155" s="521"/>
      <c r="GQ155" s="521"/>
      <c r="GR155" s="521"/>
      <c r="GS155" s="521"/>
      <c r="GT155" s="521"/>
      <c r="GU155" s="521"/>
      <c r="GV155" s="521"/>
      <c r="GW155" s="521"/>
      <c r="GX155" s="521"/>
      <c r="GY155" s="521"/>
      <c r="GZ155" s="521"/>
      <c r="HA155" s="521"/>
      <c r="HB155" s="521"/>
      <c r="HC155" s="521"/>
      <c r="HD155" s="521"/>
      <c r="HE155" s="521"/>
      <c r="HF155" s="521"/>
      <c r="HG155" s="521"/>
      <c r="HH155" s="521"/>
      <c r="HI155" s="521"/>
      <c r="HJ155" s="521"/>
      <c r="HK155" s="521"/>
      <c r="HL155" s="521"/>
      <c r="HM155" s="521"/>
      <c r="HN155" s="521"/>
      <c r="HO155" s="521"/>
      <c r="HP155" s="521"/>
      <c r="HQ155" s="521"/>
      <c r="HR155" s="521"/>
      <c r="HS155" s="521"/>
      <c r="HT155" s="521"/>
      <c r="HU155" s="521"/>
      <c r="HV155" s="521"/>
      <c r="HW155" s="521"/>
      <c r="HX155" s="521"/>
      <c r="HY155" s="521"/>
      <c r="HZ155" s="521"/>
      <c r="IA155" s="521"/>
      <c r="IB155" s="521"/>
      <c r="IC155" s="521"/>
      <c r="ID155" s="521"/>
      <c r="IE155" s="521"/>
      <c r="IF155" s="521"/>
      <c r="IG155" s="521"/>
      <c r="IH155" s="521"/>
      <c r="II155" s="521"/>
      <c r="IJ155" s="521"/>
      <c r="IK155" s="521"/>
      <c r="IL155" s="521"/>
      <c r="IM155" s="521"/>
      <c r="IN155" s="521"/>
      <c r="IO155" s="521"/>
      <c r="IP155" s="521"/>
      <c r="IQ155" s="521"/>
    </row>
    <row r="156" spans="1:251" ht="19.5" customHeight="1">
      <c r="A156" s="520">
        <v>147</v>
      </c>
      <c r="B156" s="533"/>
      <c r="C156" s="538"/>
      <c r="D156" s="478" t="s">
        <v>757</v>
      </c>
      <c r="E156" s="535"/>
      <c r="F156" s="536"/>
      <c r="G156" s="1293"/>
      <c r="H156" s="746"/>
      <c r="I156" s="721"/>
      <c r="J156" s="1351">
        <v>10</v>
      </c>
      <c r="K156" s="1351"/>
      <c r="L156" s="1447">
        <f>SUM(I156:K156)</f>
        <v>10</v>
      </c>
      <c r="M156" s="537"/>
      <c r="N156" s="521"/>
      <c r="O156" s="521"/>
      <c r="P156" s="521"/>
      <c r="Q156" s="521"/>
      <c r="R156" s="521"/>
      <c r="S156" s="521"/>
      <c r="T156" s="521"/>
      <c r="U156" s="521"/>
      <c r="V156" s="521"/>
      <c r="W156" s="521"/>
      <c r="X156" s="521"/>
      <c r="Y156" s="521"/>
      <c r="Z156" s="521"/>
      <c r="AA156" s="521"/>
      <c r="AB156" s="521"/>
      <c r="AC156" s="521"/>
      <c r="AD156" s="521"/>
      <c r="AE156" s="521"/>
      <c r="AF156" s="521"/>
      <c r="AG156" s="521"/>
      <c r="AH156" s="521"/>
      <c r="AI156" s="521"/>
      <c r="AJ156" s="521"/>
      <c r="AK156" s="521"/>
      <c r="AL156" s="521"/>
      <c r="AM156" s="521"/>
      <c r="AN156" s="521"/>
      <c r="AO156" s="521"/>
      <c r="AP156" s="521"/>
      <c r="AQ156" s="521"/>
      <c r="AR156" s="521"/>
      <c r="AS156" s="521"/>
      <c r="AT156" s="521"/>
      <c r="AU156" s="521"/>
      <c r="AV156" s="521"/>
      <c r="AW156" s="521"/>
      <c r="AX156" s="521"/>
      <c r="AY156" s="521"/>
      <c r="AZ156" s="521"/>
      <c r="BA156" s="521"/>
      <c r="BB156" s="521"/>
      <c r="BC156" s="521"/>
      <c r="BD156" s="521"/>
      <c r="BE156" s="521"/>
      <c r="BF156" s="521"/>
      <c r="BG156" s="521"/>
      <c r="BH156" s="521"/>
      <c r="BI156" s="521"/>
      <c r="BJ156" s="521"/>
      <c r="BK156" s="521"/>
      <c r="BL156" s="521"/>
      <c r="BM156" s="521"/>
      <c r="BN156" s="521"/>
      <c r="BO156" s="521"/>
      <c r="BP156" s="521"/>
      <c r="BQ156" s="521"/>
      <c r="BR156" s="521"/>
      <c r="BS156" s="521"/>
      <c r="BT156" s="521"/>
      <c r="BU156" s="521"/>
      <c r="BV156" s="521"/>
      <c r="BW156" s="521"/>
      <c r="BX156" s="521"/>
      <c r="BY156" s="521"/>
      <c r="BZ156" s="521"/>
      <c r="CA156" s="521"/>
      <c r="CB156" s="521"/>
      <c r="CC156" s="521"/>
      <c r="CD156" s="521"/>
      <c r="CE156" s="521"/>
      <c r="CF156" s="521"/>
      <c r="CG156" s="521"/>
      <c r="CH156" s="521"/>
      <c r="CI156" s="521"/>
      <c r="CJ156" s="521"/>
      <c r="CK156" s="521"/>
      <c r="CL156" s="521"/>
      <c r="CM156" s="521"/>
      <c r="CN156" s="521"/>
      <c r="CO156" s="521"/>
      <c r="CP156" s="521"/>
      <c r="CQ156" s="521"/>
      <c r="CR156" s="521"/>
      <c r="CS156" s="521"/>
      <c r="CT156" s="521"/>
      <c r="CU156" s="521"/>
      <c r="CV156" s="521"/>
      <c r="CW156" s="521"/>
      <c r="CX156" s="521"/>
      <c r="CY156" s="521"/>
      <c r="CZ156" s="521"/>
      <c r="DA156" s="521"/>
      <c r="DB156" s="521"/>
      <c r="DC156" s="521"/>
      <c r="DD156" s="521"/>
      <c r="DE156" s="521"/>
      <c r="DF156" s="521"/>
      <c r="DG156" s="521"/>
      <c r="DH156" s="521"/>
      <c r="DI156" s="521"/>
      <c r="DJ156" s="521"/>
      <c r="DK156" s="521"/>
      <c r="DL156" s="521"/>
      <c r="DM156" s="521"/>
      <c r="DN156" s="521"/>
      <c r="DO156" s="521"/>
      <c r="DP156" s="521"/>
      <c r="DQ156" s="521"/>
      <c r="DR156" s="521"/>
      <c r="DS156" s="521"/>
      <c r="DT156" s="521"/>
      <c r="DU156" s="521"/>
      <c r="DV156" s="521"/>
      <c r="DW156" s="521"/>
      <c r="DX156" s="521"/>
      <c r="DY156" s="521"/>
      <c r="DZ156" s="521"/>
      <c r="EA156" s="521"/>
      <c r="EB156" s="521"/>
      <c r="EC156" s="521"/>
      <c r="ED156" s="521"/>
      <c r="EE156" s="521"/>
      <c r="EF156" s="521"/>
      <c r="EG156" s="521"/>
      <c r="EH156" s="521"/>
      <c r="EI156" s="521"/>
      <c r="EJ156" s="521"/>
      <c r="EK156" s="521"/>
      <c r="EL156" s="521"/>
      <c r="EM156" s="521"/>
      <c r="EN156" s="521"/>
      <c r="EO156" s="521"/>
      <c r="EP156" s="521"/>
      <c r="EQ156" s="521"/>
      <c r="ER156" s="521"/>
      <c r="ES156" s="521"/>
      <c r="ET156" s="521"/>
      <c r="EU156" s="521"/>
      <c r="EV156" s="521"/>
      <c r="EW156" s="521"/>
      <c r="EX156" s="521"/>
      <c r="EY156" s="521"/>
      <c r="EZ156" s="521"/>
      <c r="FA156" s="521"/>
      <c r="FB156" s="521"/>
      <c r="FC156" s="521"/>
      <c r="FD156" s="521"/>
      <c r="FE156" s="521"/>
      <c r="FF156" s="521"/>
      <c r="FG156" s="521"/>
      <c r="FH156" s="521"/>
      <c r="FI156" s="521"/>
      <c r="FJ156" s="521"/>
      <c r="FK156" s="521"/>
      <c r="FL156" s="521"/>
      <c r="FM156" s="521"/>
      <c r="FN156" s="521"/>
      <c r="FO156" s="521"/>
      <c r="FP156" s="521"/>
      <c r="FQ156" s="521"/>
      <c r="FR156" s="521"/>
      <c r="FS156" s="521"/>
      <c r="FT156" s="521"/>
      <c r="FU156" s="521"/>
      <c r="FV156" s="521"/>
      <c r="FW156" s="521"/>
      <c r="FX156" s="521"/>
      <c r="FY156" s="521"/>
      <c r="FZ156" s="521"/>
      <c r="GA156" s="521"/>
      <c r="GB156" s="521"/>
      <c r="GC156" s="521"/>
      <c r="GD156" s="521"/>
      <c r="GE156" s="521"/>
      <c r="GF156" s="521"/>
      <c r="GG156" s="521"/>
      <c r="GH156" s="521"/>
      <c r="GI156" s="521"/>
      <c r="GJ156" s="521"/>
      <c r="GK156" s="521"/>
      <c r="GL156" s="521"/>
      <c r="GM156" s="521"/>
      <c r="GN156" s="521"/>
      <c r="GO156" s="521"/>
      <c r="GP156" s="521"/>
      <c r="GQ156" s="521"/>
      <c r="GR156" s="521"/>
      <c r="GS156" s="521"/>
      <c r="GT156" s="521"/>
      <c r="GU156" s="521"/>
      <c r="GV156" s="521"/>
      <c r="GW156" s="521"/>
      <c r="GX156" s="521"/>
      <c r="GY156" s="521"/>
      <c r="GZ156" s="521"/>
      <c r="HA156" s="521"/>
      <c r="HB156" s="521"/>
      <c r="HC156" s="521"/>
      <c r="HD156" s="521"/>
      <c r="HE156" s="521"/>
      <c r="HF156" s="521"/>
      <c r="HG156" s="521"/>
      <c r="HH156" s="521"/>
      <c r="HI156" s="521"/>
      <c r="HJ156" s="521"/>
      <c r="HK156" s="521"/>
      <c r="HL156" s="521"/>
      <c r="HM156" s="521"/>
      <c r="HN156" s="521"/>
      <c r="HO156" s="521"/>
      <c r="HP156" s="521"/>
      <c r="HQ156" s="521"/>
      <c r="HR156" s="521"/>
      <c r="HS156" s="521"/>
      <c r="HT156" s="521"/>
      <c r="HU156" s="521"/>
      <c r="HV156" s="521"/>
      <c r="HW156" s="521"/>
      <c r="HX156" s="521"/>
      <c r="HY156" s="521"/>
      <c r="HZ156" s="521"/>
      <c r="IA156" s="521"/>
      <c r="IB156" s="521"/>
      <c r="IC156" s="521"/>
      <c r="ID156" s="521"/>
      <c r="IE156" s="521"/>
      <c r="IF156" s="521"/>
      <c r="IG156" s="521"/>
      <c r="IH156" s="521"/>
      <c r="II156" s="521"/>
      <c r="IJ156" s="521"/>
      <c r="IK156" s="521"/>
      <c r="IL156" s="521"/>
      <c r="IM156" s="521"/>
      <c r="IN156" s="521"/>
      <c r="IO156" s="521"/>
      <c r="IP156" s="521"/>
      <c r="IQ156" s="521"/>
    </row>
    <row r="157" spans="1:251" ht="18" customHeight="1">
      <c r="A157" s="520">
        <v>148</v>
      </c>
      <c r="B157" s="533"/>
      <c r="C157" s="538"/>
      <c r="D157" s="1090" t="s">
        <v>893</v>
      </c>
      <c r="E157" s="535"/>
      <c r="F157" s="536"/>
      <c r="G157" s="1293"/>
      <c r="H157" s="746"/>
      <c r="I157" s="721"/>
      <c r="J157" s="1291">
        <v>10</v>
      </c>
      <c r="K157" s="1291"/>
      <c r="L157" s="1138">
        <f>SUM(I157:K157)</f>
        <v>10</v>
      </c>
      <c r="M157" s="537"/>
      <c r="N157" s="521"/>
      <c r="O157" s="521"/>
      <c r="P157" s="521"/>
      <c r="Q157" s="521"/>
      <c r="R157" s="521"/>
      <c r="S157" s="521"/>
      <c r="T157" s="521"/>
      <c r="U157" s="521"/>
      <c r="V157" s="521"/>
      <c r="W157" s="521"/>
      <c r="X157" s="521"/>
      <c r="Y157" s="521"/>
      <c r="Z157" s="521"/>
      <c r="AA157" s="521"/>
      <c r="AB157" s="521"/>
      <c r="AC157" s="521"/>
      <c r="AD157" s="521"/>
      <c r="AE157" s="521"/>
      <c r="AF157" s="521"/>
      <c r="AG157" s="521"/>
      <c r="AH157" s="521"/>
      <c r="AI157" s="521"/>
      <c r="AJ157" s="521"/>
      <c r="AK157" s="521"/>
      <c r="AL157" s="521"/>
      <c r="AM157" s="521"/>
      <c r="AN157" s="521"/>
      <c r="AO157" s="521"/>
      <c r="AP157" s="521"/>
      <c r="AQ157" s="521"/>
      <c r="AR157" s="521"/>
      <c r="AS157" s="521"/>
      <c r="AT157" s="521"/>
      <c r="AU157" s="521"/>
      <c r="AV157" s="521"/>
      <c r="AW157" s="521"/>
      <c r="AX157" s="521"/>
      <c r="AY157" s="521"/>
      <c r="AZ157" s="521"/>
      <c r="BA157" s="521"/>
      <c r="BB157" s="521"/>
      <c r="BC157" s="521"/>
      <c r="BD157" s="521"/>
      <c r="BE157" s="521"/>
      <c r="BF157" s="521"/>
      <c r="BG157" s="521"/>
      <c r="BH157" s="521"/>
      <c r="BI157" s="521"/>
      <c r="BJ157" s="521"/>
      <c r="BK157" s="521"/>
      <c r="BL157" s="521"/>
      <c r="BM157" s="521"/>
      <c r="BN157" s="521"/>
      <c r="BO157" s="521"/>
      <c r="BP157" s="521"/>
      <c r="BQ157" s="521"/>
      <c r="BR157" s="521"/>
      <c r="BS157" s="521"/>
      <c r="BT157" s="521"/>
      <c r="BU157" s="521"/>
      <c r="BV157" s="521"/>
      <c r="BW157" s="521"/>
      <c r="BX157" s="521"/>
      <c r="BY157" s="521"/>
      <c r="BZ157" s="521"/>
      <c r="CA157" s="521"/>
      <c r="CB157" s="521"/>
      <c r="CC157" s="521"/>
      <c r="CD157" s="521"/>
      <c r="CE157" s="521"/>
      <c r="CF157" s="521"/>
      <c r="CG157" s="521"/>
      <c r="CH157" s="521"/>
      <c r="CI157" s="521"/>
      <c r="CJ157" s="521"/>
      <c r="CK157" s="521"/>
      <c r="CL157" s="521"/>
      <c r="CM157" s="521"/>
      <c r="CN157" s="521"/>
      <c r="CO157" s="521"/>
      <c r="CP157" s="521"/>
      <c r="CQ157" s="521"/>
      <c r="CR157" s="521"/>
      <c r="CS157" s="521"/>
      <c r="CT157" s="521"/>
      <c r="CU157" s="521"/>
      <c r="CV157" s="521"/>
      <c r="CW157" s="521"/>
      <c r="CX157" s="521"/>
      <c r="CY157" s="521"/>
      <c r="CZ157" s="521"/>
      <c r="DA157" s="521"/>
      <c r="DB157" s="521"/>
      <c r="DC157" s="521"/>
      <c r="DD157" s="521"/>
      <c r="DE157" s="521"/>
      <c r="DF157" s="521"/>
      <c r="DG157" s="521"/>
      <c r="DH157" s="521"/>
      <c r="DI157" s="521"/>
      <c r="DJ157" s="521"/>
      <c r="DK157" s="521"/>
      <c r="DL157" s="521"/>
      <c r="DM157" s="521"/>
      <c r="DN157" s="521"/>
      <c r="DO157" s="521"/>
      <c r="DP157" s="521"/>
      <c r="DQ157" s="521"/>
      <c r="DR157" s="521"/>
      <c r="DS157" s="521"/>
      <c r="DT157" s="521"/>
      <c r="DU157" s="521"/>
      <c r="DV157" s="521"/>
      <c r="DW157" s="521"/>
      <c r="DX157" s="521"/>
      <c r="DY157" s="521"/>
      <c r="DZ157" s="521"/>
      <c r="EA157" s="521"/>
      <c r="EB157" s="521"/>
      <c r="EC157" s="521"/>
      <c r="ED157" s="521"/>
      <c r="EE157" s="521"/>
      <c r="EF157" s="521"/>
      <c r="EG157" s="521"/>
      <c r="EH157" s="521"/>
      <c r="EI157" s="521"/>
      <c r="EJ157" s="521"/>
      <c r="EK157" s="521"/>
      <c r="EL157" s="521"/>
      <c r="EM157" s="521"/>
      <c r="EN157" s="521"/>
      <c r="EO157" s="521"/>
      <c r="EP157" s="521"/>
      <c r="EQ157" s="521"/>
      <c r="ER157" s="521"/>
      <c r="ES157" s="521"/>
      <c r="ET157" s="521"/>
      <c r="EU157" s="521"/>
      <c r="EV157" s="521"/>
      <c r="EW157" s="521"/>
      <c r="EX157" s="521"/>
      <c r="EY157" s="521"/>
      <c r="EZ157" s="521"/>
      <c r="FA157" s="521"/>
      <c r="FB157" s="521"/>
      <c r="FC157" s="521"/>
      <c r="FD157" s="521"/>
      <c r="FE157" s="521"/>
      <c r="FF157" s="521"/>
      <c r="FG157" s="521"/>
      <c r="FH157" s="521"/>
      <c r="FI157" s="521"/>
      <c r="FJ157" s="521"/>
      <c r="FK157" s="521"/>
      <c r="FL157" s="521"/>
      <c r="FM157" s="521"/>
      <c r="FN157" s="521"/>
      <c r="FO157" s="521"/>
      <c r="FP157" s="521"/>
      <c r="FQ157" s="521"/>
      <c r="FR157" s="521"/>
      <c r="FS157" s="521"/>
      <c r="FT157" s="521"/>
      <c r="FU157" s="521"/>
      <c r="FV157" s="521"/>
      <c r="FW157" s="521"/>
      <c r="FX157" s="521"/>
      <c r="FY157" s="521"/>
      <c r="FZ157" s="521"/>
      <c r="GA157" s="521"/>
      <c r="GB157" s="521"/>
      <c r="GC157" s="521"/>
      <c r="GD157" s="521"/>
      <c r="GE157" s="521"/>
      <c r="GF157" s="521"/>
      <c r="GG157" s="521"/>
      <c r="GH157" s="521"/>
      <c r="GI157" s="521"/>
      <c r="GJ157" s="521"/>
      <c r="GK157" s="521"/>
      <c r="GL157" s="521"/>
      <c r="GM157" s="521"/>
      <c r="GN157" s="521"/>
      <c r="GO157" s="521"/>
      <c r="GP157" s="521"/>
      <c r="GQ157" s="521"/>
      <c r="GR157" s="521"/>
      <c r="GS157" s="521"/>
      <c r="GT157" s="521"/>
      <c r="GU157" s="521"/>
      <c r="GV157" s="521"/>
      <c r="GW157" s="521"/>
      <c r="GX157" s="521"/>
      <c r="GY157" s="521"/>
      <c r="GZ157" s="521"/>
      <c r="HA157" s="521"/>
      <c r="HB157" s="521"/>
      <c r="HC157" s="521"/>
      <c r="HD157" s="521"/>
      <c r="HE157" s="521"/>
      <c r="HF157" s="521"/>
      <c r="HG157" s="521"/>
      <c r="HH157" s="521"/>
      <c r="HI157" s="521"/>
      <c r="HJ157" s="521"/>
      <c r="HK157" s="521"/>
      <c r="HL157" s="521"/>
      <c r="HM157" s="521"/>
      <c r="HN157" s="521"/>
      <c r="HO157" s="521"/>
      <c r="HP157" s="521"/>
      <c r="HQ157" s="521"/>
      <c r="HR157" s="521"/>
      <c r="HS157" s="521"/>
      <c r="HT157" s="521"/>
      <c r="HU157" s="521"/>
      <c r="HV157" s="521"/>
      <c r="HW157" s="521"/>
      <c r="HX157" s="521"/>
      <c r="HY157" s="521"/>
      <c r="HZ157" s="521"/>
      <c r="IA157" s="521"/>
      <c r="IB157" s="521"/>
      <c r="IC157" s="521"/>
      <c r="ID157" s="521"/>
      <c r="IE157" s="521"/>
      <c r="IF157" s="521"/>
      <c r="IG157" s="521"/>
      <c r="IH157" s="521"/>
      <c r="II157" s="521"/>
      <c r="IJ157" s="521"/>
      <c r="IK157" s="521"/>
      <c r="IL157" s="521"/>
      <c r="IM157" s="521"/>
      <c r="IN157" s="521"/>
      <c r="IO157" s="521"/>
      <c r="IP157" s="521"/>
      <c r="IQ157" s="521"/>
    </row>
    <row r="158" spans="1:251" ht="29.25" customHeight="1">
      <c r="A158" s="520">
        <v>149</v>
      </c>
      <c r="B158" s="533"/>
      <c r="C158" s="538">
        <v>38</v>
      </c>
      <c r="D158" s="997" t="s">
        <v>664</v>
      </c>
      <c r="E158" s="535">
        <f>F158+G158+L160+M159</f>
        <v>140048</v>
      </c>
      <c r="F158" s="536"/>
      <c r="G158" s="1293"/>
      <c r="H158" s="746" t="s">
        <v>23</v>
      </c>
      <c r="I158" s="721"/>
      <c r="J158" s="535"/>
      <c r="K158" s="535"/>
      <c r="L158" s="546"/>
      <c r="M158" s="537"/>
      <c r="N158" s="521"/>
      <c r="O158" s="521"/>
      <c r="P158" s="521"/>
      <c r="Q158" s="521"/>
      <c r="R158" s="521"/>
      <c r="S158" s="521"/>
      <c r="T158" s="521"/>
      <c r="U158" s="521"/>
      <c r="V158" s="521"/>
      <c r="W158" s="521"/>
      <c r="X158" s="521"/>
      <c r="Y158" s="521"/>
      <c r="Z158" s="521"/>
      <c r="AA158" s="521"/>
      <c r="AB158" s="521"/>
      <c r="AC158" s="521"/>
      <c r="AD158" s="521"/>
      <c r="AE158" s="521"/>
      <c r="AF158" s="521"/>
      <c r="AG158" s="521"/>
      <c r="AH158" s="521"/>
      <c r="AI158" s="521"/>
      <c r="AJ158" s="521"/>
      <c r="AK158" s="521"/>
      <c r="AL158" s="521"/>
      <c r="AM158" s="521"/>
      <c r="AN158" s="521"/>
      <c r="AO158" s="521"/>
      <c r="AP158" s="521"/>
      <c r="AQ158" s="521"/>
      <c r="AR158" s="521"/>
      <c r="AS158" s="521"/>
      <c r="AT158" s="521"/>
      <c r="AU158" s="521"/>
      <c r="AV158" s="521"/>
      <c r="AW158" s="521"/>
      <c r="AX158" s="521"/>
      <c r="AY158" s="521"/>
      <c r="AZ158" s="521"/>
      <c r="BA158" s="521"/>
      <c r="BB158" s="521"/>
      <c r="BC158" s="521"/>
      <c r="BD158" s="521"/>
      <c r="BE158" s="521"/>
      <c r="BF158" s="521"/>
      <c r="BG158" s="521"/>
      <c r="BH158" s="521"/>
      <c r="BI158" s="521"/>
      <c r="BJ158" s="521"/>
      <c r="BK158" s="521"/>
      <c r="BL158" s="521"/>
      <c r="BM158" s="521"/>
      <c r="BN158" s="521"/>
      <c r="BO158" s="521"/>
      <c r="BP158" s="521"/>
      <c r="BQ158" s="521"/>
      <c r="BR158" s="521"/>
      <c r="BS158" s="521"/>
      <c r="BT158" s="521"/>
      <c r="BU158" s="521"/>
      <c r="BV158" s="521"/>
      <c r="BW158" s="521"/>
      <c r="BX158" s="521"/>
      <c r="BY158" s="521"/>
      <c r="BZ158" s="521"/>
      <c r="CA158" s="521"/>
      <c r="CB158" s="521"/>
      <c r="CC158" s="521"/>
      <c r="CD158" s="521"/>
      <c r="CE158" s="521"/>
      <c r="CF158" s="521"/>
      <c r="CG158" s="521"/>
      <c r="CH158" s="521"/>
      <c r="CI158" s="521"/>
      <c r="CJ158" s="521"/>
      <c r="CK158" s="521"/>
      <c r="CL158" s="521"/>
      <c r="CM158" s="521"/>
      <c r="CN158" s="521"/>
      <c r="CO158" s="521"/>
      <c r="CP158" s="521"/>
      <c r="CQ158" s="521"/>
      <c r="CR158" s="521"/>
      <c r="CS158" s="521"/>
      <c r="CT158" s="521"/>
      <c r="CU158" s="521"/>
      <c r="CV158" s="521"/>
      <c r="CW158" s="521"/>
      <c r="CX158" s="521"/>
      <c r="CY158" s="521"/>
      <c r="CZ158" s="521"/>
      <c r="DA158" s="521"/>
      <c r="DB158" s="521"/>
      <c r="DC158" s="521"/>
      <c r="DD158" s="521"/>
      <c r="DE158" s="521"/>
      <c r="DF158" s="521"/>
      <c r="DG158" s="521"/>
      <c r="DH158" s="521"/>
      <c r="DI158" s="521"/>
      <c r="DJ158" s="521"/>
      <c r="DK158" s="521"/>
      <c r="DL158" s="521"/>
      <c r="DM158" s="521"/>
      <c r="DN158" s="521"/>
      <c r="DO158" s="521"/>
      <c r="DP158" s="521"/>
      <c r="DQ158" s="521"/>
      <c r="DR158" s="521"/>
      <c r="DS158" s="521"/>
      <c r="DT158" s="521"/>
      <c r="DU158" s="521"/>
      <c r="DV158" s="521"/>
      <c r="DW158" s="521"/>
      <c r="DX158" s="521"/>
      <c r="DY158" s="521"/>
      <c r="DZ158" s="521"/>
      <c r="EA158" s="521"/>
      <c r="EB158" s="521"/>
      <c r="EC158" s="521"/>
      <c r="ED158" s="521"/>
      <c r="EE158" s="521"/>
      <c r="EF158" s="521"/>
      <c r="EG158" s="521"/>
      <c r="EH158" s="521"/>
      <c r="EI158" s="521"/>
      <c r="EJ158" s="521"/>
      <c r="EK158" s="521"/>
      <c r="EL158" s="521"/>
      <c r="EM158" s="521"/>
      <c r="EN158" s="521"/>
      <c r="EO158" s="521"/>
      <c r="EP158" s="521"/>
      <c r="EQ158" s="521"/>
      <c r="ER158" s="521"/>
      <c r="ES158" s="521"/>
      <c r="ET158" s="521"/>
      <c r="EU158" s="521"/>
      <c r="EV158" s="521"/>
      <c r="EW158" s="521"/>
      <c r="EX158" s="521"/>
      <c r="EY158" s="521"/>
      <c r="EZ158" s="521"/>
      <c r="FA158" s="521"/>
      <c r="FB158" s="521"/>
      <c r="FC158" s="521"/>
      <c r="FD158" s="521"/>
      <c r="FE158" s="521"/>
      <c r="FF158" s="521"/>
      <c r="FG158" s="521"/>
      <c r="FH158" s="521"/>
      <c r="FI158" s="521"/>
      <c r="FJ158" s="521"/>
      <c r="FK158" s="521"/>
      <c r="FL158" s="521"/>
      <c r="FM158" s="521"/>
      <c r="FN158" s="521"/>
      <c r="FO158" s="521"/>
      <c r="FP158" s="521"/>
      <c r="FQ158" s="521"/>
      <c r="FR158" s="521"/>
      <c r="FS158" s="521"/>
      <c r="FT158" s="521"/>
      <c r="FU158" s="521"/>
      <c r="FV158" s="521"/>
      <c r="FW158" s="521"/>
      <c r="FX158" s="521"/>
      <c r="FY158" s="521"/>
      <c r="FZ158" s="521"/>
      <c r="GA158" s="521"/>
      <c r="GB158" s="521"/>
      <c r="GC158" s="521"/>
      <c r="GD158" s="521"/>
      <c r="GE158" s="521"/>
      <c r="GF158" s="521"/>
      <c r="GG158" s="521"/>
      <c r="GH158" s="521"/>
      <c r="GI158" s="521"/>
      <c r="GJ158" s="521"/>
      <c r="GK158" s="521"/>
      <c r="GL158" s="521"/>
      <c r="GM158" s="521"/>
      <c r="GN158" s="521"/>
      <c r="GO158" s="521"/>
      <c r="GP158" s="521"/>
      <c r="GQ158" s="521"/>
      <c r="GR158" s="521"/>
      <c r="GS158" s="521"/>
      <c r="GT158" s="521"/>
      <c r="GU158" s="521"/>
      <c r="GV158" s="521"/>
      <c r="GW158" s="521"/>
      <c r="GX158" s="521"/>
      <c r="GY158" s="521"/>
      <c r="GZ158" s="521"/>
      <c r="HA158" s="521"/>
      <c r="HB158" s="521"/>
      <c r="HC158" s="521"/>
      <c r="HD158" s="521"/>
      <c r="HE158" s="521"/>
      <c r="HF158" s="521"/>
      <c r="HG158" s="521"/>
      <c r="HH158" s="521"/>
      <c r="HI158" s="521"/>
      <c r="HJ158" s="521"/>
      <c r="HK158" s="521"/>
      <c r="HL158" s="521"/>
      <c r="HM158" s="521"/>
      <c r="HN158" s="521"/>
      <c r="HO158" s="521"/>
      <c r="HP158" s="521"/>
      <c r="HQ158" s="521"/>
      <c r="HR158" s="521"/>
      <c r="HS158" s="521"/>
      <c r="HT158" s="521"/>
      <c r="HU158" s="521"/>
      <c r="HV158" s="521"/>
      <c r="HW158" s="521"/>
      <c r="HX158" s="521"/>
      <c r="HY158" s="521"/>
      <c r="HZ158" s="521"/>
      <c r="IA158" s="521"/>
      <c r="IB158" s="521"/>
      <c r="IC158" s="521"/>
      <c r="ID158" s="521"/>
      <c r="IE158" s="521"/>
      <c r="IF158" s="521"/>
      <c r="IG158" s="521"/>
      <c r="IH158" s="521"/>
      <c r="II158" s="521"/>
      <c r="IJ158" s="521"/>
      <c r="IK158" s="521"/>
      <c r="IL158" s="521"/>
      <c r="IM158" s="521"/>
      <c r="IN158" s="521"/>
      <c r="IO158" s="521"/>
      <c r="IP158" s="521"/>
      <c r="IQ158" s="521"/>
    </row>
    <row r="159" spans="1:251" ht="18" customHeight="1">
      <c r="A159" s="520">
        <v>150</v>
      </c>
      <c r="B159" s="533"/>
      <c r="C159" s="538"/>
      <c r="D159" s="589" t="s">
        <v>283</v>
      </c>
      <c r="E159" s="535"/>
      <c r="F159" s="536"/>
      <c r="G159" s="1293"/>
      <c r="H159" s="746"/>
      <c r="I159" s="721"/>
      <c r="J159" s="1258">
        <v>140048</v>
      </c>
      <c r="K159" s="1258"/>
      <c r="L159" s="1259">
        <f>SUM(I159:K159)</f>
        <v>140048</v>
      </c>
      <c r="M159" s="537"/>
      <c r="N159" s="521"/>
      <c r="O159" s="521"/>
      <c r="P159" s="521"/>
      <c r="Q159" s="521"/>
      <c r="R159" s="521"/>
      <c r="S159" s="521"/>
      <c r="T159" s="521"/>
      <c r="U159" s="521"/>
      <c r="V159" s="521"/>
      <c r="W159" s="521"/>
      <c r="X159" s="521"/>
      <c r="Y159" s="521"/>
      <c r="Z159" s="521"/>
      <c r="AA159" s="521"/>
      <c r="AB159" s="521"/>
      <c r="AC159" s="521"/>
      <c r="AD159" s="521"/>
      <c r="AE159" s="521"/>
      <c r="AF159" s="521"/>
      <c r="AG159" s="521"/>
      <c r="AH159" s="521"/>
      <c r="AI159" s="521"/>
      <c r="AJ159" s="521"/>
      <c r="AK159" s="521"/>
      <c r="AL159" s="521"/>
      <c r="AM159" s="521"/>
      <c r="AN159" s="521"/>
      <c r="AO159" s="521"/>
      <c r="AP159" s="521"/>
      <c r="AQ159" s="521"/>
      <c r="AR159" s="521"/>
      <c r="AS159" s="521"/>
      <c r="AT159" s="521"/>
      <c r="AU159" s="521"/>
      <c r="AV159" s="521"/>
      <c r="AW159" s="521"/>
      <c r="AX159" s="521"/>
      <c r="AY159" s="521"/>
      <c r="AZ159" s="521"/>
      <c r="BA159" s="521"/>
      <c r="BB159" s="521"/>
      <c r="BC159" s="521"/>
      <c r="BD159" s="521"/>
      <c r="BE159" s="521"/>
      <c r="BF159" s="521"/>
      <c r="BG159" s="521"/>
      <c r="BH159" s="521"/>
      <c r="BI159" s="521"/>
      <c r="BJ159" s="521"/>
      <c r="BK159" s="521"/>
      <c r="BL159" s="521"/>
      <c r="BM159" s="521"/>
      <c r="BN159" s="521"/>
      <c r="BO159" s="521"/>
      <c r="BP159" s="521"/>
      <c r="BQ159" s="521"/>
      <c r="BR159" s="521"/>
      <c r="BS159" s="521"/>
      <c r="BT159" s="521"/>
      <c r="BU159" s="521"/>
      <c r="BV159" s="521"/>
      <c r="BW159" s="521"/>
      <c r="BX159" s="521"/>
      <c r="BY159" s="521"/>
      <c r="BZ159" s="521"/>
      <c r="CA159" s="521"/>
      <c r="CB159" s="521"/>
      <c r="CC159" s="521"/>
      <c r="CD159" s="521"/>
      <c r="CE159" s="521"/>
      <c r="CF159" s="521"/>
      <c r="CG159" s="521"/>
      <c r="CH159" s="521"/>
      <c r="CI159" s="521"/>
      <c r="CJ159" s="521"/>
      <c r="CK159" s="521"/>
      <c r="CL159" s="521"/>
      <c r="CM159" s="521"/>
      <c r="CN159" s="521"/>
      <c r="CO159" s="521"/>
      <c r="CP159" s="521"/>
      <c r="CQ159" s="521"/>
      <c r="CR159" s="521"/>
      <c r="CS159" s="521"/>
      <c r="CT159" s="521"/>
      <c r="CU159" s="521"/>
      <c r="CV159" s="521"/>
      <c r="CW159" s="521"/>
      <c r="CX159" s="521"/>
      <c r="CY159" s="521"/>
      <c r="CZ159" s="521"/>
      <c r="DA159" s="521"/>
      <c r="DB159" s="521"/>
      <c r="DC159" s="521"/>
      <c r="DD159" s="521"/>
      <c r="DE159" s="521"/>
      <c r="DF159" s="521"/>
      <c r="DG159" s="521"/>
      <c r="DH159" s="521"/>
      <c r="DI159" s="521"/>
      <c r="DJ159" s="521"/>
      <c r="DK159" s="521"/>
      <c r="DL159" s="521"/>
      <c r="DM159" s="521"/>
      <c r="DN159" s="521"/>
      <c r="DO159" s="521"/>
      <c r="DP159" s="521"/>
      <c r="DQ159" s="521"/>
      <c r="DR159" s="521"/>
      <c r="DS159" s="521"/>
      <c r="DT159" s="521"/>
      <c r="DU159" s="521"/>
      <c r="DV159" s="521"/>
      <c r="DW159" s="521"/>
      <c r="DX159" s="521"/>
      <c r="DY159" s="521"/>
      <c r="DZ159" s="521"/>
      <c r="EA159" s="521"/>
      <c r="EB159" s="521"/>
      <c r="EC159" s="521"/>
      <c r="ED159" s="521"/>
      <c r="EE159" s="521"/>
      <c r="EF159" s="521"/>
      <c r="EG159" s="521"/>
      <c r="EH159" s="521"/>
      <c r="EI159" s="521"/>
      <c r="EJ159" s="521"/>
      <c r="EK159" s="521"/>
      <c r="EL159" s="521"/>
      <c r="EM159" s="521"/>
      <c r="EN159" s="521"/>
      <c r="EO159" s="521"/>
      <c r="EP159" s="521"/>
      <c r="EQ159" s="521"/>
      <c r="ER159" s="521"/>
      <c r="ES159" s="521"/>
      <c r="ET159" s="521"/>
      <c r="EU159" s="521"/>
      <c r="EV159" s="521"/>
      <c r="EW159" s="521"/>
      <c r="EX159" s="521"/>
      <c r="EY159" s="521"/>
      <c r="EZ159" s="521"/>
      <c r="FA159" s="521"/>
      <c r="FB159" s="521"/>
      <c r="FC159" s="521"/>
      <c r="FD159" s="521"/>
      <c r="FE159" s="521"/>
      <c r="FF159" s="521"/>
      <c r="FG159" s="521"/>
      <c r="FH159" s="521"/>
      <c r="FI159" s="521"/>
      <c r="FJ159" s="521"/>
      <c r="FK159" s="521"/>
      <c r="FL159" s="521"/>
      <c r="FM159" s="521"/>
      <c r="FN159" s="521"/>
      <c r="FO159" s="521"/>
      <c r="FP159" s="521"/>
      <c r="FQ159" s="521"/>
      <c r="FR159" s="521"/>
      <c r="FS159" s="521"/>
      <c r="FT159" s="521"/>
      <c r="FU159" s="521"/>
      <c r="FV159" s="521"/>
      <c r="FW159" s="521"/>
      <c r="FX159" s="521"/>
      <c r="FY159" s="521"/>
      <c r="FZ159" s="521"/>
      <c r="GA159" s="521"/>
      <c r="GB159" s="521"/>
      <c r="GC159" s="521"/>
      <c r="GD159" s="521"/>
      <c r="GE159" s="521"/>
      <c r="GF159" s="521"/>
      <c r="GG159" s="521"/>
      <c r="GH159" s="521"/>
      <c r="GI159" s="521"/>
      <c r="GJ159" s="521"/>
      <c r="GK159" s="521"/>
      <c r="GL159" s="521"/>
      <c r="GM159" s="521"/>
      <c r="GN159" s="521"/>
      <c r="GO159" s="521"/>
      <c r="GP159" s="521"/>
      <c r="GQ159" s="521"/>
      <c r="GR159" s="521"/>
      <c r="GS159" s="521"/>
      <c r="GT159" s="521"/>
      <c r="GU159" s="521"/>
      <c r="GV159" s="521"/>
      <c r="GW159" s="521"/>
      <c r="GX159" s="521"/>
      <c r="GY159" s="521"/>
      <c r="GZ159" s="521"/>
      <c r="HA159" s="521"/>
      <c r="HB159" s="521"/>
      <c r="HC159" s="521"/>
      <c r="HD159" s="521"/>
      <c r="HE159" s="521"/>
      <c r="HF159" s="521"/>
      <c r="HG159" s="521"/>
      <c r="HH159" s="521"/>
      <c r="HI159" s="521"/>
      <c r="HJ159" s="521"/>
      <c r="HK159" s="521"/>
      <c r="HL159" s="521"/>
      <c r="HM159" s="521"/>
      <c r="HN159" s="521"/>
      <c r="HO159" s="521"/>
      <c r="HP159" s="521"/>
      <c r="HQ159" s="521"/>
      <c r="HR159" s="521"/>
      <c r="HS159" s="521"/>
      <c r="HT159" s="521"/>
      <c r="HU159" s="521"/>
      <c r="HV159" s="521"/>
      <c r="HW159" s="521"/>
      <c r="HX159" s="521"/>
      <c r="HY159" s="521"/>
      <c r="HZ159" s="521"/>
      <c r="IA159" s="521"/>
      <c r="IB159" s="521"/>
      <c r="IC159" s="521"/>
      <c r="ID159" s="521"/>
      <c r="IE159" s="521"/>
      <c r="IF159" s="521"/>
      <c r="IG159" s="521"/>
      <c r="IH159" s="521"/>
      <c r="II159" s="521"/>
      <c r="IJ159" s="521"/>
      <c r="IK159" s="521"/>
      <c r="IL159" s="521"/>
      <c r="IM159" s="521"/>
      <c r="IN159" s="521"/>
      <c r="IO159" s="521"/>
      <c r="IP159" s="521"/>
      <c r="IQ159" s="521"/>
    </row>
    <row r="160" spans="1:251" ht="18" customHeight="1">
      <c r="A160" s="520">
        <v>151</v>
      </c>
      <c r="B160" s="533"/>
      <c r="C160" s="538"/>
      <c r="D160" s="478" t="s">
        <v>757</v>
      </c>
      <c r="E160" s="535"/>
      <c r="F160" s="536"/>
      <c r="G160" s="1293"/>
      <c r="H160" s="746"/>
      <c r="I160" s="721"/>
      <c r="J160" s="1351">
        <v>140048</v>
      </c>
      <c r="K160" s="1351"/>
      <c r="L160" s="1447">
        <f>SUM(I160:K160)</f>
        <v>140048</v>
      </c>
      <c r="M160" s="537"/>
      <c r="N160" s="521"/>
      <c r="O160" s="521"/>
      <c r="P160" s="521"/>
      <c r="Q160" s="521"/>
      <c r="R160" s="521"/>
      <c r="S160" s="521"/>
      <c r="T160" s="521"/>
      <c r="U160" s="521"/>
      <c r="V160" s="521"/>
      <c r="W160" s="521"/>
      <c r="X160" s="521"/>
      <c r="Y160" s="521"/>
      <c r="Z160" s="521"/>
      <c r="AA160" s="521"/>
      <c r="AB160" s="521"/>
      <c r="AC160" s="521"/>
      <c r="AD160" s="521"/>
      <c r="AE160" s="521"/>
      <c r="AF160" s="521"/>
      <c r="AG160" s="521"/>
      <c r="AH160" s="521"/>
      <c r="AI160" s="521"/>
      <c r="AJ160" s="521"/>
      <c r="AK160" s="521"/>
      <c r="AL160" s="521"/>
      <c r="AM160" s="521"/>
      <c r="AN160" s="521"/>
      <c r="AO160" s="521"/>
      <c r="AP160" s="521"/>
      <c r="AQ160" s="521"/>
      <c r="AR160" s="521"/>
      <c r="AS160" s="521"/>
      <c r="AT160" s="521"/>
      <c r="AU160" s="521"/>
      <c r="AV160" s="521"/>
      <c r="AW160" s="521"/>
      <c r="AX160" s="521"/>
      <c r="AY160" s="521"/>
      <c r="AZ160" s="521"/>
      <c r="BA160" s="521"/>
      <c r="BB160" s="521"/>
      <c r="BC160" s="521"/>
      <c r="BD160" s="521"/>
      <c r="BE160" s="521"/>
      <c r="BF160" s="521"/>
      <c r="BG160" s="521"/>
      <c r="BH160" s="521"/>
      <c r="BI160" s="521"/>
      <c r="BJ160" s="521"/>
      <c r="BK160" s="521"/>
      <c r="BL160" s="521"/>
      <c r="BM160" s="521"/>
      <c r="BN160" s="521"/>
      <c r="BO160" s="521"/>
      <c r="BP160" s="521"/>
      <c r="BQ160" s="521"/>
      <c r="BR160" s="521"/>
      <c r="BS160" s="521"/>
      <c r="BT160" s="521"/>
      <c r="BU160" s="521"/>
      <c r="BV160" s="521"/>
      <c r="BW160" s="521"/>
      <c r="BX160" s="521"/>
      <c r="BY160" s="521"/>
      <c r="BZ160" s="521"/>
      <c r="CA160" s="521"/>
      <c r="CB160" s="521"/>
      <c r="CC160" s="521"/>
      <c r="CD160" s="521"/>
      <c r="CE160" s="521"/>
      <c r="CF160" s="521"/>
      <c r="CG160" s="521"/>
      <c r="CH160" s="521"/>
      <c r="CI160" s="521"/>
      <c r="CJ160" s="521"/>
      <c r="CK160" s="521"/>
      <c r="CL160" s="521"/>
      <c r="CM160" s="521"/>
      <c r="CN160" s="521"/>
      <c r="CO160" s="521"/>
      <c r="CP160" s="521"/>
      <c r="CQ160" s="521"/>
      <c r="CR160" s="521"/>
      <c r="CS160" s="521"/>
      <c r="CT160" s="521"/>
      <c r="CU160" s="521"/>
      <c r="CV160" s="521"/>
      <c r="CW160" s="521"/>
      <c r="CX160" s="521"/>
      <c r="CY160" s="521"/>
      <c r="CZ160" s="521"/>
      <c r="DA160" s="521"/>
      <c r="DB160" s="521"/>
      <c r="DC160" s="521"/>
      <c r="DD160" s="521"/>
      <c r="DE160" s="521"/>
      <c r="DF160" s="521"/>
      <c r="DG160" s="521"/>
      <c r="DH160" s="521"/>
      <c r="DI160" s="521"/>
      <c r="DJ160" s="521"/>
      <c r="DK160" s="521"/>
      <c r="DL160" s="521"/>
      <c r="DM160" s="521"/>
      <c r="DN160" s="521"/>
      <c r="DO160" s="521"/>
      <c r="DP160" s="521"/>
      <c r="DQ160" s="521"/>
      <c r="DR160" s="521"/>
      <c r="DS160" s="521"/>
      <c r="DT160" s="521"/>
      <c r="DU160" s="521"/>
      <c r="DV160" s="521"/>
      <c r="DW160" s="521"/>
      <c r="DX160" s="521"/>
      <c r="DY160" s="521"/>
      <c r="DZ160" s="521"/>
      <c r="EA160" s="521"/>
      <c r="EB160" s="521"/>
      <c r="EC160" s="521"/>
      <c r="ED160" s="521"/>
      <c r="EE160" s="521"/>
      <c r="EF160" s="521"/>
      <c r="EG160" s="521"/>
      <c r="EH160" s="521"/>
      <c r="EI160" s="521"/>
      <c r="EJ160" s="521"/>
      <c r="EK160" s="521"/>
      <c r="EL160" s="521"/>
      <c r="EM160" s="521"/>
      <c r="EN160" s="521"/>
      <c r="EO160" s="521"/>
      <c r="EP160" s="521"/>
      <c r="EQ160" s="521"/>
      <c r="ER160" s="521"/>
      <c r="ES160" s="521"/>
      <c r="ET160" s="521"/>
      <c r="EU160" s="521"/>
      <c r="EV160" s="521"/>
      <c r="EW160" s="521"/>
      <c r="EX160" s="521"/>
      <c r="EY160" s="521"/>
      <c r="EZ160" s="521"/>
      <c r="FA160" s="521"/>
      <c r="FB160" s="521"/>
      <c r="FC160" s="521"/>
      <c r="FD160" s="521"/>
      <c r="FE160" s="521"/>
      <c r="FF160" s="521"/>
      <c r="FG160" s="521"/>
      <c r="FH160" s="521"/>
      <c r="FI160" s="521"/>
      <c r="FJ160" s="521"/>
      <c r="FK160" s="521"/>
      <c r="FL160" s="521"/>
      <c r="FM160" s="521"/>
      <c r="FN160" s="521"/>
      <c r="FO160" s="521"/>
      <c r="FP160" s="521"/>
      <c r="FQ160" s="521"/>
      <c r="FR160" s="521"/>
      <c r="FS160" s="521"/>
      <c r="FT160" s="521"/>
      <c r="FU160" s="521"/>
      <c r="FV160" s="521"/>
      <c r="FW160" s="521"/>
      <c r="FX160" s="521"/>
      <c r="FY160" s="521"/>
      <c r="FZ160" s="521"/>
      <c r="GA160" s="521"/>
      <c r="GB160" s="521"/>
      <c r="GC160" s="521"/>
      <c r="GD160" s="521"/>
      <c r="GE160" s="521"/>
      <c r="GF160" s="521"/>
      <c r="GG160" s="521"/>
      <c r="GH160" s="521"/>
      <c r="GI160" s="521"/>
      <c r="GJ160" s="521"/>
      <c r="GK160" s="521"/>
      <c r="GL160" s="521"/>
      <c r="GM160" s="521"/>
      <c r="GN160" s="521"/>
      <c r="GO160" s="521"/>
      <c r="GP160" s="521"/>
      <c r="GQ160" s="521"/>
      <c r="GR160" s="521"/>
      <c r="GS160" s="521"/>
      <c r="GT160" s="521"/>
      <c r="GU160" s="521"/>
      <c r="GV160" s="521"/>
      <c r="GW160" s="521"/>
      <c r="GX160" s="521"/>
      <c r="GY160" s="521"/>
      <c r="GZ160" s="521"/>
      <c r="HA160" s="521"/>
      <c r="HB160" s="521"/>
      <c r="HC160" s="521"/>
      <c r="HD160" s="521"/>
      <c r="HE160" s="521"/>
      <c r="HF160" s="521"/>
      <c r="HG160" s="521"/>
      <c r="HH160" s="521"/>
      <c r="HI160" s="521"/>
      <c r="HJ160" s="521"/>
      <c r="HK160" s="521"/>
      <c r="HL160" s="521"/>
      <c r="HM160" s="521"/>
      <c r="HN160" s="521"/>
      <c r="HO160" s="521"/>
      <c r="HP160" s="521"/>
      <c r="HQ160" s="521"/>
      <c r="HR160" s="521"/>
      <c r="HS160" s="521"/>
      <c r="HT160" s="521"/>
      <c r="HU160" s="521"/>
      <c r="HV160" s="521"/>
      <c r="HW160" s="521"/>
      <c r="HX160" s="521"/>
      <c r="HY160" s="521"/>
      <c r="HZ160" s="521"/>
      <c r="IA160" s="521"/>
      <c r="IB160" s="521"/>
      <c r="IC160" s="521"/>
      <c r="ID160" s="521"/>
      <c r="IE160" s="521"/>
      <c r="IF160" s="521"/>
      <c r="IG160" s="521"/>
      <c r="IH160" s="521"/>
      <c r="II160" s="521"/>
      <c r="IJ160" s="521"/>
      <c r="IK160" s="521"/>
      <c r="IL160" s="521"/>
      <c r="IM160" s="521"/>
      <c r="IN160" s="521"/>
      <c r="IO160" s="521"/>
      <c r="IP160" s="521"/>
      <c r="IQ160" s="521"/>
    </row>
    <row r="161" spans="1:251" ht="18" customHeight="1">
      <c r="A161" s="520">
        <v>152</v>
      </c>
      <c r="B161" s="533"/>
      <c r="C161" s="538"/>
      <c r="D161" s="1090" t="s">
        <v>893</v>
      </c>
      <c r="E161" s="535"/>
      <c r="F161" s="536"/>
      <c r="G161" s="1293"/>
      <c r="H161" s="746"/>
      <c r="I161" s="721"/>
      <c r="J161" s="1291">
        <v>140048</v>
      </c>
      <c r="K161" s="1291"/>
      <c r="L161" s="1138">
        <f>SUM(I161:K161)</f>
        <v>140048</v>
      </c>
      <c r="M161" s="537"/>
      <c r="N161" s="521"/>
      <c r="O161" s="521"/>
      <c r="P161" s="521"/>
      <c r="Q161" s="521"/>
      <c r="R161" s="521"/>
      <c r="S161" s="521"/>
      <c r="T161" s="521"/>
      <c r="U161" s="521"/>
      <c r="V161" s="521"/>
      <c r="W161" s="521"/>
      <c r="X161" s="521"/>
      <c r="Y161" s="521"/>
      <c r="Z161" s="521"/>
      <c r="AA161" s="521"/>
      <c r="AB161" s="521"/>
      <c r="AC161" s="521"/>
      <c r="AD161" s="521"/>
      <c r="AE161" s="521"/>
      <c r="AF161" s="521"/>
      <c r="AG161" s="521"/>
      <c r="AH161" s="521"/>
      <c r="AI161" s="521"/>
      <c r="AJ161" s="521"/>
      <c r="AK161" s="521"/>
      <c r="AL161" s="521"/>
      <c r="AM161" s="521"/>
      <c r="AN161" s="521"/>
      <c r="AO161" s="521"/>
      <c r="AP161" s="521"/>
      <c r="AQ161" s="521"/>
      <c r="AR161" s="521"/>
      <c r="AS161" s="521"/>
      <c r="AT161" s="521"/>
      <c r="AU161" s="521"/>
      <c r="AV161" s="521"/>
      <c r="AW161" s="521"/>
      <c r="AX161" s="521"/>
      <c r="AY161" s="521"/>
      <c r="AZ161" s="521"/>
      <c r="BA161" s="521"/>
      <c r="BB161" s="521"/>
      <c r="BC161" s="521"/>
      <c r="BD161" s="521"/>
      <c r="BE161" s="521"/>
      <c r="BF161" s="521"/>
      <c r="BG161" s="521"/>
      <c r="BH161" s="521"/>
      <c r="BI161" s="521"/>
      <c r="BJ161" s="521"/>
      <c r="BK161" s="521"/>
      <c r="BL161" s="521"/>
      <c r="BM161" s="521"/>
      <c r="BN161" s="521"/>
      <c r="BO161" s="521"/>
      <c r="BP161" s="521"/>
      <c r="BQ161" s="521"/>
      <c r="BR161" s="521"/>
      <c r="BS161" s="521"/>
      <c r="BT161" s="521"/>
      <c r="BU161" s="521"/>
      <c r="BV161" s="521"/>
      <c r="BW161" s="521"/>
      <c r="BX161" s="521"/>
      <c r="BY161" s="521"/>
      <c r="BZ161" s="521"/>
      <c r="CA161" s="521"/>
      <c r="CB161" s="521"/>
      <c r="CC161" s="521"/>
      <c r="CD161" s="521"/>
      <c r="CE161" s="521"/>
      <c r="CF161" s="521"/>
      <c r="CG161" s="521"/>
      <c r="CH161" s="521"/>
      <c r="CI161" s="521"/>
      <c r="CJ161" s="521"/>
      <c r="CK161" s="521"/>
      <c r="CL161" s="521"/>
      <c r="CM161" s="521"/>
      <c r="CN161" s="521"/>
      <c r="CO161" s="521"/>
      <c r="CP161" s="521"/>
      <c r="CQ161" s="521"/>
      <c r="CR161" s="521"/>
      <c r="CS161" s="521"/>
      <c r="CT161" s="521"/>
      <c r="CU161" s="521"/>
      <c r="CV161" s="521"/>
      <c r="CW161" s="521"/>
      <c r="CX161" s="521"/>
      <c r="CY161" s="521"/>
      <c r="CZ161" s="521"/>
      <c r="DA161" s="521"/>
      <c r="DB161" s="521"/>
      <c r="DC161" s="521"/>
      <c r="DD161" s="521"/>
      <c r="DE161" s="521"/>
      <c r="DF161" s="521"/>
      <c r="DG161" s="521"/>
      <c r="DH161" s="521"/>
      <c r="DI161" s="521"/>
      <c r="DJ161" s="521"/>
      <c r="DK161" s="521"/>
      <c r="DL161" s="521"/>
      <c r="DM161" s="521"/>
      <c r="DN161" s="521"/>
      <c r="DO161" s="521"/>
      <c r="DP161" s="521"/>
      <c r="DQ161" s="521"/>
      <c r="DR161" s="521"/>
      <c r="DS161" s="521"/>
      <c r="DT161" s="521"/>
      <c r="DU161" s="521"/>
      <c r="DV161" s="521"/>
      <c r="DW161" s="521"/>
      <c r="DX161" s="521"/>
      <c r="DY161" s="521"/>
      <c r="DZ161" s="521"/>
      <c r="EA161" s="521"/>
      <c r="EB161" s="521"/>
      <c r="EC161" s="521"/>
      <c r="ED161" s="521"/>
      <c r="EE161" s="521"/>
      <c r="EF161" s="521"/>
      <c r="EG161" s="521"/>
      <c r="EH161" s="521"/>
      <c r="EI161" s="521"/>
      <c r="EJ161" s="521"/>
      <c r="EK161" s="521"/>
      <c r="EL161" s="521"/>
      <c r="EM161" s="521"/>
      <c r="EN161" s="521"/>
      <c r="EO161" s="521"/>
      <c r="EP161" s="521"/>
      <c r="EQ161" s="521"/>
      <c r="ER161" s="521"/>
      <c r="ES161" s="521"/>
      <c r="ET161" s="521"/>
      <c r="EU161" s="521"/>
      <c r="EV161" s="521"/>
      <c r="EW161" s="521"/>
      <c r="EX161" s="521"/>
      <c r="EY161" s="521"/>
      <c r="EZ161" s="521"/>
      <c r="FA161" s="521"/>
      <c r="FB161" s="521"/>
      <c r="FC161" s="521"/>
      <c r="FD161" s="521"/>
      <c r="FE161" s="521"/>
      <c r="FF161" s="521"/>
      <c r="FG161" s="521"/>
      <c r="FH161" s="521"/>
      <c r="FI161" s="521"/>
      <c r="FJ161" s="521"/>
      <c r="FK161" s="521"/>
      <c r="FL161" s="521"/>
      <c r="FM161" s="521"/>
      <c r="FN161" s="521"/>
      <c r="FO161" s="521"/>
      <c r="FP161" s="521"/>
      <c r="FQ161" s="521"/>
      <c r="FR161" s="521"/>
      <c r="FS161" s="521"/>
      <c r="FT161" s="521"/>
      <c r="FU161" s="521"/>
      <c r="FV161" s="521"/>
      <c r="FW161" s="521"/>
      <c r="FX161" s="521"/>
      <c r="FY161" s="521"/>
      <c r="FZ161" s="521"/>
      <c r="GA161" s="521"/>
      <c r="GB161" s="521"/>
      <c r="GC161" s="521"/>
      <c r="GD161" s="521"/>
      <c r="GE161" s="521"/>
      <c r="GF161" s="521"/>
      <c r="GG161" s="521"/>
      <c r="GH161" s="521"/>
      <c r="GI161" s="521"/>
      <c r="GJ161" s="521"/>
      <c r="GK161" s="521"/>
      <c r="GL161" s="521"/>
      <c r="GM161" s="521"/>
      <c r="GN161" s="521"/>
      <c r="GO161" s="521"/>
      <c r="GP161" s="521"/>
      <c r="GQ161" s="521"/>
      <c r="GR161" s="521"/>
      <c r="GS161" s="521"/>
      <c r="GT161" s="521"/>
      <c r="GU161" s="521"/>
      <c r="GV161" s="521"/>
      <c r="GW161" s="521"/>
      <c r="GX161" s="521"/>
      <c r="GY161" s="521"/>
      <c r="GZ161" s="521"/>
      <c r="HA161" s="521"/>
      <c r="HB161" s="521"/>
      <c r="HC161" s="521"/>
      <c r="HD161" s="521"/>
      <c r="HE161" s="521"/>
      <c r="HF161" s="521"/>
      <c r="HG161" s="521"/>
      <c r="HH161" s="521"/>
      <c r="HI161" s="521"/>
      <c r="HJ161" s="521"/>
      <c r="HK161" s="521"/>
      <c r="HL161" s="521"/>
      <c r="HM161" s="521"/>
      <c r="HN161" s="521"/>
      <c r="HO161" s="521"/>
      <c r="HP161" s="521"/>
      <c r="HQ161" s="521"/>
      <c r="HR161" s="521"/>
      <c r="HS161" s="521"/>
      <c r="HT161" s="521"/>
      <c r="HU161" s="521"/>
      <c r="HV161" s="521"/>
      <c r="HW161" s="521"/>
      <c r="HX161" s="521"/>
      <c r="HY161" s="521"/>
      <c r="HZ161" s="521"/>
      <c r="IA161" s="521"/>
      <c r="IB161" s="521"/>
      <c r="IC161" s="521"/>
      <c r="ID161" s="521"/>
      <c r="IE161" s="521"/>
      <c r="IF161" s="521"/>
      <c r="IG161" s="521"/>
      <c r="IH161" s="521"/>
      <c r="II161" s="521"/>
      <c r="IJ161" s="521"/>
      <c r="IK161" s="521"/>
      <c r="IL161" s="521"/>
      <c r="IM161" s="521"/>
      <c r="IN161" s="521"/>
      <c r="IO161" s="521"/>
      <c r="IP161" s="521"/>
      <c r="IQ161" s="521"/>
    </row>
    <row r="162" spans="1:13" ht="22.5" customHeight="1">
      <c r="A162" s="520">
        <v>153</v>
      </c>
      <c r="B162" s="533"/>
      <c r="C162" s="534">
        <v>39</v>
      </c>
      <c r="D162" s="328" t="s">
        <v>637</v>
      </c>
      <c r="E162" s="535">
        <f>F162+G162+L164+M163</f>
        <v>20000</v>
      </c>
      <c r="F162" s="536"/>
      <c r="G162" s="1293"/>
      <c r="H162" s="746" t="s">
        <v>22</v>
      </c>
      <c r="I162" s="507"/>
      <c r="J162" s="1182"/>
      <c r="K162" s="1182"/>
      <c r="L162" s="1180"/>
      <c r="M162" s="1016"/>
    </row>
    <row r="163" spans="1:13" ht="18" customHeight="1">
      <c r="A163" s="520">
        <v>154</v>
      </c>
      <c r="B163" s="533"/>
      <c r="C163" s="538"/>
      <c r="D163" s="589" t="s">
        <v>283</v>
      </c>
      <c r="E163" s="535"/>
      <c r="F163" s="536"/>
      <c r="G163" s="1293"/>
      <c r="H163" s="746"/>
      <c r="I163" s="721"/>
      <c r="J163" s="535"/>
      <c r="K163" s="1258">
        <v>20000</v>
      </c>
      <c r="L163" s="1259">
        <f>SUM(I163:K163)</f>
        <v>20000</v>
      </c>
      <c r="M163" s="1016"/>
    </row>
    <row r="164" spans="1:13" ht="18" customHeight="1">
      <c r="A164" s="520">
        <v>155</v>
      </c>
      <c r="B164" s="533"/>
      <c r="C164" s="538"/>
      <c r="D164" s="478" t="s">
        <v>757</v>
      </c>
      <c r="E164" s="535"/>
      <c r="F164" s="536"/>
      <c r="G164" s="1293"/>
      <c r="H164" s="746"/>
      <c r="I164" s="721"/>
      <c r="J164" s="535"/>
      <c r="K164" s="1351">
        <v>20000</v>
      </c>
      <c r="L164" s="1447">
        <f>SUM(I164:K164)</f>
        <v>20000</v>
      </c>
      <c r="M164" s="1016"/>
    </row>
    <row r="165" spans="1:13" ht="18" customHeight="1">
      <c r="A165" s="520">
        <v>156</v>
      </c>
      <c r="B165" s="533"/>
      <c r="C165" s="538"/>
      <c r="D165" s="1090" t="s">
        <v>893</v>
      </c>
      <c r="E165" s="535"/>
      <c r="F165" s="536"/>
      <c r="G165" s="1293"/>
      <c r="H165" s="746"/>
      <c r="I165" s="721"/>
      <c r="J165" s="535"/>
      <c r="K165" s="1291">
        <v>20000</v>
      </c>
      <c r="L165" s="1718">
        <f>SUM(I165:K165)</f>
        <v>20000</v>
      </c>
      <c r="M165" s="1016"/>
    </row>
    <row r="166" spans="1:13" ht="22.5" customHeight="1">
      <c r="A166" s="520">
        <v>157</v>
      </c>
      <c r="B166" s="533"/>
      <c r="C166" s="534">
        <v>40</v>
      </c>
      <c r="D166" s="328" t="s">
        <v>717</v>
      </c>
      <c r="E166" s="535">
        <f>F166+G166+L167+M166</f>
        <v>742</v>
      </c>
      <c r="F166" s="536"/>
      <c r="G166" s="1293">
        <v>652</v>
      </c>
      <c r="H166" s="746" t="s">
        <v>22</v>
      </c>
      <c r="I166" s="721"/>
      <c r="J166" s="535"/>
      <c r="K166" s="535"/>
      <c r="L166" s="1175"/>
      <c r="M166" s="1016"/>
    </row>
    <row r="167" spans="1:13" ht="18" customHeight="1">
      <c r="A167" s="520">
        <v>158</v>
      </c>
      <c r="B167" s="533"/>
      <c r="C167" s="538"/>
      <c r="D167" s="478" t="s">
        <v>757</v>
      </c>
      <c r="E167" s="535"/>
      <c r="F167" s="536"/>
      <c r="G167" s="1293"/>
      <c r="H167" s="746"/>
      <c r="I167" s="721"/>
      <c r="J167" s="1351">
        <v>90</v>
      </c>
      <c r="K167" s="535"/>
      <c r="L167" s="1447">
        <f>SUM(I167:K167)</f>
        <v>90</v>
      </c>
      <c r="M167" s="1016"/>
    </row>
    <row r="168" spans="1:13" ht="18" customHeight="1">
      <c r="A168" s="520">
        <v>159</v>
      </c>
      <c r="B168" s="533"/>
      <c r="C168" s="538"/>
      <c r="D168" s="1090" t="s">
        <v>893</v>
      </c>
      <c r="E168" s="535"/>
      <c r="F168" s="536"/>
      <c r="G168" s="1293"/>
      <c r="H168" s="746"/>
      <c r="I168" s="721"/>
      <c r="J168" s="1291">
        <v>90</v>
      </c>
      <c r="K168" s="1291"/>
      <c r="L168" s="1718">
        <f>SUM(I168:K168)</f>
        <v>90</v>
      </c>
      <c r="M168" s="1016"/>
    </row>
    <row r="169" spans="1:16" ht="51" customHeight="1">
      <c r="A169" s="520">
        <v>160</v>
      </c>
      <c r="B169" s="533"/>
      <c r="C169" s="538">
        <v>41</v>
      </c>
      <c r="D169" s="997" t="s">
        <v>752</v>
      </c>
      <c r="E169" s="535">
        <f>F169+G169+L170+M169</f>
        <v>1200</v>
      </c>
      <c r="F169" s="536"/>
      <c r="G169" s="1293"/>
      <c r="H169" s="746" t="s">
        <v>22</v>
      </c>
      <c r="I169" s="721"/>
      <c r="J169" s="535"/>
      <c r="K169" s="535"/>
      <c r="L169" s="1175"/>
      <c r="M169" s="1016"/>
      <c r="P169" s="1538"/>
    </row>
    <row r="170" spans="1:16" ht="18" customHeight="1">
      <c r="A170" s="520">
        <v>161</v>
      </c>
      <c r="B170" s="533"/>
      <c r="C170" s="538"/>
      <c r="D170" s="478" t="s">
        <v>757</v>
      </c>
      <c r="E170" s="535"/>
      <c r="F170" s="536"/>
      <c r="G170" s="1293"/>
      <c r="H170" s="746"/>
      <c r="I170" s="721"/>
      <c r="J170" s="1351">
        <v>1200</v>
      </c>
      <c r="K170" s="535"/>
      <c r="L170" s="1175">
        <f>SUM(I170:K170)</f>
        <v>1200</v>
      </c>
      <c r="M170" s="1016"/>
      <c r="P170" s="1538"/>
    </row>
    <row r="171" spans="1:16" ht="18" customHeight="1">
      <c r="A171" s="520">
        <v>162</v>
      </c>
      <c r="B171" s="533"/>
      <c r="C171" s="538"/>
      <c r="D171" s="1090" t="s">
        <v>892</v>
      </c>
      <c r="E171" s="535"/>
      <c r="F171" s="536"/>
      <c r="G171" s="1293"/>
      <c r="H171" s="746"/>
      <c r="I171" s="721"/>
      <c r="J171" s="1291">
        <v>0</v>
      </c>
      <c r="K171" s="535"/>
      <c r="L171" s="1718">
        <f>SUM(I171:K171)</f>
        <v>0</v>
      </c>
      <c r="M171" s="1016"/>
      <c r="P171" s="1538"/>
    </row>
    <row r="172" spans="1:16" ht="22.5" customHeight="1">
      <c r="A172" s="520">
        <v>163</v>
      </c>
      <c r="B172" s="533"/>
      <c r="C172" s="534">
        <v>42</v>
      </c>
      <c r="D172" s="328" t="s">
        <v>745</v>
      </c>
      <c r="E172" s="535">
        <f>F172+G172+L173+M172</f>
        <v>253</v>
      </c>
      <c r="F172" s="536"/>
      <c r="G172" s="1293"/>
      <c r="H172" s="746" t="s">
        <v>23</v>
      </c>
      <c r="I172" s="721"/>
      <c r="J172" s="1351"/>
      <c r="K172" s="535"/>
      <c r="L172" s="1175"/>
      <c r="M172" s="1016"/>
      <c r="P172" s="1538"/>
    </row>
    <row r="173" spans="1:16" ht="18" customHeight="1">
      <c r="A173" s="520">
        <v>164</v>
      </c>
      <c r="B173" s="533"/>
      <c r="C173" s="538"/>
      <c r="D173" s="478" t="s">
        <v>757</v>
      </c>
      <c r="E173" s="535"/>
      <c r="F173" s="536"/>
      <c r="G173" s="1293"/>
      <c r="H173" s="746"/>
      <c r="I173" s="721"/>
      <c r="J173" s="1351">
        <v>253</v>
      </c>
      <c r="K173" s="535"/>
      <c r="L173" s="1175">
        <f>SUM(I173:K173)</f>
        <v>253</v>
      </c>
      <c r="M173" s="1016"/>
      <c r="P173" s="1538"/>
    </row>
    <row r="174" spans="1:16" ht="18" customHeight="1">
      <c r="A174" s="520">
        <v>165</v>
      </c>
      <c r="B174" s="533"/>
      <c r="C174" s="538"/>
      <c r="D174" s="1090" t="s">
        <v>892</v>
      </c>
      <c r="E174" s="535"/>
      <c r="F174" s="536"/>
      <c r="G174" s="1293"/>
      <c r="H174" s="746"/>
      <c r="I174" s="721"/>
      <c r="J174" s="1291">
        <v>252</v>
      </c>
      <c r="K174" s="535"/>
      <c r="L174" s="1718">
        <f>SUM(I174:K174)</f>
        <v>252</v>
      </c>
      <c r="M174" s="1016"/>
      <c r="P174" s="1538"/>
    </row>
    <row r="175" spans="1:13" ht="22.5" customHeight="1">
      <c r="A175" s="520">
        <v>166</v>
      </c>
      <c r="B175" s="533"/>
      <c r="C175" s="534"/>
      <c r="D175" s="1015" t="s">
        <v>654</v>
      </c>
      <c r="E175" s="535"/>
      <c r="F175" s="536"/>
      <c r="G175" s="1293"/>
      <c r="H175" s="746" t="s">
        <v>22</v>
      </c>
      <c r="I175" s="535"/>
      <c r="J175" s="535"/>
      <c r="K175" s="535"/>
      <c r="L175" s="546"/>
      <c r="M175" s="1016"/>
    </row>
    <row r="176" spans="1:13" ht="34.5" customHeight="1">
      <c r="A176" s="520">
        <v>167</v>
      </c>
      <c r="B176" s="533"/>
      <c r="C176" s="538">
        <v>43</v>
      </c>
      <c r="D176" s="997" t="s">
        <v>668</v>
      </c>
      <c r="E176" s="535">
        <f>F176+G176+L177+M176</f>
        <v>80000</v>
      </c>
      <c r="F176" s="536"/>
      <c r="G176" s="1293"/>
      <c r="H176" s="746"/>
      <c r="I176" s="507"/>
      <c r="J176" s="1182"/>
      <c r="K176" s="1182"/>
      <c r="L176" s="1181"/>
      <c r="M176" s="1016"/>
    </row>
    <row r="177" spans="1:13" ht="18" customHeight="1">
      <c r="A177" s="520">
        <v>168</v>
      </c>
      <c r="B177" s="533"/>
      <c r="C177" s="538"/>
      <c r="D177" s="589" t="s">
        <v>283</v>
      </c>
      <c r="E177" s="535"/>
      <c r="F177" s="536"/>
      <c r="G177" s="1293"/>
      <c r="H177" s="746"/>
      <c r="I177" s="535"/>
      <c r="J177" s="1258">
        <v>80000</v>
      </c>
      <c r="K177" s="1258"/>
      <c r="L177" s="1259">
        <f>SUM(I177:K177)</f>
        <v>80000</v>
      </c>
      <c r="M177" s="1016"/>
    </row>
    <row r="178" spans="1:13" ht="18" customHeight="1">
      <c r="A178" s="520">
        <v>169</v>
      </c>
      <c r="B178" s="533"/>
      <c r="C178" s="538"/>
      <c r="D178" s="478" t="s">
        <v>757</v>
      </c>
      <c r="E178" s="535"/>
      <c r="F178" s="536"/>
      <c r="G178" s="1293"/>
      <c r="H178" s="746"/>
      <c r="I178" s="535"/>
      <c r="J178" s="1351">
        <v>80000</v>
      </c>
      <c r="K178" s="1351"/>
      <c r="L178" s="1447">
        <f>SUM(I178:K178)</f>
        <v>80000</v>
      </c>
      <c r="M178" s="1016"/>
    </row>
    <row r="179" spans="1:13" ht="18" customHeight="1">
      <c r="A179" s="520">
        <v>170</v>
      </c>
      <c r="B179" s="533"/>
      <c r="C179" s="538"/>
      <c r="D179" s="1090" t="s">
        <v>893</v>
      </c>
      <c r="E179" s="535"/>
      <c r="F179" s="536"/>
      <c r="G179" s="546"/>
      <c r="H179" s="746"/>
      <c r="I179" s="535"/>
      <c r="J179" s="1291">
        <v>0</v>
      </c>
      <c r="K179" s="1291"/>
      <c r="L179" s="1719">
        <f>SUM(I179:K179)</f>
        <v>0</v>
      </c>
      <c r="M179" s="1016"/>
    </row>
    <row r="180" spans="1:13" ht="33" customHeight="1">
      <c r="A180" s="520">
        <v>171</v>
      </c>
      <c r="B180" s="533"/>
      <c r="C180" s="1509">
        <v>44</v>
      </c>
      <c r="D180" s="997" t="s">
        <v>872</v>
      </c>
      <c r="E180" s="535">
        <f>F180+G180+L181+M180</f>
        <v>4130</v>
      </c>
      <c r="F180" s="536"/>
      <c r="G180" s="1293"/>
      <c r="H180" s="746" t="s">
        <v>23</v>
      </c>
      <c r="I180" s="535"/>
      <c r="J180" s="1351"/>
      <c r="K180" s="535"/>
      <c r="L180" s="1179"/>
      <c r="M180" s="537"/>
    </row>
    <row r="181" spans="1:13" ht="19.5" customHeight="1">
      <c r="A181" s="520">
        <v>172</v>
      </c>
      <c r="B181" s="533"/>
      <c r="C181" s="1509"/>
      <c r="D181" s="260" t="s">
        <v>757</v>
      </c>
      <c r="E181" s="535"/>
      <c r="F181" s="536"/>
      <c r="G181" s="1293"/>
      <c r="H181" s="746"/>
      <c r="I181" s="535"/>
      <c r="J181" s="1351">
        <v>4130</v>
      </c>
      <c r="K181" s="535"/>
      <c r="L181" s="1135">
        <f>SUM(I181:K181)</f>
        <v>4130</v>
      </c>
      <c r="M181" s="537"/>
    </row>
    <row r="182" spans="1:13" ht="18" customHeight="1">
      <c r="A182" s="520">
        <v>173</v>
      </c>
      <c r="B182" s="533"/>
      <c r="C182" s="1509"/>
      <c r="D182" s="1092" t="s">
        <v>892</v>
      </c>
      <c r="E182" s="535"/>
      <c r="F182" s="536"/>
      <c r="G182" s="1293"/>
      <c r="H182" s="746"/>
      <c r="I182" s="535"/>
      <c r="J182" s="1291">
        <v>0</v>
      </c>
      <c r="K182" s="535"/>
      <c r="L182" s="1719">
        <f>SUM(I182:K182)</f>
        <v>0</v>
      </c>
      <c r="M182" s="537"/>
    </row>
    <row r="183" spans="1:13" ht="22.5" customHeight="1">
      <c r="A183" s="520">
        <v>174</v>
      </c>
      <c r="B183" s="533"/>
      <c r="C183" s="1527">
        <v>45</v>
      </c>
      <c r="D183" s="328" t="s">
        <v>873</v>
      </c>
      <c r="E183" s="535">
        <f>F183+G183+L184+M183</f>
        <v>12065</v>
      </c>
      <c r="F183" s="536"/>
      <c r="G183" s="1293"/>
      <c r="H183" s="746" t="s">
        <v>23</v>
      </c>
      <c r="I183" s="535"/>
      <c r="J183" s="1351"/>
      <c r="K183" s="535"/>
      <c r="L183" s="1179"/>
      <c r="M183" s="537"/>
    </row>
    <row r="184" spans="1:13" ht="19.5" customHeight="1">
      <c r="A184" s="520">
        <v>175</v>
      </c>
      <c r="B184" s="533"/>
      <c r="C184" s="1527"/>
      <c r="D184" s="260" t="s">
        <v>757</v>
      </c>
      <c r="E184" s="535"/>
      <c r="F184" s="536"/>
      <c r="G184" s="1293"/>
      <c r="H184" s="746"/>
      <c r="I184" s="535"/>
      <c r="J184" s="1351">
        <v>12065</v>
      </c>
      <c r="K184" s="535"/>
      <c r="L184" s="1135">
        <f>SUM(I184:K184)</f>
        <v>12065</v>
      </c>
      <c r="M184" s="537"/>
    </row>
    <row r="185" spans="1:13" ht="18" customHeight="1">
      <c r="A185" s="520">
        <v>176</v>
      </c>
      <c r="B185" s="533"/>
      <c r="C185" s="1509"/>
      <c r="D185" s="1092" t="s">
        <v>892</v>
      </c>
      <c r="E185" s="535"/>
      <c r="F185" s="536"/>
      <c r="G185" s="1293"/>
      <c r="H185" s="746"/>
      <c r="I185" s="535"/>
      <c r="J185" s="1291">
        <v>0</v>
      </c>
      <c r="K185" s="535"/>
      <c r="L185" s="1719">
        <f>SUM(I185:K185)</f>
        <v>0</v>
      </c>
      <c r="M185" s="537"/>
    </row>
    <row r="186" spans="1:13" ht="22.5" customHeight="1">
      <c r="A186" s="520">
        <v>177</v>
      </c>
      <c r="B186" s="533"/>
      <c r="C186" s="1527">
        <v>46</v>
      </c>
      <c r="D186" s="328" t="s">
        <v>885</v>
      </c>
      <c r="E186" s="535">
        <f>F186+G186+L187+M186</f>
        <v>12000</v>
      </c>
      <c r="F186" s="536"/>
      <c r="G186" s="1293"/>
      <c r="H186" s="746"/>
      <c r="I186" s="535"/>
      <c r="J186" s="1351"/>
      <c r="K186" s="535"/>
      <c r="L186" s="1179"/>
      <c r="M186" s="537"/>
    </row>
    <row r="187" spans="1:13" ht="19.5" customHeight="1">
      <c r="A187" s="520">
        <v>178</v>
      </c>
      <c r="B187" s="533"/>
      <c r="C187" s="1527"/>
      <c r="D187" s="260" t="s">
        <v>757</v>
      </c>
      <c r="E187" s="535"/>
      <c r="F187" s="536"/>
      <c r="G187" s="1293"/>
      <c r="H187" s="746"/>
      <c r="I187" s="535"/>
      <c r="J187" s="1351">
        <v>12000</v>
      </c>
      <c r="K187" s="535"/>
      <c r="L187" s="1135">
        <f>SUM(I187:K187)</f>
        <v>12000</v>
      </c>
      <c r="M187" s="537"/>
    </row>
    <row r="188" spans="1:13" ht="18" customHeight="1">
      <c r="A188" s="520">
        <v>179</v>
      </c>
      <c r="B188" s="533"/>
      <c r="C188" s="1509"/>
      <c r="D188" s="1092" t="s">
        <v>892</v>
      </c>
      <c r="E188" s="535"/>
      <c r="F188" s="536"/>
      <c r="G188" s="1293"/>
      <c r="H188" s="746"/>
      <c r="I188" s="535"/>
      <c r="J188" s="1291">
        <v>0</v>
      </c>
      <c r="K188" s="535"/>
      <c r="L188" s="1719">
        <f>SUM(I188:K188)</f>
        <v>0</v>
      </c>
      <c r="M188" s="537"/>
    </row>
    <row r="189" spans="1:13" ht="68.25" customHeight="1">
      <c r="A189" s="520">
        <v>180</v>
      </c>
      <c r="B189" s="533"/>
      <c r="C189" s="1509">
        <v>47</v>
      </c>
      <c r="D189" s="328" t="s">
        <v>887</v>
      </c>
      <c r="E189" s="535">
        <f>F189+G189+L190+M189</f>
        <v>3400</v>
      </c>
      <c r="F189" s="536"/>
      <c r="G189" s="1293"/>
      <c r="H189" s="746"/>
      <c r="I189" s="535"/>
      <c r="J189" s="1351"/>
      <c r="K189" s="535"/>
      <c r="L189" s="1179"/>
      <c r="M189" s="537"/>
    </row>
    <row r="190" spans="1:13" ht="19.5" customHeight="1">
      <c r="A190" s="520">
        <v>181</v>
      </c>
      <c r="B190" s="533"/>
      <c r="C190" s="1509"/>
      <c r="D190" s="260" t="s">
        <v>757</v>
      </c>
      <c r="E190" s="535"/>
      <c r="F190" s="536"/>
      <c r="G190" s="1293"/>
      <c r="H190" s="746"/>
      <c r="I190" s="535"/>
      <c r="J190" s="1351">
        <v>3400</v>
      </c>
      <c r="K190" s="535"/>
      <c r="L190" s="1135">
        <f>SUM(I190:K190)</f>
        <v>3400</v>
      </c>
      <c r="M190" s="537"/>
    </row>
    <row r="191" spans="1:13" ht="18" customHeight="1">
      <c r="A191" s="520">
        <v>182</v>
      </c>
      <c r="B191" s="533"/>
      <c r="C191" s="1509"/>
      <c r="D191" s="1092" t="s">
        <v>892</v>
      </c>
      <c r="E191" s="535"/>
      <c r="F191" s="536"/>
      <c r="G191" s="1293"/>
      <c r="H191" s="746"/>
      <c r="I191" s="535"/>
      <c r="J191" s="1291">
        <v>0</v>
      </c>
      <c r="K191" s="535"/>
      <c r="L191" s="1719">
        <f>SUM(I191:K191)</f>
        <v>0</v>
      </c>
      <c r="M191" s="537"/>
    </row>
    <row r="192" spans="1:13" ht="29.25" customHeight="1">
      <c r="A192" s="520">
        <v>183</v>
      </c>
      <c r="B192" s="533"/>
      <c r="C192" s="1509">
        <v>48</v>
      </c>
      <c r="D192" s="1510" t="s">
        <v>868</v>
      </c>
      <c r="E192" s="535">
        <f>F192+G192+L193+M192</f>
        <v>50000</v>
      </c>
      <c r="F192" s="536"/>
      <c r="G192" s="1293"/>
      <c r="H192" s="746" t="s">
        <v>23</v>
      </c>
      <c r="I192" s="535"/>
      <c r="J192" s="1351"/>
      <c r="K192" s="535"/>
      <c r="L192" s="1179"/>
      <c r="M192" s="537"/>
    </row>
    <row r="193" spans="1:13" ht="19.5" customHeight="1">
      <c r="A193" s="520">
        <v>184</v>
      </c>
      <c r="B193" s="533"/>
      <c r="C193" s="1509"/>
      <c r="D193" s="260" t="s">
        <v>757</v>
      </c>
      <c r="E193" s="535"/>
      <c r="F193" s="536"/>
      <c r="G193" s="1293"/>
      <c r="H193" s="746"/>
      <c r="I193" s="535"/>
      <c r="J193" s="1351"/>
      <c r="K193" s="1535">
        <v>50000</v>
      </c>
      <c r="L193" s="1135">
        <f>SUM(I193:K193)</f>
        <v>50000</v>
      </c>
      <c r="M193" s="1536">
        <v>50000</v>
      </c>
    </row>
    <row r="194" spans="1:13" ht="18" customHeight="1">
      <c r="A194" s="520">
        <v>185</v>
      </c>
      <c r="B194" s="533"/>
      <c r="C194" s="538"/>
      <c r="D194" s="1090" t="s">
        <v>892</v>
      </c>
      <c r="E194" s="535"/>
      <c r="F194" s="536"/>
      <c r="G194" s="1293"/>
      <c r="H194" s="746"/>
      <c r="I194" s="535"/>
      <c r="J194" s="1291"/>
      <c r="K194" s="1291">
        <v>0</v>
      </c>
      <c r="L194" s="1719">
        <f>SUM(I194:K194)</f>
        <v>0</v>
      </c>
      <c r="M194" s="537"/>
    </row>
    <row r="195" spans="1:13" ht="22.5" customHeight="1">
      <c r="A195" s="520">
        <v>186</v>
      </c>
      <c r="B195" s="533"/>
      <c r="C195" s="534">
        <v>49</v>
      </c>
      <c r="D195" s="328" t="s">
        <v>870</v>
      </c>
      <c r="E195" s="535">
        <f>F195+G195+L196+M195</f>
        <v>18160</v>
      </c>
      <c r="F195" s="536"/>
      <c r="G195" s="1293"/>
      <c r="H195" s="746" t="s">
        <v>23</v>
      </c>
      <c r="I195" s="535"/>
      <c r="J195" s="1351"/>
      <c r="K195" s="535"/>
      <c r="L195" s="1179"/>
      <c r="M195" s="537"/>
    </row>
    <row r="196" spans="1:13" ht="19.5" customHeight="1">
      <c r="A196" s="520">
        <v>187</v>
      </c>
      <c r="B196" s="533"/>
      <c r="C196" s="534"/>
      <c r="D196" s="478" t="s">
        <v>757</v>
      </c>
      <c r="E196" s="535"/>
      <c r="F196" s="536"/>
      <c r="G196" s="1293"/>
      <c r="H196" s="746"/>
      <c r="I196" s="535"/>
      <c r="J196" s="1351">
        <v>18160</v>
      </c>
      <c r="K196" s="535"/>
      <c r="L196" s="1135">
        <f>SUM(I196:K196)</f>
        <v>18160</v>
      </c>
      <c r="M196" s="537"/>
    </row>
    <row r="197" spans="1:13" ht="18" customHeight="1" thickBot="1">
      <c r="A197" s="520">
        <v>188</v>
      </c>
      <c r="B197" s="1500"/>
      <c r="C197" s="1501"/>
      <c r="D197" s="1606" t="s">
        <v>892</v>
      </c>
      <c r="E197" s="1173"/>
      <c r="F197" s="1174"/>
      <c r="G197" s="1502"/>
      <c r="H197" s="1503"/>
      <c r="I197" s="1173"/>
      <c r="J197" s="1720">
        <v>0</v>
      </c>
      <c r="K197" s="1173"/>
      <c r="L197" s="1721">
        <f>SUM(I197:K197)</f>
        <v>0</v>
      </c>
      <c r="M197" s="1518"/>
    </row>
    <row r="198" spans="1:13" ht="19.5" customHeight="1">
      <c r="A198" s="520">
        <v>189</v>
      </c>
      <c r="B198" s="1995" t="s">
        <v>13</v>
      </c>
      <c r="C198" s="1996"/>
      <c r="D198" s="1996"/>
      <c r="E198" s="1996"/>
      <c r="F198" s="1996"/>
      <c r="G198" s="1997"/>
      <c r="H198" s="1498"/>
      <c r="I198" s="1499"/>
      <c r="J198" s="1499"/>
      <c r="K198" s="1499"/>
      <c r="L198" s="1499"/>
      <c r="M198" s="1166">
        <f>SUM(M12:M197)</f>
        <v>82693</v>
      </c>
    </row>
    <row r="199" spans="1:13" ht="19.5" customHeight="1">
      <c r="A199" s="520">
        <v>190</v>
      </c>
      <c r="B199" s="1167"/>
      <c r="C199" s="1164"/>
      <c r="D199" s="1990" t="s">
        <v>283</v>
      </c>
      <c r="E199" s="1990"/>
      <c r="F199" s="1990"/>
      <c r="G199" s="1991"/>
      <c r="H199" s="1165"/>
      <c r="I199" s="1347">
        <f>I177+I163+I159+I155+I151+I147+I143+I139+I135+I131+I127+I123+I119+I115+I111+I107+I103+I99+I95+I91+I87+I83+I79+I75+I71+I67+I63+I59+I55+I51+I47+I43+I39+I35+I31+I27+I23+I19+I12</f>
        <v>1183</v>
      </c>
      <c r="J199" s="1347">
        <f>J177+J163+J159+J155+J151+J147+J143+J139+J135+J131+J127+J123+J119+J115+J111+J107+J103+J99+J95+J91+J87+J83+J79+J75+J71+J67+J63+J59+J55+J51+J47+J43+J39+J35+J31+J27+J23+J19+J12</f>
        <v>1113878</v>
      </c>
      <c r="K199" s="1347">
        <f>K177+K163+K159+K155+K151+K147+K143+K139+K135+K131+K127+K123+K119+K115+K111+K107+K103+K99+K95+K91+K87+K83+K79+K75+K71+K67+K63+K59+K55+K51+K47+K43+K39+K35+K31+K27+K23+K19+K12</f>
        <v>20000</v>
      </c>
      <c r="L199" s="867">
        <f>SUM(I199:K199)</f>
        <v>1135061</v>
      </c>
      <c r="M199" s="1168"/>
    </row>
    <row r="200" spans="1:13" ht="19.5" customHeight="1">
      <c r="A200" s="520">
        <v>191</v>
      </c>
      <c r="B200" s="1167"/>
      <c r="C200" s="1164"/>
      <c r="D200" s="1992" t="s">
        <v>757</v>
      </c>
      <c r="E200" s="1992"/>
      <c r="F200" s="1992"/>
      <c r="G200" s="1993"/>
      <c r="H200" s="1165"/>
      <c r="I200" s="1448">
        <f>I178+I164+I160+I156+I152+I148+I144+I140+I136+I132+I128+I124+I120+I116+I112+I108+I104+I100+I96+I92+I88+I84+I80+I76+I72+I68+I64+I60+I56+I52+I48+I44+I40+I36+I32+I28+I24+I20+I13+I173+I170+I167+I196+I193+I190+I187+I184+I181+I16</f>
        <v>1817</v>
      </c>
      <c r="J200" s="1448">
        <f>J178+J164+J160+J156+J152+J148+J144+J140+J136+J132+J128+J124+J120+J116+J112+J108+J104+J100+J96+J92+J88+J84+J80+J76+J72+J68+J64+J60+J56+J52+J48+J44+J40+J36+J32+J28+J24+J20+J13+J173+J170+J167+J196+J193+J190+J187+J184+J181+J16</f>
        <v>1171916</v>
      </c>
      <c r="K200" s="1448">
        <f>K178+K164+K160+K156+K152+K148+K144+K140+K136+K132+K128+K124+K120+K116+K112+K108+K104+K100+K96+K92+K88+K84+K80+K76+K72+K68+K64+K60+K56+K52+K48+K44+K40+K36+K32+K28+K24+K20+K13+K173+K170+K167+K196+K193+K190+K187+K184+K181+K16</f>
        <v>70000</v>
      </c>
      <c r="L200" s="1135">
        <f>SUM(I200:K200)</f>
        <v>1243733</v>
      </c>
      <c r="M200" s="1168"/>
    </row>
    <row r="201" spans="1:13" ht="19.5" customHeight="1" thickBot="1">
      <c r="A201" s="520">
        <v>192</v>
      </c>
      <c r="B201" s="1169"/>
      <c r="C201" s="1170"/>
      <c r="D201" s="1943" t="s">
        <v>893</v>
      </c>
      <c r="E201" s="1943"/>
      <c r="F201" s="1943"/>
      <c r="G201" s="1944"/>
      <c r="H201" s="1171"/>
      <c r="I201" s="1722">
        <f>I179+I165+I161+I157+I153+I149+I145+I141+I137+I133+I129+I125+I121+I117+I113+I109+I105+I101+I97+I93+I89+I85+I81+I77+I73+I69+I65+I61+I57+I53+I49+I45+I41+I37+I33+I29+I25+I21+I14+I168+I171+I174+I197+I194+I17+I185+I182+I191+I188</f>
        <v>788</v>
      </c>
      <c r="J201" s="1722">
        <f>J179+J165+J161+J157+J153+J149+J145+J141+J137+J133+J129+J125+J121+J117+J113+J109+J105+J101+J97+J93+J89+J85+J81+J77+J73+J69+J65+J61+J57+J53+J49+J45+J41+J37+J33+J29+J25+J21+J14+J168+J171+J174+J197+J194+J17+J185+J182+J191+J188</f>
        <v>558549</v>
      </c>
      <c r="K201" s="1722">
        <f>K179+K165+K161+K157+K153+K149+K145+K141+K137+K133+K129+K125+K121+K117+K113+K109+K105+K101+K97+K93+K89+K85+K81+K77+K73+K69+K65+K61+K57+K53+K49+K45+K41+K37+K33+K29+K25+K21+K14+K168+K171+K174+K197+K194+K17+K185+K182+K191+K188</f>
        <v>20000</v>
      </c>
      <c r="L201" s="1721">
        <f>SUM(I201:K201)</f>
        <v>579337</v>
      </c>
      <c r="M201" s="1168"/>
    </row>
    <row r="202" spans="2:13" ht="18" customHeight="1">
      <c r="B202" s="514" t="s">
        <v>26</v>
      </c>
      <c r="C202" s="514"/>
      <c r="D202" s="514"/>
      <c r="E202" s="515"/>
      <c r="F202" s="516"/>
      <c r="G202" s="515"/>
      <c r="H202" s="504"/>
      <c r="I202" s="515"/>
      <c r="J202" s="515"/>
      <c r="K202" s="515"/>
      <c r="L202" s="515"/>
      <c r="M202" s="1172"/>
    </row>
    <row r="203" spans="2:12" ht="18" customHeight="1">
      <c r="B203" s="514" t="s">
        <v>27</v>
      </c>
      <c r="C203" s="514"/>
      <c r="D203" s="514"/>
      <c r="E203" s="505"/>
      <c r="F203" s="516"/>
      <c r="G203" s="515"/>
      <c r="H203" s="504"/>
      <c r="I203" s="515"/>
      <c r="J203" s="515"/>
      <c r="K203" s="515"/>
      <c r="L203" s="515"/>
    </row>
    <row r="204" spans="2:12" ht="18" customHeight="1">
      <c r="B204" s="514" t="s">
        <v>28</v>
      </c>
      <c r="C204" s="514"/>
      <c r="D204" s="514"/>
      <c r="E204" s="505"/>
      <c r="F204" s="516"/>
      <c r="G204" s="515"/>
      <c r="H204" s="504"/>
      <c r="I204" s="515"/>
      <c r="J204" s="515"/>
      <c r="K204" s="515"/>
      <c r="L204" s="515"/>
    </row>
  </sheetData>
  <sheetProtection/>
  <mergeCells count="20">
    <mergeCell ref="J8:K8"/>
    <mergeCell ref="L8:L9"/>
    <mergeCell ref="H7:H9"/>
    <mergeCell ref="G7:G9"/>
    <mergeCell ref="F7:F9"/>
    <mergeCell ref="B1:M1"/>
    <mergeCell ref="I2:M2"/>
    <mergeCell ref="D199:G199"/>
    <mergeCell ref="D201:G201"/>
    <mergeCell ref="D200:G200"/>
    <mergeCell ref="B2:D2"/>
    <mergeCell ref="B198:G198"/>
    <mergeCell ref="B3:M3"/>
    <mergeCell ref="B4:M4"/>
    <mergeCell ref="I7:L7"/>
    <mergeCell ref="M7:M9"/>
    <mergeCell ref="E7:E9"/>
    <mergeCell ref="B7:B9"/>
    <mergeCell ref="C7:C9"/>
    <mergeCell ref="D7:D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49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B1" sqref="B1:F1"/>
      <selection pane="bottomLeft" activeCell="I21" sqref="I21"/>
    </sheetView>
  </sheetViews>
  <sheetFormatPr defaultColWidth="9.125" defaultRowHeight="12.75"/>
  <cols>
    <col min="1" max="1" width="3.625" style="1539" customWidth="1"/>
    <col min="2" max="2" width="5.75390625" style="1544" customWidth="1"/>
    <col min="3" max="3" width="5.75390625" style="1545" customWidth="1"/>
    <col min="4" max="4" width="59.75390625" style="1546" customWidth="1"/>
    <col min="5" max="7" width="10.75390625" style="1547" customWidth="1"/>
    <col min="8" max="8" width="6.75390625" style="1548" customWidth="1"/>
    <col min="9" max="10" width="14.875" style="1547" customWidth="1"/>
    <col min="11" max="11" width="15.75390625" style="1547" customWidth="1"/>
    <col min="12" max="12" width="13.75390625" style="1582" customWidth="1"/>
    <col min="13" max="16384" width="9.125" style="1540" customWidth="1"/>
  </cols>
  <sheetData>
    <row r="1" spans="2:13" ht="17.25">
      <c r="B1" s="1877" t="s">
        <v>961</v>
      </c>
      <c r="C1" s="1877"/>
      <c r="D1" s="1877"/>
      <c r="E1" s="1877"/>
      <c r="F1" s="1877"/>
      <c r="G1" s="1877"/>
      <c r="H1" s="1877"/>
      <c r="I1" s="1877"/>
      <c r="J1" s="1877"/>
      <c r="K1" s="1877"/>
      <c r="L1" s="1877"/>
      <c r="M1" s="1877"/>
    </row>
    <row r="2" spans="1:250" s="1543" customFormat="1" ht="18" customHeight="1">
      <c r="A2" s="1541"/>
      <c r="B2" s="1994"/>
      <c r="C2" s="1994"/>
      <c r="D2" s="1994"/>
      <c r="E2" s="466"/>
      <c r="F2" s="466"/>
      <c r="G2" s="466"/>
      <c r="H2" s="465"/>
      <c r="I2" s="1989"/>
      <c r="J2" s="1989"/>
      <c r="K2" s="1989"/>
      <c r="L2" s="1989"/>
      <c r="M2" s="1989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1542"/>
      <c r="Y2" s="1542"/>
      <c r="Z2" s="1542"/>
      <c r="AA2" s="1542"/>
      <c r="AB2" s="1542"/>
      <c r="AC2" s="1542"/>
      <c r="AD2" s="1542"/>
      <c r="AE2" s="1542"/>
      <c r="AF2" s="1542"/>
      <c r="AG2" s="1542"/>
      <c r="AH2" s="1542"/>
      <c r="AI2" s="1542"/>
      <c r="AJ2" s="1542"/>
      <c r="AK2" s="1542"/>
      <c r="AL2" s="1542"/>
      <c r="AM2" s="1542"/>
      <c r="AN2" s="1542"/>
      <c r="AO2" s="1542"/>
      <c r="AP2" s="1542"/>
      <c r="AQ2" s="1542"/>
      <c r="AR2" s="1542"/>
      <c r="AS2" s="1542"/>
      <c r="AT2" s="1542"/>
      <c r="AU2" s="1542"/>
      <c r="AV2" s="1542"/>
      <c r="AW2" s="1542"/>
      <c r="AX2" s="1542"/>
      <c r="AY2" s="1542"/>
      <c r="AZ2" s="1542"/>
      <c r="BA2" s="1542"/>
      <c r="BB2" s="1542"/>
      <c r="BC2" s="1542"/>
      <c r="BD2" s="1542"/>
      <c r="BE2" s="1542"/>
      <c r="BF2" s="1542"/>
      <c r="BG2" s="1542"/>
      <c r="BH2" s="1542"/>
      <c r="BI2" s="1542"/>
      <c r="BJ2" s="1542"/>
      <c r="BK2" s="1542"/>
      <c r="BL2" s="1542"/>
      <c r="BM2" s="1542"/>
      <c r="BN2" s="1542"/>
      <c r="BO2" s="1542"/>
      <c r="BP2" s="1542"/>
      <c r="BQ2" s="1542"/>
      <c r="BR2" s="1542"/>
      <c r="BS2" s="1542"/>
      <c r="BT2" s="1542"/>
      <c r="BU2" s="1542"/>
      <c r="BV2" s="1542"/>
      <c r="BW2" s="1542"/>
      <c r="BX2" s="1542"/>
      <c r="BY2" s="1542"/>
      <c r="BZ2" s="1542"/>
      <c r="CA2" s="1542"/>
      <c r="CB2" s="1542"/>
      <c r="CC2" s="1542"/>
      <c r="CD2" s="1542"/>
      <c r="CE2" s="1542"/>
      <c r="CF2" s="1542"/>
      <c r="CG2" s="1542"/>
      <c r="CH2" s="1542"/>
      <c r="CI2" s="1542"/>
      <c r="CJ2" s="1542"/>
      <c r="CK2" s="1542"/>
      <c r="CL2" s="1542"/>
      <c r="CM2" s="1542"/>
      <c r="CN2" s="1542"/>
      <c r="CO2" s="1542"/>
      <c r="CP2" s="1542"/>
      <c r="CQ2" s="1542"/>
      <c r="CR2" s="1542"/>
      <c r="CS2" s="1542"/>
      <c r="CT2" s="1542"/>
      <c r="CU2" s="1542"/>
      <c r="CV2" s="1542"/>
      <c r="CW2" s="1542"/>
      <c r="CX2" s="1542"/>
      <c r="CY2" s="1542"/>
      <c r="CZ2" s="1542"/>
      <c r="DA2" s="1542"/>
      <c r="DB2" s="1542"/>
      <c r="DC2" s="1542"/>
      <c r="DD2" s="1542"/>
      <c r="DE2" s="1542"/>
      <c r="DF2" s="1542"/>
      <c r="DG2" s="1542"/>
      <c r="DH2" s="1542"/>
      <c r="DI2" s="1542"/>
      <c r="DJ2" s="1542"/>
      <c r="DK2" s="1542"/>
      <c r="DL2" s="1542"/>
      <c r="DM2" s="1542"/>
      <c r="DN2" s="1542"/>
      <c r="DO2" s="1542"/>
      <c r="DP2" s="1542"/>
      <c r="DQ2" s="1542"/>
      <c r="DR2" s="1542"/>
      <c r="DS2" s="1542"/>
      <c r="DT2" s="1542"/>
      <c r="DU2" s="1542"/>
      <c r="DV2" s="1542"/>
      <c r="DW2" s="1542"/>
      <c r="DX2" s="1542"/>
      <c r="DY2" s="1542"/>
      <c r="DZ2" s="1542"/>
      <c r="EA2" s="1542"/>
      <c r="EB2" s="1542"/>
      <c r="EC2" s="1542"/>
      <c r="ED2" s="1542"/>
      <c r="EE2" s="1542"/>
      <c r="EF2" s="1542"/>
      <c r="EG2" s="1542"/>
      <c r="EH2" s="1542"/>
      <c r="EI2" s="1542"/>
      <c r="EJ2" s="1542"/>
      <c r="EK2" s="1542"/>
      <c r="EL2" s="1542"/>
      <c r="EM2" s="1542"/>
      <c r="EN2" s="1542"/>
      <c r="EO2" s="1542"/>
      <c r="EP2" s="1542"/>
      <c r="EQ2" s="1542"/>
      <c r="ER2" s="1542"/>
      <c r="ES2" s="1542"/>
      <c r="ET2" s="1542"/>
      <c r="EU2" s="1542"/>
      <c r="EV2" s="1542"/>
      <c r="EW2" s="1542"/>
      <c r="EX2" s="1542"/>
      <c r="EY2" s="1542"/>
      <c r="EZ2" s="1542"/>
      <c r="FA2" s="1542"/>
      <c r="FB2" s="1542"/>
      <c r="FC2" s="1542"/>
      <c r="FD2" s="1542"/>
      <c r="FE2" s="1542"/>
      <c r="FF2" s="1542"/>
      <c r="FG2" s="1542"/>
      <c r="FH2" s="1542"/>
      <c r="FI2" s="1542"/>
      <c r="FJ2" s="1542"/>
      <c r="FK2" s="1542"/>
      <c r="FL2" s="1542"/>
      <c r="FM2" s="1542"/>
      <c r="FN2" s="1542"/>
      <c r="FO2" s="1542"/>
      <c r="FP2" s="1542"/>
      <c r="FQ2" s="1542"/>
      <c r="FR2" s="1542"/>
      <c r="FS2" s="1542"/>
      <c r="FT2" s="1542"/>
      <c r="FU2" s="1542"/>
      <c r="FV2" s="1542"/>
      <c r="FW2" s="1542"/>
      <c r="FX2" s="1542"/>
      <c r="FY2" s="1542"/>
      <c r="FZ2" s="1542"/>
      <c r="GA2" s="1542"/>
      <c r="GB2" s="1542"/>
      <c r="GC2" s="1542"/>
      <c r="GD2" s="1542"/>
      <c r="GE2" s="1542"/>
      <c r="GF2" s="1542"/>
      <c r="GG2" s="1542"/>
      <c r="GH2" s="1542"/>
      <c r="GI2" s="1542"/>
      <c r="GJ2" s="1542"/>
      <c r="GK2" s="1542"/>
      <c r="GL2" s="1542"/>
      <c r="GM2" s="1542"/>
      <c r="GN2" s="1542"/>
      <c r="GO2" s="1542"/>
      <c r="GP2" s="1542"/>
      <c r="GQ2" s="1542"/>
      <c r="GR2" s="1542"/>
      <c r="GS2" s="1542"/>
      <c r="GT2" s="1542"/>
      <c r="GU2" s="1542"/>
      <c r="GV2" s="1542"/>
      <c r="GW2" s="1542"/>
      <c r="GX2" s="1542"/>
      <c r="GY2" s="1542"/>
      <c r="GZ2" s="1542"/>
      <c r="HA2" s="1542"/>
      <c r="HB2" s="1542"/>
      <c r="HC2" s="1542"/>
      <c r="HD2" s="1542"/>
      <c r="HE2" s="1542"/>
      <c r="HF2" s="1542"/>
      <c r="HG2" s="1542"/>
      <c r="HH2" s="1542"/>
      <c r="HI2" s="1542"/>
      <c r="HJ2" s="1542"/>
      <c r="HK2" s="1542"/>
      <c r="HL2" s="1542"/>
      <c r="HM2" s="1542"/>
      <c r="HN2" s="1542"/>
      <c r="HO2" s="1542"/>
      <c r="HP2" s="1542"/>
      <c r="HQ2" s="1542"/>
      <c r="HR2" s="1542"/>
      <c r="HS2" s="1542"/>
      <c r="HT2" s="1542"/>
      <c r="HU2" s="1542"/>
      <c r="HV2" s="1542"/>
      <c r="HW2" s="1542"/>
      <c r="HX2" s="1542"/>
      <c r="HY2" s="1542"/>
      <c r="HZ2" s="1542"/>
      <c r="IA2" s="1542"/>
      <c r="IB2" s="1542"/>
      <c r="IC2" s="1542"/>
      <c r="ID2" s="1542"/>
      <c r="IE2" s="1542"/>
      <c r="IF2" s="1542"/>
      <c r="IG2" s="1542"/>
      <c r="IH2" s="1542"/>
      <c r="II2" s="1542"/>
      <c r="IJ2" s="1542"/>
      <c r="IK2" s="1542"/>
      <c r="IL2" s="1542"/>
      <c r="IM2" s="1542"/>
      <c r="IN2" s="1542"/>
      <c r="IO2" s="1542"/>
      <c r="IP2" s="1542"/>
    </row>
    <row r="3" spans="1:12" s="1543" customFormat="1" ht="18" customHeight="1">
      <c r="A3" s="1539"/>
      <c r="B3" s="2024" t="s">
        <v>14</v>
      </c>
      <c r="C3" s="2024"/>
      <c r="D3" s="2024"/>
      <c r="E3" s="2024"/>
      <c r="F3" s="2024"/>
      <c r="G3" s="2024"/>
      <c r="H3" s="2024"/>
      <c r="I3" s="2024"/>
      <c r="J3" s="2024"/>
      <c r="K3" s="2024"/>
      <c r="L3" s="2024"/>
    </row>
    <row r="4" spans="1:12" s="1543" customFormat="1" ht="18" customHeight="1">
      <c r="A4" s="1539"/>
      <c r="B4" s="2025" t="s">
        <v>898</v>
      </c>
      <c r="C4" s="2025"/>
      <c r="D4" s="2025"/>
      <c r="E4" s="2025"/>
      <c r="F4" s="2025"/>
      <c r="G4" s="2025"/>
      <c r="H4" s="2025"/>
      <c r="I4" s="2025"/>
      <c r="J4" s="2025"/>
      <c r="K4" s="2025"/>
      <c r="L4" s="2025"/>
    </row>
    <row r="5" ht="18" customHeight="1">
      <c r="L5" s="1549" t="s">
        <v>0</v>
      </c>
    </row>
    <row r="6" spans="1:250" s="101" customFormat="1" ht="18" customHeight="1" thickBot="1">
      <c r="A6" s="1539"/>
      <c r="B6" s="1550" t="s">
        <v>1</v>
      </c>
      <c r="C6" s="1551" t="s">
        <v>3</v>
      </c>
      <c r="D6" s="1551" t="s">
        <v>2</v>
      </c>
      <c r="E6" s="1551" t="s">
        <v>4</v>
      </c>
      <c r="F6" s="1551" t="s">
        <v>5</v>
      </c>
      <c r="G6" s="1551" t="s">
        <v>15</v>
      </c>
      <c r="H6" s="1551" t="s">
        <v>16</v>
      </c>
      <c r="I6" s="1551" t="s">
        <v>29</v>
      </c>
      <c r="J6" s="1551" t="s">
        <v>22</v>
      </c>
      <c r="K6" s="1551" t="s">
        <v>34</v>
      </c>
      <c r="L6" s="1551" t="s">
        <v>35</v>
      </c>
      <c r="M6" s="1539"/>
      <c r="N6" s="1539"/>
      <c r="O6" s="1539"/>
      <c r="P6" s="1539"/>
      <c r="Q6" s="1539"/>
      <c r="R6" s="1539"/>
      <c r="S6" s="1539"/>
      <c r="T6" s="1539"/>
      <c r="U6" s="1539"/>
      <c r="V6" s="1539"/>
      <c r="W6" s="1539"/>
      <c r="X6" s="1539"/>
      <c r="Y6" s="1539"/>
      <c r="Z6" s="1539"/>
      <c r="AA6" s="1539"/>
      <c r="AB6" s="1539"/>
      <c r="AC6" s="1539"/>
      <c r="AD6" s="1539"/>
      <c r="AE6" s="1539"/>
      <c r="AF6" s="1539"/>
      <c r="AG6" s="1539"/>
      <c r="AH6" s="1539"/>
      <c r="AI6" s="1539"/>
      <c r="AJ6" s="1539"/>
      <c r="AK6" s="1539"/>
      <c r="AL6" s="1539"/>
      <c r="AM6" s="1539"/>
      <c r="AN6" s="1539"/>
      <c r="AO6" s="1539"/>
      <c r="AP6" s="1539"/>
      <c r="AQ6" s="1539"/>
      <c r="AR6" s="1539"/>
      <c r="AS6" s="1539"/>
      <c r="AT6" s="1539"/>
      <c r="AU6" s="1539"/>
      <c r="AV6" s="1539"/>
      <c r="AW6" s="1539"/>
      <c r="AX6" s="1539"/>
      <c r="AY6" s="1539"/>
      <c r="AZ6" s="1539"/>
      <c r="BA6" s="1539"/>
      <c r="BB6" s="1539"/>
      <c r="BC6" s="1539"/>
      <c r="BD6" s="1539"/>
      <c r="BE6" s="1539"/>
      <c r="BF6" s="1539"/>
      <c r="BG6" s="1539"/>
      <c r="BH6" s="1539"/>
      <c r="BI6" s="1539"/>
      <c r="BJ6" s="1539"/>
      <c r="BK6" s="1539"/>
      <c r="BL6" s="1539"/>
      <c r="BM6" s="1539"/>
      <c r="BN6" s="1539"/>
      <c r="BO6" s="1539"/>
      <c r="BP6" s="1539"/>
      <c r="BQ6" s="1539"/>
      <c r="BR6" s="1539"/>
      <c r="BS6" s="1539"/>
      <c r="BT6" s="1539"/>
      <c r="BU6" s="1539"/>
      <c r="BV6" s="1539"/>
      <c r="BW6" s="1539"/>
      <c r="BX6" s="1539"/>
      <c r="BY6" s="1539"/>
      <c r="BZ6" s="1539"/>
      <c r="CA6" s="1539"/>
      <c r="CB6" s="1539"/>
      <c r="CC6" s="1539"/>
      <c r="CD6" s="1539"/>
      <c r="CE6" s="1539"/>
      <c r="CF6" s="1539"/>
      <c r="CG6" s="1539"/>
      <c r="CH6" s="1539"/>
      <c r="CI6" s="1539"/>
      <c r="CJ6" s="1539"/>
      <c r="CK6" s="1539"/>
      <c r="CL6" s="1539"/>
      <c r="CM6" s="1539"/>
      <c r="CN6" s="1539"/>
      <c r="CO6" s="1539"/>
      <c r="CP6" s="1539"/>
      <c r="CQ6" s="1539"/>
      <c r="CR6" s="1539"/>
      <c r="CS6" s="1539"/>
      <c r="CT6" s="1539"/>
      <c r="CU6" s="1539"/>
      <c r="CV6" s="1539"/>
      <c r="CW6" s="1539"/>
      <c r="CX6" s="1539"/>
      <c r="CY6" s="1539"/>
      <c r="CZ6" s="1539"/>
      <c r="DA6" s="1539"/>
      <c r="DB6" s="1539"/>
      <c r="DC6" s="1539"/>
      <c r="DD6" s="1539"/>
      <c r="DE6" s="1539"/>
      <c r="DF6" s="1539"/>
      <c r="DG6" s="1539"/>
      <c r="DH6" s="1539"/>
      <c r="DI6" s="1539"/>
      <c r="DJ6" s="1539"/>
      <c r="DK6" s="1539"/>
      <c r="DL6" s="1539"/>
      <c r="DM6" s="1539"/>
      <c r="DN6" s="1539"/>
      <c r="DO6" s="1539"/>
      <c r="DP6" s="1539"/>
      <c r="DQ6" s="1539"/>
      <c r="DR6" s="1539"/>
      <c r="DS6" s="1539"/>
      <c r="DT6" s="1539"/>
      <c r="DU6" s="1539"/>
      <c r="DV6" s="1539"/>
      <c r="DW6" s="1539"/>
      <c r="DX6" s="1539"/>
      <c r="DY6" s="1539"/>
      <c r="DZ6" s="1539"/>
      <c r="EA6" s="1539"/>
      <c r="EB6" s="1539"/>
      <c r="EC6" s="1539"/>
      <c r="ED6" s="1539"/>
      <c r="EE6" s="1539"/>
      <c r="EF6" s="1539"/>
      <c r="EG6" s="1539"/>
      <c r="EH6" s="1539"/>
      <c r="EI6" s="1539"/>
      <c r="EJ6" s="1539"/>
      <c r="EK6" s="1539"/>
      <c r="EL6" s="1539"/>
      <c r="EM6" s="1539"/>
      <c r="EN6" s="1539"/>
      <c r="EO6" s="1539"/>
      <c r="EP6" s="1539"/>
      <c r="EQ6" s="1539"/>
      <c r="ER6" s="1539"/>
      <c r="ES6" s="1539"/>
      <c r="ET6" s="1539"/>
      <c r="EU6" s="1539"/>
      <c r="EV6" s="1539"/>
      <c r="EW6" s="1539"/>
      <c r="EX6" s="1539"/>
      <c r="EY6" s="1539"/>
      <c r="EZ6" s="1539"/>
      <c r="FA6" s="1539"/>
      <c r="FB6" s="1539"/>
      <c r="FC6" s="1539"/>
      <c r="FD6" s="1539"/>
      <c r="FE6" s="1539"/>
      <c r="FF6" s="1539"/>
      <c r="FG6" s="1539"/>
      <c r="FH6" s="1539"/>
      <c r="FI6" s="1539"/>
      <c r="FJ6" s="1539"/>
      <c r="FK6" s="1539"/>
      <c r="FL6" s="1539"/>
      <c r="FM6" s="1539"/>
      <c r="FN6" s="1539"/>
      <c r="FO6" s="1539"/>
      <c r="FP6" s="1539"/>
      <c r="FQ6" s="1539"/>
      <c r="FR6" s="1539"/>
      <c r="FS6" s="1539"/>
      <c r="FT6" s="1539"/>
      <c r="FU6" s="1539"/>
      <c r="FV6" s="1539"/>
      <c r="FW6" s="1539"/>
      <c r="FX6" s="1539"/>
      <c r="FY6" s="1539"/>
      <c r="FZ6" s="1539"/>
      <c r="GA6" s="1539"/>
      <c r="GB6" s="1539"/>
      <c r="GC6" s="1539"/>
      <c r="GD6" s="1539"/>
      <c r="GE6" s="1539"/>
      <c r="GF6" s="1539"/>
      <c r="GG6" s="1539"/>
      <c r="GH6" s="1539"/>
      <c r="GI6" s="1539"/>
      <c r="GJ6" s="1539"/>
      <c r="GK6" s="1539"/>
      <c r="GL6" s="1539"/>
      <c r="GM6" s="1539"/>
      <c r="GN6" s="1539"/>
      <c r="GO6" s="1539"/>
      <c r="GP6" s="1539"/>
      <c r="GQ6" s="1539"/>
      <c r="GR6" s="1539"/>
      <c r="GS6" s="1539"/>
      <c r="GT6" s="1539"/>
      <c r="GU6" s="1539"/>
      <c r="GV6" s="1539"/>
      <c r="GW6" s="1539"/>
      <c r="GX6" s="1539"/>
      <c r="GY6" s="1539"/>
      <c r="GZ6" s="1539"/>
      <c r="HA6" s="1539"/>
      <c r="HB6" s="1539"/>
      <c r="HC6" s="1539"/>
      <c r="HD6" s="1539"/>
      <c r="HE6" s="1539"/>
      <c r="HF6" s="1539"/>
      <c r="HG6" s="1539"/>
      <c r="HH6" s="1539"/>
      <c r="HI6" s="1539"/>
      <c r="HJ6" s="1539"/>
      <c r="HK6" s="1539"/>
      <c r="HL6" s="1539"/>
      <c r="HM6" s="1539"/>
      <c r="HN6" s="1539"/>
      <c r="HO6" s="1539"/>
      <c r="HP6" s="1539"/>
      <c r="HQ6" s="1539"/>
      <c r="HR6" s="1539"/>
      <c r="HS6" s="1539"/>
      <c r="HT6" s="1539"/>
      <c r="HU6" s="1539"/>
      <c r="HV6" s="1539"/>
      <c r="HW6" s="1539"/>
      <c r="HX6" s="1539"/>
      <c r="HY6" s="1539"/>
      <c r="HZ6" s="1539"/>
      <c r="IA6" s="1539"/>
      <c r="IB6" s="1539"/>
      <c r="IC6" s="1539"/>
      <c r="ID6" s="1539"/>
      <c r="IE6" s="1539"/>
      <c r="IF6" s="1539"/>
      <c r="IG6" s="1539"/>
      <c r="IH6" s="1539"/>
      <c r="II6" s="1539"/>
      <c r="IJ6" s="1539"/>
      <c r="IK6" s="1539"/>
      <c r="IL6" s="1539"/>
      <c r="IM6" s="1539"/>
      <c r="IN6" s="1539"/>
      <c r="IO6" s="1539"/>
      <c r="IP6" s="1539"/>
    </row>
    <row r="7" spans="2:12" ht="30" customHeight="1">
      <c r="B7" s="2006" t="s">
        <v>18</v>
      </c>
      <c r="C7" s="2009" t="s">
        <v>19</v>
      </c>
      <c r="D7" s="2012" t="s">
        <v>6</v>
      </c>
      <c r="E7" s="1986" t="s">
        <v>21</v>
      </c>
      <c r="F7" s="1986" t="s">
        <v>513</v>
      </c>
      <c r="G7" s="2021" t="s">
        <v>847</v>
      </c>
      <c r="H7" s="2018" t="s">
        <v>276</v>
      </c>
      <c r="I7" s="2029" t="s">
        <v>536</v>
      </c>
      <c r="J7" s="2029"/>
      <c r="K7" s="2030"/>
      <c r="L7" s="2003" t="s">
        <v>589</v>
      </c>
    </row>
    <row r="8" spans="2:12" ht="45" customHeight="1">
      <c r="B8" s="2007"/>
      <c r="C8" s="2010"/>
      <c r="D8" s="2013"/>
      <c r="E8" s="1987"/>
      <c r="F8" s="1987"/>
      <c r="G8" s="2022"/>
      <c r="H8" s="2019"/>
      <c r="I8" s="1548" t="s">
        <v>36</v>
      </c>
      <c r="J8" s="1706" t="s">
        <v>148</v>
      </c>
      <c r="K8" s="2016" t="s">
        <v>115</v>
      </c>
      <c r="L8" s="2004"/>
    </row>
    <row r="9" spans="2:12" ht="53.25" customHeight="1" thickBot="1">
      <c r="B9" s="2008"/>
      <c r="C9" s="2011"/>
      <c r="D9" s="2014"/>
      <c r="E9" s="1988"/>
      <c r="F9" s="1988"/>
      <c r="G9" s="2023"/>
      <c r="H9" s="2020"/>
      <c r="I9" s="718" t="s">
        <v>39</v>
      </c>
      <c r="J9" s="541" t="s">
        <v>214</v>
      </c>
      <c r="K9" s="2017"/>
      <c r="L9" s="2005"/>
    </row>
    <row r="10" spans="1:12" ht="23.25" customHeight="1">
      <c r="A10" s="1552">
        <v>1</v>
      </c>
      <c r="B10" s="717">
        <v>18</v>
      </c>
      <c r="C10" s="709" t="s">
        <v>848</v>
      </c>
      <c r="D10" s="1537"/>
      <c r="E10" s="513"/>
      <c r="F10" s="531"/>
      <c r="G10" s="1292"/>
      <c r="H10" s="745"/>
      <c r="I10" s="719"/>
      <c r="J10" s="542"/>
      <c r="K10" s="543"/>
      <c r="L10" s="532"/>
    </row>
    <row r="11" spans="1:12" ht="22.5" customHeight="1">
      <c r="A11" s="1552">
        <v>2</v>
      </c>
      <c r="B11" s="533"/>
      <c r="C11" s="534">
        <v>1</v>
      </c>
      <c r="D11" s="1525" t="s">
        <v>849</v>
      </c>
      <c r="E11" s="535">
        <f>F11+G11+K13+L11</f>
        <v>11252</v>
      </c>
      <c r="F11" s="536">
        <v>9999</v>
      </c>
      <c r="G11" s="1293"/>
      <c r="H11" s="746" t="s">
        <v>23</v>
      </c>
      <c r="I11" s="720"/>
      <c r="J11" s="544"/>
      <c r="K11" s="545"/>
      <c r="L11" s="537"/>
    </row>
    <row r="12" spans="1:12" ht="18" customHeight="1">
      <c r="A12" s="1552">
        <v>3</v>
      </c>
      <c r="B12" s="533"/>
      <c r="C12" s="534"/>
      <c r="D12" s="1707" t="s">
        <v>283</v>
      </c>
      <c r="E12" s="535"/>
      <c r="F12" s="536"/>
      <c r="G12" s="1293"/>
      <c r="H12" s="746"/>
      <c r="I12" s="720"/>
      <c r="J12" s="1269">
        <v>1253</v>
      </c>
      <c r="K12" s="1270">
        <f>SUM(I12:J12)</f>
        <v>1253</v>
      </c>
      <c r="L12" s="537"/>
    </row>
    <row r="13" spans="1:12" ht="18" customHeight="1">
      <c r="A13" s="1552">
        <v>4</v>
      </c>
      <c r="B13" s="533"/>
      <c r="C13" s="534"/>
      <c r="D13" s="260" t="s">
        <v>757</v>
      </c>
      <c r="E13" s="535"/>
      <c r="F13" s="536"/>
      <c r="G13" s="1293"/>
      <c r="H13" s="746"/>
      <c r="I13" s="720"/>
      <c r="J13" s="1350">
        <v>1253</v>
      </c>
      <c r="K13" s="1446">
        <f>SUM(I13:J13)</f>
        <v>1253</v>
      </c>
      <c r="L13" s="537"/>
    </row>
    <row r="14" spans="1:12" ht="18" customHeight="1">
      <c r="A14" s="1552">
        <v>5</v>
      </c>
      <c r="B14" s="533"/>
      <c r="C14" s="534"/>
      <c r="D14" s="1092" t="s">
        <v>893</v>
      </c>
      <c r="E14" s="535"/>
      <c r="F14" s="536"/>
      <c r="G14" s="1293"/>
      <c r="H14" s="746"/>
      <c r="I14" s="720"/>
      <c r="J14" s="1716">
        <v>0</v>
      </c>
      <c r="K14" s="1767">
        <f>SUM(I14:J14)</f>
        <v>0</v>
      </c>
      <c r="L14" s="537"/>
    </row>
    <row r="15" spans="1:12" ht="33" customHeight="1">
      <c r="A15" s="1552">
        <v>7</v>
      </c>
      <c r="B15" s="533"/>
      <c r="C15" s="538">
        <v>2</v>
      </c>
      <c r="D15" s="1524" t="s">
        <v>850</v>
      </c>
      <c r="E15" s="535">
        <f>F15+G15+K17+L15</f>
        <v>20000</v>
      </c>
      <c r="F15" s="536"/>
      <c r="G15" s="1293"/>
      <c r="H15" s="746" t="s">
        <v>23</v>
      </c>
      <c r="I15" s="720"/>
      <c r="J15" s="544"/>
      <c r="K15" s="545"/>
      <c r="L15" s="537"/>
    </row>
    <row r="16" spans="1:12" ht="18" customHeight="1">
      <c r="A16" s="1552">
        <v>8</v>
      </c>
      <c r="B16" s="1553"/>
      <c r="C16" s="538"/>
      <c r="D16" s="1707" t="s">
        <v>283</v>
      </c>
      <c r="E16" s="535"/>
      <c r="F16" s="536"/>
      <c r="G16" s="1554"/>
      <c r="H16" s="746"/>
      <c r="I16" s="720"/>
      <c r="J16" s="1269">
        <v>20000</v>
      </c>
      <c r="K16" s="1270">
        <f>SUM(I16:J16)</f>
        <v>20000</v>
      </c>
      <c r="L16" s="537"/>
    </row>
    <row r="17" spans="1:12" ht="18" customHeight="1">
      <c r="A17" s="1552">
        <v>9</v>
      </c>
      <c r="B17" s="1553"/>
      <c r="C17" s="538"/>
      <c r="D17" s="260" t="s">
        <v>757</v>
      </c>
      <c r="E17" s="535"/>
      <c r="F17" s="536"/>
      <c r="G17" s="1554"/>
      <c r="H17" s="746"/>
      <c r="I17" s="720"/>
      <c r="J17" s="1350">
        <v>20000</v>
      </c>
      <c r="K17" s="1446">
        <f>SUM(I17:J17)</f>
        <v>20000</v>
      </c>
      <c r="L17" s="537"/>
    </row>
    <row r="18" spans="1:12" ht="18" customHeight="1">
      <c r="A18" s="1552">
        <v>10</v>
      </c>
      <c r="B18" s="1553"/>
      <c r="C18" s="538"/>
      <c r="D18" s="1092" t="s">
        <v>893</v>
      </c>
      <c r="E18" s="535"/>
      <c r="F18" s="536"/>
      <c r="G18" s="1554"/>
      <c r="H18" s="746"/>
      <c r="I18" s="720"/>
      <c r="J18" s="1716">
        <v>0</v>
      </c>
      <c r="K18" s="1767">
        <f>SUM(I18:J18)</f>
        <v>0</v>
      </c>
      <c r="L18" s="537"/>
    </row>
    <row r="19" spans="1:12" ht="22.5" customHeight="1">
      <c r="A19" s="1552">
        <v>12</v>
      </c>
      <c r="B19" s="1553"/>
      <c r="C19" s="534">
        <v>3</v>
      </c>
      <c r="D19" s="1524" t="s">
        <v>875</v>
      </c>
      <c r="E19" s="535">
        <f>F19+G19+K20+L20</f>
        <v>2500</v>
      </c>
      <c r="F19" s="536"/>
      <c r="G19" s="1554"/>
      <c r="H19" s="746" t="s">
        <v>22</v>
      </c>
      <c r="I19" s="720"/>
      <c r="J19" s="544"/>
      <c r="K19" s="545"/>
      <c r="L19" s="537"/>
    </row>
    <row r="20" spans="1:12" ht="19.5" customHeight="1">
      <c r="A20" s="1552">
        <v>13</v>
      </c>
      <c r="B20" s="1553"/>
      <c r="C20" s="534"/>
      <c r="D20" s="260" t="s">
        <v>757</v>
      </c>
      <c r="E20" s="535"/>
      <c r="F20" s="536"/>
      <c r="G20" s="1554"/>
      <c r="H20" s="746"/>
      <c r="I20" s="720"/>
      <c r="J20" s="1350">
        <v>2500</v>
      </c>
      <c r="K20" s="1446">
        <f>SUM(I20:J20)</f>
        <v>2500</v>
      </c>
      <c r="L20" s="537"/>
    </row>
    <row r="21" spans="1:12" ht="18" customHeight="1">
      <c r="A21" s="1552">
        <v>14</v>
      </c>
      <c r="B21" s="1553"/>
      <c r="C21" s="538"/>
      <c r="D21" s="1092" t="s">
        <v>892</v>
      </c>
      <c r="E21" s="535"/>
      <c r="F21" s="536"/>
      <c r="G21" s="1554"/>
      <c r="H21" s="746"/>
      <c r="I21" s="720"/>
      <c r="J21" s="1716">
        <v>0</v>
      </c>
      <c r="K21" s="1767">
        <f>SUM(I21:J21)</f>
        <v>0</v>
      </c>
      <c r="L21" s="537"/>
    </row>
    <row r="22" spans="1:12" ht="22.5" customHeight="1">
      <c r="A22" s="1552">
        <v>16</v>
      </c>
      <c r="B22" s="1553"/>
      <c r="C22" s="534">
        <v>4</v>
      </c>
      <c r="D22" s="1524" t="s">
        <v>844</v>
      </c>
      <c r="E22" s="535">
        <f>F22+G22+K23+L23</f>
        <v>1500</v>
      </c>
      <c r="F22" s="536"/>
      <c r="G22" s="1554"/>
      <c r="H22" s="746" t="s">
        <v>23</v>
      </c>
      <c r="I22" s="720"/>
      <c r="J22" s="544"/>
      <c r="K22" s="545"/>
      <c r="L22" s="537"/>
    </row>
    <row r="23" spans="1:12" ht="19.5" customHeight="1">
      <c r="A23" s="1552">
        <v>17</v>
      </c>
      <c r="B23" s="1553"/>
      <c r="C23" s="534"/>
      <c r="D23" s="260" t="s">
        <v>757</v>
      </c>
      <c r="E23" s="535"/>
      <c r="F23" s="536"/>
      <c r="G23" s="1554"/>
      <c r="H23" s="746"/>
      <c r="I23" s="720"/>
      <c r="J23" s="1350">
        <v>1500</v>
      </c>
      <c r="K23" s="1555">
        <f>SUM(I23:J23)</f>
        <v>1500</v>
      </c>
      <c r="L23" s="537"/>
    </row>
    <row r="24" spans="1:12" ht="18" customHeight="1">
      <c r="A24" s="1552">
        <v>18</v>
      </c>
      <c r="B24" s="1553"/>
      <c r="C24" s="538"/>
      <c r="D24" s="1092" t="s">
        <v>892</v>
      </c>
      <c r="E24" s="535"/>
      <c r="F24" s="536"/>
      <c r="G24" s="1554"/>
      <c r="H24" s="746"/>
      <c r="I24" s="720"/>
      <c r="J24" s="1716">
        <v>0</v>
      </c>
      <c r="K24" s="1767">
        <f>SUM(I24:J24)</f>
        <v>0</v>
      </c>
      <c r="L24" s="537"/>
    </row>
    <row r="25" spans="1:12" ht="22.5" customHeight="1">
      <c r="A25" s="1552">
        <v>20</v>
      </c>
      <c r="B25" s="1553"/>
      <c r="C25" s="534">
        <v>5</v>
      </c>
      <c r="D25" s="1525" t="s">
        <v>874</v>
      </c>
      <c r="E25" s="535">
        <f>F25+G25+K26+L26</f>
        <v>2000</v>
      </c>
      <c r="F25" s="536"/>
      <c r="G25" s="1556"/>
      <c r="H25" s="1557" t="s">
        <v>22</v>
      </c>
      <c r="I25" s="544"/>
      <c r="J25" s="1350"/>
      <c r="K25" s="1558"/>
      <c r="L25" s="1016"/>
    </row>
    <row r="26" spans="1:12" ht="19.5" customHeight="1">
      <c r="A26" s="1552">
        <v>21</v>
      </c>
      <c r="B26" s="1553"/>
      <c r="C26" s="534"/>
      <c r="D26" s="260" t="s">
        <v>757</v>
      </c>
      <c r="E26" s="535"/>
      <c r="F26" s="536"/>
      <c r="G26" s="1556"/>
      <c r="H26" s="1557"/>
      <c r="I26" s="544"/>
      <c r="J26" s="1350">
        <v>2000</v>
      </c>
      <c r="K26" s="1555">
        <f>SUM(I26:J26)</f>
        <v>2000</v>
      </c>
      <c r="L26" s="1016"/>
    </row>
    <row r="27" spans="1:12" ht="18" customHeight="1">
      <c r="A27" s="1552">
        <v>22</v>
      </c>
      <c r="B27" s="1553"/>
      <c r="C27" s="538"/>
      <c r="D27" s="1092" t="s">
        <v>892</v>
      </c>
      <c r="E27" s="535"/>
      <c r="F27" s="536"/>
      <c r="G27" s="1556"/>
      <c r="H27" s="1557"/>
      <c r="I27" s="544"/>
      <c r="J27" s="1716">
        <v>0</v>
      </c>
      <c r="K27" s="1767">
        <f>SUM(I27:J27)</f>
        <v>0</v>
      </c>
      <c r="L27" s="1016"/>
    </row>
    <row r="28" spans="1:12" ht="24.75" customHeight="1">
      <c r="A28" s="1552">
        <v>24</v>
      </c>
      <c r="B28" s="1553"/>
      <c r="C28" s="1559"/>
      <c r="D28" s="1560" t="s">
        <v>286</v>
      </c>
      <c r="E28" s="513"/>
      <c r="F28" s="531"/>
      <c r="G28" s="1554"/>
      <c r="H28" s="746" t="s">
        <v>22</v>
      </c>
      <c r="I28" s="720"/>
      <c r="J28" s="1350"/>
      <c r="K28" s="1446"/>
      <c r="L28" s="537"/>
    </row>
    <row r="29" spans="1:12" ht="22.5" customHeight="1">
      <c r="A29" s="1552">
        <v>25</v>
      </c>
      <c r="B29" s="1553"/>
      <c r="C29" s="1561">
        <v>6</v>
      </c>
      <c r="D29" s="1524" t="s">
        <v>884</v>
      </c>
      <c r="E29" s="535">
        <f>F29+G29+K30+L30</f>
        <v>2540</v>
      </c>
      <c r="F29" s="531"/>
      <c r="G29" s="1554"/>
      <c r="H29" s="746"/>
      <c r="I29" s="720"/>
      <c r="J29" s="1350"/>
      <c r="K29" s="1446"/>
      <c r="L29" s="537"/>
    </row>
    <row r="30" spans="1:12" ht="19.5" customHeight="1">
      <c r="A30" s="1552">
        <v>26</v>
      </c>
      <c r="B30" s="1553"/>
      <c r="C30" s="1561"/>
      <c r="D30" s="260" t="s">
        <v>757</v>
      </c>
      <c r="E30" s="513"/>
      <c r="F30" s="531"/>
      <c r="G30" s="1554"/>
      <c r="H30" s="746"/>
      <c r="I30" s="720"/>
      <c r="J30" s="1350">
        <v>2540</v>
      </c>
      <c r="K30" s="1446">
        <f>SUM(I30:J30)</f>
        <v>2540</v>
      </c>
      <c r="L30" s="537"/>
    </row>
    <row r="31" spans="1:12" ht="18" customHeight="1">
      <c r="A31" s="1552">
        <v>27</v>
      </c>
      <c r="B31" s="1553"/>
      <c r="C31" s="538"/>
      <c r="D31" s="1092" t="s">
        <v>892</v>
      </c>
      <c r="E31" s="513"/>
      <c r="F31" s="536"/>
      <c r="G31" s="1554"/>
      <c r="H31" s="746"/>
      <c r="I31" s="720"/>
      <c r="J31" s="1716">
        <v>0</v>
      </c>
      <c r="K31" s="1767">
        <f>SUM(I31:J31)</f>
        <v>0</v>
      </c>
      <c r="L31" s="537"/>
    </row>
    <row r="32" spans="1:12" ht="18" customHeight="1">
      <c r="A32" s="1552">
        <v>29</v>
      </c>
      <c r="B32" s="1553"/>
      <c r="C32" s="538"/>
      <c r="D32" s="1562" t="s">
        <v>877</v>
      </c>
      <c r="E32" s="513"/>
      <c r="F32" s="536"/>
      <c r="G32" s="1554"/>
      <c r="H32" s="746"/>
      <c r="I32" s="720"/>
      <c r="J32" s="1350"/>
      <c r="K32" s="1446"/>
      <c r="L32" s="537"/>
    </row>
    <row r="33" spans="1:12" ht="22.5" customHeight="1">
      <c r="A33" s="1552">
        <v>30</v>
      </c>
      <c r="B33" s="1553"/>
      <c r="C33" s="534">
        <v>7</v>
      </c>
      <c r="D33" s="1524" t="s">
        <v>878</v>
      </c>
      <c r="E33" s="535">
        <f>F33+G33+K34+L34</f>
        <v>3000</v>
      </c>
      <c r="F33" s="536"/>
      <c r="G33" s="1554"/>
      <c r="H33" s="746"/>
      <c r="I33" s="720"/>
      <c r="J33" s="1350"/>
      <c r="K33" s="1446"/>
      <c r="L33" s="537"/>
    </row>
    <row r="34" spans="1:12" ht="19.5" customHeight="1">
      <c r="A34" s="1552">
        <v>31</v>
      </c>
      <c r="B34" s="1553"/>
      <c r="C34" s="534"/>
      <c r="D34" s="260" t="s">
        <v>757</v>
      </c>
      <c r="E34" s="513"/>
      <c r="F34" s="536"/>
      <c r="G34" s="1554"/>
      <c r="H34" s="746"/>
      <c r="I34" s="720"/>
      <c r="J34" s="1350">
        <v>3000</v>
      </c>
      <c r="K34" s="1446">
        <f>SUM(I34:J34)</f>
        <v>3000</v>
      </c>
      <c r="L34" s="537"/>
    </row>
    <row r="35" spans="1:12" ht="18" customHeight="1">
      <c r="A35" s="1552">
        <v>32</v>
      </c>
      <c r="B35" s="1553"/>
      <c r="C35" s="538"/>
      <c r="D35" s="1092" t="s">
        <v>892</v>
      </c>
      <c r="E35" s="513"/>
      <c r="F35" s="536"/>
      <c r="G35" s="1554"/>
      <c r="H35" s="746"/>
      <c r="I35" s="720"/>
      <c r="J35" s="1716">
        <v>0</v>
      </c>
      <c r="K35" s="1767">
        <f>SUM(I35:J35)</f>
        <v>0</v>
      </c>
      <c r="L35" s="537"/>
    </row>
    <row r="36" spans="1:12" ht="24.75" customHeight="1">
      <c r="A36" s="1552">
        <v>34</v>
      </c>
      <c r="B36" s="1553"/>
      <c r="C36" s="538"/>
      <c r="D36" s="1560" t="s">
        <v>879</v>
      </c>
      <c r="E36" s="513"/>
      <c r="F36" s="536"/>
      <c r="G36" s="1554"/>
      <c r="H36" s="746" t="s">
        <v>22</v>
      </c>
      <c r="I36" s="720"/>
      <c r="J36" s="1350"/>
      <c r="K36" s="1446"/>
      <c r="L36" s="537"/>
    </row>
    <row r="37" spans="1:12" ht="22.5" customHeight="1">
      <c r="A37" s="1552">
        <v>35</v>
      </c>
      <c r="B37" s="1553"/>
      <c r="C37" s="534">
        <v>8</v>
      </c>
      <c r="D37" s="1524" t="s">
        <v>880</v>
      </c>
      <c r="E37" s="535">
        <f>F37+G37+K38+L38</f>
        <v>4500</v>
      </c>
      <c r="F37" s="536"/>
      <c r="G37" s="1554"/>
      <c r="H37" s="746"/>
      <c r="I37" s="720"/>
      <c r="J37" s="1350"/>
      <c r="K37" s="1446"/>
      <c r="L37" s="537"/>
    </row>
    <row r="38" spans="1:12" ht="19.5" customHeight="1">
      <c r="A38" s="1552">
        <v>36</v>
      </c>
      <c r="B38" s="1553"/>
      <c r="C38" s="534"/>
      <c r="D38" s="260" t="s">
        <v>757</v>
      </c>
      <c r="E38" s="513"/>
      <c r="F38" s="536"/>
      <c r="G38" s="1554"/>
      <c r="H38" s="746"/>
      <c r="I38" s="720"/>
      <c r="J38" s="1350">
        <v>4500</v>
      </c>
      <c r="K38" s="1446">
        <f>SUM(I38:J38)</f>
        <v>4500</v>
      </c>
      <c r="L38" s="537"/>
    </row>
    <row r="39" spans="1:12" ht="18" customHeight="1">
      <c r="A39" s="1552">
        <v>37</v>
      </c>
      <c r="B39" s="1553"/>
      <c r="C39" s="538"/>
      <c r="D39" s="1092" t="s">
        <v>892</v>
      </c>
      <c r="E39" s="513"/>
      <c r="F39" s="536"/>
      <c r="G39" s="1554"/>
      <c r="H39" s="746"/>
      <c r="I39" s="720"/>
      <c r="J39" s="1716">
        <v>0</v>
      </c>
      <c r="K39" s="1767">
        <f>SUM(I39:J39)</f>
        <v>0</v>
      </c>
      <c r="L39" s="537"/>
    </row>
    <row r="40" spans="1:12" ht="22.5" customHeight="1">
      <c r="A40" s="1552">
        <v>39</v>
      </c>
      <c r="B40" s="1553"/>
      <c r="C40" s="538"/>
      <c r="D40" s="1560" t="s">
        <v>377</v>
      </c>
      <c r="E40" s="513"/>
      <c r="F40" s="536"/>
      <c r="G40" s="1554"/>
      <c r="H40" s="746" t="s">
        <v>22</v>
      </c>
      <c r="I40" s="720"/>
      <c r="J40" s="1350"/>
      <c r="K40" s="1446"/>
      <c r="L40" s="537"/>
    </row>
    <row r="41" spans="1:12" ht="22.5" customHeight="1">
      <c r="A41" s="1552">
        <v>40</v>
      </c>
      <c r="B41" s="1553"/>
      <c r="C41" s="534">
        <v>9</v>
      </c>
      <c r="D41" s="1524" t="s">
        <v>881</v>
      </c>
      <c r="E41" s="535">
        <f>F41+G41+K42+L42</f>
        <v>5000</v>
      </c>
      <c r="F41" s="536"/>
      <c r="G41" s="1554"/>
      <c r="H41" s="746"/>
      <c r="I41" s="720"/>
      <c r="J41" s="1350"/>
      <c r="K41" s="1446"/>
      <c r="L41" s="537"/>
    </row>
    <row r="42" spans="1:12" ht="19.5" customHeight="1">
      <c r="A42" s="1552">
        <v>41</v>
      </c>
      <c r="B42" s="1553"/>
      <c r="C42" s="534"/>
      <c r="D42" s="260" t="s">
        <v>757</v>
      </c>
      <c r="E42" s="513"/>
      <c r="F42" s="536"/>
      <c r="G42" s="1554"/>
      <c r="H42" s="746"/>
      <c r="I42" s="720"/>
      <c r="J42" s="1350">
        <v>5000</v>
      </c>
      <c r="K42" s="1446">
        <f>SUM(I42:J42)</f>
        <v>5000</v>
      </c>
      <c r="L42" s="537"/>
    </row>
    <row r="43" spans="1:12" ht="18" customHeight="1">
      <c r="A43" s="1552">
        <v>42</v>
      </c>
      <c r="B43" s="1553"/>
      <c r="C43" s="538"/>
      <c r="D43" s="1092" t="s">
        <v>892</v>
      </c>
      <c r="E43" s="513"/>
      <c r="F43" s="536"/>
      <c r="G43" s="1554"/>
      <c r="H43" s="746"/>
      <c r="I43" s="720"/>
      <c r="J43" s="1716">
        <v>0</v>
      </c>
      <c r="K43" s="1767">
        <f>SUM(I43:J43)</f>
        <v>0</v>
      </c>
      <c r="L43" s="537"/>
    </row>
    <row r="44" spans="1:12" ht="22.5" customHeight="1">
      <c r="A44" s="1552">
        <v>44</v>
      </c>
      <c r="B44" s="1553"/>
      <c r="C44" s="538"/>
      <c r="D44" s="1560" t="s">
        <v>882</v>
      </c>
      <c r="E44" s="513"/>
      <c r="F44" s="536"/>
      <c r="G44" s="1554"/>
      <c r="H44" s="746" t="s">
        <v>22</v>
      </c>
      <c r="I44" s="720"/>
      <c r="J44" s="1350"/>
      <c r="K44" s="1446"/>
      <c r="L44" s="537"/>
    </row>
    <row r="45" spans="1:12" ht="22.5" customHeight="1">
      <c r="A45" s="1552">
        <v>45</v>
      </c>
      <c r="B45" s="1553"/>
      <c r="C45" s="534">
        <v>10</v>
      </c>
      <c r="D45" s="1524" t="s">
        <v>883</v>
      </c>
      <c r="E45" s="535">
        <f>F45+G45+K46+L46</f>
        <v>600</v>
      </c>
      <c r="F45" s="536"/>
      <c r="G45" s="1554"/>
      <c r="H45" s="746"/>
      <c r="I45" s="720"/>
      <c r="J45" s="1350"/>
      <c r="K45" s="1446"/>
      <c r="L45" s="537"/>
    </row>
    <row r="46" spans="1:12" ht="19.5" customHeight="1">
      <c r="A46" s="1552">
        <v>46</v>
      </c>
      <c r="B46" s="1553"/>
      <c r="C46" s="534"/>
      <c r="D46" s="260" t="s">
        <v>757</v>
      </c>
      <c r="E46" s="513"/>
      <c r="F46" s="536"/>
      <c r="G46" s="1554"/>
      <c r="H46" s="746"/>
      <c r="I46" s="720"/>
      <c r="J46" s="1350">
        <v>600</v>
      </c>
      <c r="K46" s="1446">
        <f>SUM(I46:J46)</f>
        <v>600</v>
      </c>
      <c r="L46" s="537"/>
    </row>
    <row r="47" spans="1:12" ht="18" customHeight="1">
      <c r="A47" s="1552">
        <v>47</v>
      </c>
      <c r="B47" s="1553"/>
      <c r="C47" s="538"/>
      <c r="D47" s="1092" t="s">
        <v>892</v>
      </c>
      <c r="E47" s="513"/>
      <c r="F47" s="536"/>
      <c r="G47" s="1554"/>
      <c r="H47" s="746"/>
      <c r="I47" s="720"/>
      <c r="J47" s="1716">
        <v>0</v>
      </c>
      <c r="K47" s="1767">
        <f>SUM(I47:J47)</f>
        <v>0</v>
      </c>
      <c r="L47" s="537"/>
    </row>
    <row r="48" spans="1:12" ht="22.5" customHeight="1">
      <c r="A48" s="1552">
        <v>49</v>
      </c>
      <c r="B48" s="1553"/>
      <c r="C48" s="538"/>
      <c r="D48" s="1560" t="s">
        <v>296</v>
      </c>
      <c r="E48" s="1563"/>
      <c r="F48" s="536"/>
      <c r="G48" s="1554"/>
      <c r="H48" s="746"/>
      <c r="I48" s="720"/>
      <c r="J48" s="1350"/>
      <c r="K48" s="1446"/>
      <c r="L48" s="537"/>
    </row>
    <row r="49" spans="1:12" ht="22.5" customHeight="1">
      <c r="A49" s="1552">
        <v>50</v>
      </c>
      <c r="B49" s="1553"/>
      <c r="C49" s="534">
        <v>11</v>
      </c>
      <c r="D49" s="1524" t="s">
        <v>876</v>
      </c>
      <c r="E49" s="535">
        <f>F49+G49+K50+L50</f>
        <v>20000</v>
      </c>
      <c r="F49" s="536"/>
      <c r="G49" s="1554"/>
      <c r="H49" s="746" t="s">
        <v>22</v>
      </c>
      <c r="I49" s="720"/>
      <c r="J49" s="544"/>
      <c r="K49" s="545"/>
      <c r="L49" s="537"/>
    </row>
    <row r="50" spans="1:12" ht="19.5" customHeight="1">
      <c r="A50" s="1552">
        <v>51</v>
      </c>
      <c r="B50" s="1553"/>
      <c r="C50" s="534"/>
      <c r="D50" s="260" t="s">
        <v>757</v>
      </c>
      <c r="E50" s="535"/>
      <c r="F50" s="536"/>
      <c r="G50" s="1554"/>
      <c r="H50" s="746"/>
      <c r="I50" s="720"/>
      <c r="J50" s="1350">
        <v>20000</v>
      </c>
      <c r="K50" s="1446">
        <f>SUM(I50:J50)</f>
        <v>20000</v>
      </c>
      <c r="L50" s="537"/>
    </row>
    <row r="51" spans="1:12" ht="18" customHeight="1" thickBot="1">
      <c r="A51" s="1552">
        <v>52</v>
      </c>
      <c r="B51" s="1553"/>
      <c r="C51" s="538"/>
      <c r="D51" s="1092" t="s">
        <v>892</v>
      </c>
      <c r="E51" s="535"/>
      <c r="F51" s="536"/>
      <c r="G51" s="1554"/>
      <c r="H51" s="746"/>
      <c r="I51" s="720"/>
      <c r="J51" s="1716">
        <v>0</v>
      </c>
      <c r="K51" s="1767">
        <f>SUM(I51:J51)</f>
        <v>0</v>
      </c>
      <c r="L51" s="537"/>
    </row>
    <row r="52" spans="1:12" ht="19.5" customHeight="1">
      <c r="A52" s="1552">
        <v>54</v>
      </c>
      <c r="B52" s="2031" t="s">
        <v>13</v>
      </c>
      <c r="C52" s="2032"/>
      <c r="D52" s="2032"/>
      <c r="E52" s="2032"/>
      <c r="F52" s="2032"/>
      <c r="G52" s="2033"/>
      <c r="H52" s="1564"/>
      <c r="I52" s="1565"/>
      <c r="J52" s="1565"/>
      <c r="K52" s="1566"/>
      <c r="L52" s="1567"/>
    </row>
    <row r="53" spans="1:12" ht="19.5" customHeight="1">
      <c r="A53" s="1552">
        <v>55</v>
      </c>
      <c r="B53" s="1568"/>
      <c r="C53" s="1569"/>
      <c r="D53" s="2034" t="s">
        <v>283</v>
      </c>
      <c r="E53" s="2034"/>
      <c r="F53" s="2034"/>
      <c r="G53" s="2035"/>
      <c r="H53" s="1570"/>
      <c r="I53" s="1571">
        <f>I16+I12</f>
        <v>0</v>
      </c>
      <c r="J53" s="1571">
        <f>J16+J12</f>
        <v>21253</v>
      </c>
      <c r="K53" s="1572">
        <f>SUM(I53:J53)</f>
        <v>21253</v>
      </c>
      <c r="L53" s="1573"/>
    </row>
    <row r="54" spans="1:12" ht="19.5" customHeight="1">
      <c r="A54" s="1552">
        <v>56</v>
      </c>
      <c r="B54" s="1568"/>
      <c r="C54" s="1569"/>
      <c r="D54" s="1819" t="s">
        <v>757</v>
      </c>
      <c r="E54" s="1992"/>
      <c r="F54" s="1992"/>
      <c r="G54" s="1993"/>
      <c r="H54" s="1570"/>
      <c r="I54" s="1350">
        <f>I17+I13+I20+I23+I26+I30+I34+I38+I42+I46+I50</f>
        <v>0</v>
      </c>
      <c r="J54" s="1350">
        <f>J17+J13+J20+J23+J26+J30+J34+J38+J42+J46+J50</f>
        <v>62893</v>
      </c>
      <c r="K54" s="1446">
        <f>SUM(I54:J54)</f>
        <v>62893</v>
      </c>
      <c r="L54" s="1573"/>
    </row>
    <row r="55" spans="1:12" ht="19.5" customHeight="1" thickBot="1">
      <c r="A55" s="1552">
        <v>57</v>
      </c>
      <c r="B55" s="1574"/>
      <c r="C55" s="1575"/>
      <c r="D55" s="2026" t="s">
        <v>893</v>
      </c>
      <c r="E55" s="2027"/>
      <c r="F55" s="2027"/>
      <c r="G55" s="2028"/>
      <c r="H55" s="1576"/>
      <c r="I55" s="1768">
        <f>I24+I18+I14+I21+I51+I47+I43+I39+I35+I31+I27</f>
        <v>0</v>
      </c>
      <c r="J55" s="1768">
        <f>J24+J18+J14+J21+J51+J47+J43+J39+J35+J31+J27</f>
        <v>0</v>
      </c>
      <c r="K55" s="1769">
        <f>SUM(I55:J55)</f>
        <v>0</v>
      </c>
      <c r="L55" s="1577"/>
    </row>
    <row r="56" spans="2:11" ht="18" customHeight="1">
      <c r="B56" s="1578" t="s">
        <v>26</v>
      </c>
      <c r="C56" s="1578"/>
      <c r="D56" s="1578"/>
      <c r="E56" s="1579"/>
      <c r="F56" s="1580"/>
      <c r="G56" s="1579"/>
      <c r="H56" s="1581"/>
      <c r="I56" s="1579"/>
      <c r="J56" s="1579"/>
      <c r="K56" s="1579"/>
    </row>
    <row r="57" spans="2:11" ht="18" customHeight="1">
      <c r="B57" s="1578" t="s">
        <v>27</v>
      </c>
      <c r="C57" s="1578"/>
      <c r="D57" s="1578"/>
      <c r="E57" s="1583"/>
      <c r="F57" s="1580"/>
      <c r="G57" s="1579"/>
      <c r="H57" s="1581"/>
      <c r="I57" s="1579"/>
      <c r="J57" s="1579"/>
      <c r="K57" s="1579"/>
    </row>
    <row r="58" spans="2:11" ht="18" customHeight="1">
      <c r="B58" s="1578" t="s">
        <v>28</v>
      </c>
      <c r="C58" s="1578"/>
      <c r="D58" s="1578"/>
      <c r="E58" s="1583"/>
      <c r="F58" s="1580"/>
      <c r="G58" s="1579"/>
      <c r="H58" s="1581"/>
      <c r="I58" s="1579"/>
      <c r="J58" s="1579"/>
      <c r="K58" s="1579"/>
    </row>
    <row r="59" spans="1:252" s="1547" customFormat="1" ht="15">
      <c r="A59" s="1539"/>
      <c r="B59" s="1544"/>
      <c r="C59" s="1545"/>
      <c r="D59" s="1546"/>
      <c r="H59" s="1548"/>
      <c r="L59" s="1582"/>
      <c r="M59" s="1540"/>
      <c r="N59" s="1540"/>
      <c r="O59" s="1540"/>
      <c r="P59" s="1540"/>
      <c r="Q59" s="1540"/>
      <c r="R59" s="1540"/>
      <c r="S59" s="1540"/>
      <c r="T59" s="1540"/>
      <c r="U59" s="1540"/>
      <c r="V59" s="1540"/>
      <c r="W59" s="1540"/>
      <c r="X59" s="1540"/>
      <c r="Y59" s="1540"/>
      <c r="Z59" s="1540"/>
      <c r="AA59" s="1540"/>
      <c r="AB59" s="1540"/>
      <c r="AC59" s="1540"/>
      <c r="AD59" s="1540"/>
      <c r="AE59" s="1540"/>
      <c r="AF59" s="1540"/>
      <c r="AG59" s="1540"/>
      <c r="AH59" s="1540"/>
      <c r="AI59" s="1540"/>
      <c r="AJ59" s="1540"/>
      <c r="AK59" s="1540"/>
      <c r="AL59" s="1540"/>
      <c r="AM59" s="1540"/>
      <c r="AN59" s="1540"/>
      <c r="AO59" s="1540"/>
      <c r="AP59" s="1540"/>
      <c r="AQ59" s="1540"/>
      <c r="AR59" s="1540"/>
      <c r="AS59" s="1540"/>
      <c r="AT59" s="1540"/>
      <c r="AU59" s="1540"/>
      <c r="AV59" s="1540"/>
      <c r="AW59" s="1540"/>
      <c r="AX59" s="1540"/>
      <c r="AY59" s="1540"/>
      <c r="AZ59" s="1540"/>
      <c r="BA59" s="1540"/>
      <c r="BB59" s="1540"/>
      <c r="BC59" s="1540"/>
      <c r="BD59" s="1540"/>
      <c r="BE59" s="1540"/>
      <c r="BF59" s="1540"/>
      <c r="BG59" s="1540"/>
      <c r="BH59" s="1540"/>
      <c r="BI59" s="1540"/>
      <c r="BJ59" s="1540"/>
      <c r="BK59" s="1540"/>
      <c r="BL59" s="1540"/>
      <c r="BM59" s="1540"/>
      <c r="BN59" s="1540"/>
      <c r="BO59" s="1540"/>
      <c r="BP59" s="1540"/>
      <c r="BQ59" s="1540"/>
      <c r="BR59" s="1540"/>
      <c r="BS59" s="1540"/>
      <c r="BT59" s="1540"/>
      <c r="BU59" s="1540"/>
      <c r="BV59" s="1540"/>
      <c r="BW59" s="1540"/>
      <c r="BX59" s="1540"/>
      <c r="BY59" s="1540"/>
      <c r="BZ59" s="1540"/>
      <c r="CA59" s="1540"/>
      <c r="CB59" s="1540"/>
      <c r="CC59" s="1540"/>
      <c r="CD59" s="1540"/>
      <c r="CE59" s="1540"/>
      <c r="CF59" s="1540"/>
      <c r="CG59" s="1540"/>
      <c r="CH59" s="1540"/>
      <c r="CI59" s="1540"/>
      <c r="CJ59" s="1540"/>
      <c r="CK59" s="1540"/>
      <c r="CL59" s="1540"/>
      <c r="CM59" s="1540"/>
      <c r="CN59" s="1540"/>
      <c r="CO59" s="1540"/>
      <c r="CP59" s="1540"/>
      <c r="CQ59" s="1540"/>
      <c r="CR59" s="1540"/>
      <c r="CS59" s="1540"/>
      <c r="CT59" s="1540"/>
      <c r="CU59" s="1540"/>
      <c r="CV59" s="1540"/>
      <c r="CW59" s="1540"/>
      <c r="CX59" s="1540"/>
      <c r="CY59" s="1540"/>
      <c r="CZ59" s="1540"/>
      <c r="DA59" s="1540"/>
      <c r="DB59" s="1540"/>
      <c r="DC59" s="1540"/>
      <c r="DD59" s="1540"/>
      <c r="DE59" s="1540"/>
      <c r="DF59" s="1540"/>
      <c r="DG59" s="1540"/>
      <c r="DH59" s="1540"/>
      <c r="DI59" s="1540"/>
      <c r="DJ59" s="1540"/>
      <c r="DK59" s="1540"/>
      <c r="DL59" s="1540"/>
      <c r="DM59" s="1540"/>
      <c r="DN59" s="1540"/>
      <c r="DO59" s="1540"/>
      <c r="DP59" s="1540"/>
      <c r="DQ59" s="1540"/>
      <c r="DR59" s="1540"/>
      <c r="DS59" s="1540"/>
      <c r="DT59" s="1540"/>
      <c r="DU59" s="1540"/>
      <c r="DV59" s="1540"/>
      <c r="DW59" s="1540"/>
      <c r="DX59" s="1540"/>
      <c r="DY59" s="1540"/>
      <c r="DZ59" s="1540"/>
      <c r="EA59" s="1540"/>
      <c r="EB59" s="1540"/>
      <c r="EC59" s="1540"/>
      <c r="ED59" s="1540"/>
      <c r="EE59" s="1540"/>
      <c r="EF59" s="1540"/>
      <c r="EG59" s="1540"/>
      <c r="EH59" s="1540"/>
      <c r="EI59" s="1540"/>
      <c r="EJ59" s="1540"/>
      <c r="EK59" s="1540"/>
      <c r="EL59" s="1540"/>
      <c r="EM59" s="1540"/>
      <c r="EN59" s="1540"/>
      <c r="EO59" s="1540"/>
      <c r="EP59" s="1540"/>
      <c r="EQ59" s="1540"/>
      <c r="ER59" s="1540"/>
      <c r="ES59" s="1540"/>
      <c r="ET59" s="1540"/>
      <c r="EU59" s="1540"/>
      <c r="EV59" s="1540"/>
      <c r="EW59" s="1540"/>
      <c r="EX59" s="1540"/>
      <c r="EY59" s="1540"/>
      <c r="EZ59" s="1540"/>
      <c r="FA59" s="1540"/>
      <c r="FB59" s="1540"/>
      <c r="FC59" s="1540"/>
      <c r="FD59" s="1540"/>
      <c r="FE59" s="1540"/>
      <c r="FF59" s="1540"/>
      <c r="FG59" s="1540"/>
      <c r="FH59" s="1540"/>
      <c r="FI59" s="1540"/>
      <c r="FJ59" s="1540"/>
      <c r="FK59" s="1540"/>
      <c r="FL59" s="1540"/>
      <c r="FM59" s="1540"/>
      <c r="FN59" s="1540"/>
      <c r="FO59" s="1540"/>
      <c r="FP59" s="1540"/>
      <c r="FQ59" s="1540"/>
      <c r="FR59" s="1540"/>
      <c r="FS59" s="1540"/>
      <c r="FT59" s="1540"/>
      <c r="FU59" s="1540"/>
      <c r="FV59" s="1540"/>
      <c r="FW59" s="1540"/>
      <c r="FX59" s="1540"/>
      <c r="FY59" s="1540"/>
      <c r="FZ59" s="1540"/>
      <c r="GA59" s="1540"/>
      <c r="GB59" s="1540"/>
      <c r="GC59" s="1540"/>
      <c r="GD59" s="1540"/>
      <c r="GE59" s="1540"/>
      <c r="GF59" s="1540"/>
      <c r="GG59" s="1540"/>
      <c r="GH59" s="1540"/>
      <c r="GI59" s="1540"/>
      <c r="GJ59" s="1540"/>
      <c r="GK59" s="1540"/>
      <c r="GL59" s="1540"/>
      <c r="GM59" s="1540"/>
      <c r="GN59" s="1540"/>
      <c r="GO59" s="1540"/>
      <c r="GP59" s="1540"/>
      <c r="GQ59" s="1540"/>
      <c r="GR59" s="1540"/>
      <c r="GS59" s="1540"/>
      <c r="GT59" s="1540"/>
      <c r="GU59" s="1540"/>
      <c r="GV59" s="1540"/>
      <c r="GW59" s="1540"/>
      <c r="GX59" s="1540"/>
      <c r="GY59" s="1540"/>
      <c r="GZ59" s="1540"/>
      <c r="HA59" s="1540"/>
      <c r="HB59" s="1540"/>
      <c r="HC59" s="1540"/>
      <c r="HD59" s="1540"/>
      <c r="HE59" s="1540"/>
      <c r="HF59" s="1540"/>
      <c r="HG59" s="1540"/>
      <c r="HH59" s="1540"/>
      <c r="HI59" s="1540"/>
      <c r="HJ59" s="1540"/>
      <c r="HK59" s="1540"/>
      <c r="HL59" s="1540"/>
      <c r="HM59" s="1540"/>
      <c r="HN59" s="1540"/>
      <c r="HO59" s="1540"/>
      <c r="HP59" s="1540"/>
      <c r="HQ59" s="1540"/>
      <c r="HR59" s="1540"/>
      <c r="HS59" s="1540"/>
      <c r="HT59" s="1540"/>
      <c r="HU59" s="1540"/>
      <c r="HV59" s="1540"/>
      <c r="HW59" s="1540"/>
      <c r="HX59" s="1540"/>
      <c r="HY59" s="1540"/>
      <c r="HZ59" s="1540"/>
      <c r="IA59" s="1540"/>
      <c r="IB59" s="1540"/>
      <c r="IC59" s="1540"/>
      <c r="ID59" s="1540"/>
      <c r="IE59" s="1540"/>
      <c r="IF59" s="1540"/>
      <c r="IG59" s="1540"/>
      <c r="IH59" s="1540"/>
      <c r="II59" s="1540"/>
      <c r="IJ59" s="1540"/>
      <c r="IK59" s="1540"/>
      <c r="IL59" s="1540"/>
      <c r="IM59" s="1540"/>
      <c r="IN59" s="1540"/>
      <c r="IO59" s="1540"/>
      <c r="IP59" s="1540"/>
      <c r="IQ59" s="1540"/>
      <c r="IR59" s="1540"/>
    </row>
  </sheetData>
  <sheetProtection/>
  <mergeCells count="19">
    <mergeCell ref="L7:L9"/>
    <mergeCell ref="K8:K9"/>
    <mergeCell ref="B52:G52"/>
    <mergeCell ref="D53:G53"/>
    <mergeCell ref="G7:G9"/>
    <mergeCell ref="D55:G55"/>
    <mergeCell ref="H7:H9"/>
    <mergeCell ref="I7:K7"/>
    <mergeCell ref="B7:B9"/>
    <mergeCell ref="C7:C9"/>
    <mergeCell ref="D7:D9"/>
    <mergeCell ref="E7:E9"/>
    <mergeCell ref="F7:F9"/>
    <mergeCell ref="D54:G54"/>
    <mergeCell ref="B1:M1"/>
    <mergeCell ref="I2:M2"/>
    <mergeCell ref="B2:D2"/>
    <mergeCell ref="B3:L3"/>
    <mergeCell ref="B4:L4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58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21"/>
  <sheetViews>
    <sheetView view="pageBreakPreview" zoomScale="85" zoomScaleSheetLayoutView="85" zoomScalePageLayoutView="0" workbookViewId="0" topLeftCell="A2">
      <selection activeCell="D103" sqref="D103"/>
    </sheetView>
  </sheetViews>
  <sheetFormatPr defaultColWidth="9.125" defaultRowHeight="12.75"/>
  <cols>
    <col min="1" max="1" width="4.75390625" style="547" customWidth="1"/>
    <col min="2" max="3" width="5.75390625" style="674" customWidth="1"/>
    <col min="4" max="4" width="62.75390625" style="326" customWidth="1"/>
    <col min="5" max="5" width="12.75390625" style="673" customWidth="1"/>
    <col min="6" max="7" width="10.75390625" style="673" customWidth="1"/>
    <col min="8" max="8" width="6.75390625" style="550" customWidth="1"/>
    <col min="9" max="14" width="14.875" style="673" customWidth="1"/>
    <col min="15" max="15" width="15.75390625" style="570" customWidth="1"/>
    <col min="16" max="16" width="13.875" style="673" customWidth="1"/>
    <col min="17" max="16384" width="9.125" style="326" customWidth="1"/>
  </cols>
  <sheetData>
    <row r="1" spans="2:16" ht="17.25">
      <c r="B1" s="1799" t="s">
        <v>962</v>
      </c>
      <c r="C1" s="1799"/>
      <c r="D1" s="1799"/>
      <c r="E1" s="1799"/>
      <c r="F1" s="1799"/>
      <c r="G1" s="1799"/>
      <c r="H1" s="1799"/>
      <c r="I1" s="1799"/>
      <c r="J1" s="1799"/>
      <c r="K1" s="1799"/>
      <c r="L1" s="1799"/>
      <c r="M1" s="1799"/>
      <c r="N1" s="1298"/>
      <c r="P1" s="1298"/>
    </row>
    <row r="2" spans="2:250" ht="18" customHeight="1">
      <c r="B2" s="1299"/>
      <c r="C2" s="1299"/>
      <c r="D2" s="1299"/>
      <c r="E2" s="466"/>
      <c r="F2" s="466"/>
      <c r="G2" s="466"/>
      <c r="H2" s="548"/>
      <c r="I2" s="1989"/>
      <c r="J2" s="1989"/>
      <c r="K2" s="1989"/>
      <c r="L2" s="1989"/>
      <c r="M2" s="1989"/>
      <c r="N2" s="1989"/>
      <c r="O2" s="1989"/>
      <c r="P2" s="198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549"/>
      <c r="AY2" s="549"/>
      <c r="AZ2" s="549"/>
      <c r="BA2" s="549"/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49"/>
      <c r="BM2" s="549"/>
      <c r="BN2" s="549"/>
      <c r="BO2" s="549"/>
      <c r="BP2" s="549"/>
      <c r="BQ2" s="549"/>
      <c r="BR2" s="549"/>
      <c r="BS2" s="549"/>
      <c r="BT2" s="549"/>
      <c r="BU2" s="549"/>
      <c r="BV2" s="549"/>
      <c r="BW2" s="549"/>
      <c r="BX2" s="549"/>
      <c r="BY2" s="549"/>
      <c r="BZ2" s="549"/>
      <c r="CA2" s="549"/>
      <c r="CB2" s="549"/>
      <c r="CC2" s="549"/>
      <c r="CD2" s="549"/>
      <c r="CE2" s="549"/>
      <c r="CF2" s="549"/>
      <c r="CG2" s="549"/>
      <c r="CH2" s="549"/>
      <c r="CI2" s="549"/>
      <c r="CJ2" s="549"/>
      <c r="CK2" s="549"/>
      <c r="CL2" s="549"/>
      <c r="CM2" s="549"/>
      <c r="CN2" s="549"/>
      <c r="CO2" s="549"/>
      <c r="CP2" s="549"/>
      <c r="CQ2" s="549"/>
      <c r="CR2" s="549"/>
      <c r="CS2" s="549"/>
      <c r="CT2" s="549"/>
      <c r="CU2" s="549"/>
      <c r="CV2" s="549"/>
      <c r="CW2" s="549"/>
      <c r="CX2" s="549"/>
      <c r="CY2" s="549"/>
      <c r="CZ2" s="549"/>
      <c r="DA2" s="549"/>
      <c r="DB2" s="549"/>
      <c r="DC2" s="549"/>
      <c r="DD2" s="549"/>
      <c r="DE2" s="549"/>
      <c r="DF2" s="549"/>
      <c r="DG2" s="549"/>
      <c r="DH2" s="549"/>
      <c r="DI2" s="549"/>
      <c r="DJ2" s="549"/>
      <c r="DK2" s="549"/>
      <c r="DL2" s="549"/>
      <c r="DM2" s="549"/>
      <c r="DN2" s="549"/>
      <c r="DO2" s="549"/>
      <c r="DP2" s="549"/>
      <c r="DQ2" s="549"/>
      <c r="DR2" s="549"/>
      <c r="DS2" s="549"/>
      <c r="DT2" s="549"/>
      <c r="DU2" s="549"/>
      <c r="DV2" s="549"/>
      <c r="DW2" s="549"/>
      <c r="DX2" s="549"/>
      <c r="DY2" s="549"/>
      <c r="DZ2" s="549"/>
      <c r="EA2" s="549"/>
      <c r="EB2" s="549"/>
      <c r="EC2" s="549"/>
      <c r="ED2" s="549"/>
      <c r="EE2" s="549"/>
      <c r="EF2" s="549"/>
      <c r="EG2" s="549"/>
      <c r="EH2" s="549"/>
      <c r="EI2" s="549"/>
      <c r="EJ2" s="549"/>
      <c r="EK2" s="549"/>
      <c r="EL2" s="549"/>
      <c r="EM2" s="549"/>
      <c r="EN2" s="549"/>
      <c r="EO2" s="549"/>
      <c r="EP2" s="549"/>
      <c r="EQ2" s="549"/>
      <c r="ER2" s="549"/>
      <c r="ES2" s="549"/>
      <c r="ET2" s="549"/>
      <c r="EU2" s="549"/>
      <c r="EV2" s="549"/>
      <c r="EW2" s="549"/>
      <c r="EX2" s="549"/>
      <c r="EY2" s="549"/>
      <c r="EZ2" s="549"/>
      <c r="FA2" s="549"/>
      <c r="FB2" s="549"/>
      <c r="FC2" s="549"/>
      <c r="FD2" s="549"/>
      <c r="FE2" s="549"/>
      <c r="FF2" s="549"/>
      <c r="FG2" s="549"/>
      <c r="FH2" s="549"/>
      <c r="FI2" s="549"/>
      <c r="FJ2" s="549"/>
      <c r="FK2" s="549"/>
      <c r="FL2" s="549"/>
      <c r="FM2" s="549"/>
      <c r="FN2" s="549"/>
      <c r="FO2" s="549"/>
      <c r="FP2" s="549"/>
      <c r="FQ2" s="549"/>
      <c r="FR2" s="549"/>
      <c r="FS2" s="549"/>
      <c r="FT2" s="549"/>
      <c r="FU2" s="549"/>
      <c r="FV2" s="549"/>
      <c r="FW2" s="549"/>
      <c r="FX2" s="549"/>
      <c r="FY2" s="549"/>
      <c r="FZ2" s="549"/>
      <c r="GA2" s="549"/>
      <c r="GB2" s="549"/>
      <c r="GC2" s="549"/>
      <c r="GD2" s="549"/>
      <c r="GE2" s="549"/>
      <c r="GF2" s="549"/>
      <c r="GG2" s="549"/>
      <c r="GH2" s="549"/>
      <c r="GI2" s="549"/>
      <c r="GJ2" s="549"/>
      <c r="GK2" s="549"/>
      <c r="GL2" s="549"/>
      <c r="GM2" s="549"/>
      <c r="GN2" s="549"/>
      <c r="GO2" s="549"/>
      <c r="GP2" s="549"/>
      <c r="GQ2" s="549"/>
      <c r="GR2" s="549"/>
      <c r="GS2" s="549"/>
      <c r="GT2" s="549"/>
      <c r="GU2" s="549"/>
      <c r="GV2" s="549"/>
      <c r="GW2" s="549"/>
      <c r="GX2" s="549"/>
      <c r="GY2" s="549"/>
      <c r="GZ2" s="549"/>
      <c r="HA2" s="549"/>
      <c r="HB2" s="549"/>
      <c r="HC2" s="549"/>
      <c r="HD2" s="549"/>
      <c r="HE2" s="549"/>
      <c r="HF2" s="549"/>
      <c r="HG2" s="549"/>
      <c r="HH2" s="549"/>
      <c r="HI2" s="549"/>
      <c r="HJ2" s="549"/>
      <c r="HK2" s="549"/>
      <c r="HL2" s="549"/>
      <c r="HM2" s="549"/>
      <c r="HN2" s="549"/>
      <c r="HO2" s="549"/>
      <c r="HP2" s="549"/>
      <c r="HQ2" s="549"/>
      <c r="HR2" s="549"/>
      <c r="HS2" s="549"/>
      <c r="HT2" s="549"/>
      <c r="HU2" s="549"/>
      <c r="HV2" s="549"/>
      <c r="HW2" s="549"/>
      <c r="HX2" s="549"/>
      <c r="HY2" s="549"/>
      <c r="HZ2" s="549"/>
      <c r="IA2" s="549"/>
      <c r="IB2" s="549"/>
      <c r="IC2" s="549"/>
      <c r="ID2" s="549"/>
      <c r="IE2" s="549"/>
      <c r="IF2" s="549"/>
      <c r="IG2" s="549"/>
      <c r="IH2" s="549"/>
      <c r="II2" s="549"/>
      <c r="IJ2" s="549"/>
      <c r="IK2" s="549"/>
      <c r="IL2" s="549"/>
      <c r="IM2" s="549"/>
      <c r="IN2" s="549"/>
      <c r="IO2" s="549"/>
      <c r="IP2" s="549"/>
    </row>
    <row r="3" spans="1:16" ht="24.75" customHeight="1">
      <c r="A3" s="1998" t="s">
        <v>14</v>
      </c>
      <c r="B3" s="1998"/>
      <c r="C3" s="1998"/>
      <c r="D3" s="1998"/>
      <c r="E3" s="1998"/>
      <c r="F3" s="1998"/>
      <c r="G3" s="1998"/>
      <c r="H3" s="1998"/>
      <c r="I3" s="1998"/>
      <c r="J3" s="1998"/>
      <c r="K3" s="1998"/>
      <c r="L3" s="1998"/>
      <c r="M3" s="1998"/>
      <c r="N3" s="1998"/>
      <c r="O3" s="1998"/>
      <c r="P3" s="1998"/>
    </row>
    <row r="4" spans="1:16" ht="24.75" customHeight="1">
      <c r="A4" s="2055" t="s">
        <v>900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</row>
    <row r="5" spans="1:16" s="738" customFormat="1" ht="18" customHeight="1">
      <c r="A5" s="547"/>
      <c r="B5" s="547"/>
      <c r="C5" s="547"/>
      <c r="E5" s="506"/>
      <c r="F5" s="506"/>
      <c r="G5" s="506"/>
      <c r="H5" s="739"/>
      <c r="I5" s="506"/>
      <c r="J5" s="506"/>
      <c r="K5" s="506"/>
      <c r="L5" s="506"/>
      <c r="M5" s="506"/>
      <c r="N5" s="506"/>
      <c r="O5" s="740"/>
      <c r="P5" s="512" t="s">
        <v>0</v>
      </c>
    </row>
    <row r="6" spans="1:250" s="744" customFormat="1" ht="18" customHeight="1" thickBot="1">
      <c r="A6" s="741"/>
      <c r="B6" s="742" t="s">
        <v>1</v>
      </c>
      <c r="C6" s="743" t="s">
        <v>3</v>
      </c>
      <c r="D6" s="743" t="s">
        <v>2</v>
      </c>
      <c r="E6" s="743" t="s">
        <v>4</v>
      </c>
      <c r="F6" s="743" t="s">
        <v>5</v>
      </c>
      <c r="G6" s="743" t="s">
        <v>15</v>
      </c>
      <c r="H6" s="743" t="s">
        <v>16</v>
      </c>
      <c r="I6" s="743" t="s">
        <v>17</v>
      </c>
      <c r="J6" s="743" t="s">
        <v>33</v>
      </c>
      <c r="K6" s="743" t="s">
        <v>29</v>
      </c>
      <c r="L6" s="743" t="s">
        <v>22</v>
      </c>
      <c r="M6" s="743" t="s">
        <v>34</v>
      </c>
      <c r="N6" s="743" t="s">
        <v>35</v>
      </c>
      <c r="O6" s="743" t="s">
        <v>145</v>
      </c>
      <c r="P6" s="743" t="s">
        <v>146</v>
      </c>
      <c r="Q6" s="741"/>
      <c r="R6" s="741"/>
      <c r="S6" s="741"/>
      <c r="T6" s="741"/>
      <c r="U6" s="741"/>
      <c r="V6" s="741"/>
      <c r="W6" s="741"/>
      <c r="X6" s="741"/>
      <c r="Y6" s="741"/>
      <c r="Z6" s="741"/>
      <c r="AA6" s="741"/>
      <c r="AB6" s="741"/>
      <c r="AC6" s="741"/>
      <c r="AD6" s="741"/>
      <c r="AE6" s="741"/>
      <c r="AF6" s="741"/>
      <c r="AG6" s="741"/>
      <c r="AH6" s="741"/>
      <c r="AI6" s="741"/>
      <c r="AJ6" s="741"/>
      <c r="AK6" s="741"/>
      <c r="AL6" s="741"/>
      <c r="AM6" s="741"/>
      <c r="AN6" s="741"/>
      <c r="AO6" s="741"/>
      <c r="AP6" s="741"/>
      <c r="AQ6" s="741"/>
      <c r="AR6" s="741"/>
      <c r="AS6" s="741"/>
      <c r="AT6" s="741"/>
      <c r="AU6" s="741"/>
      <c r="AV6" s="741"/>
      <c r="AW6" s="741"/>
      <c r="AX6" s="741"/>
      <c r="AY6" s="741"/>
      <c r="AZ6" s="741"/>
      <c r="BA6" s="741"/>
      <c r="BB6" s="741"/>
      <c r="BC6" s="741"/>
      <c r="BD6" s="741"/>
      <c r="BE6" s="741"/>
      <c r="BF6" s="741"/>
      <c r="BG6" s="741"/>
      <c r="BH6" s="741"/>
      <c r="BI6" s="741"/>
      <c r="BJ6" s="741"/>
      <c r="BK6" s="741"/>
      <c r="BL6" s="741"/>
      <c r="BM6" s="741"/>
      <c r="BN6" s="741"/>
      <c r="BO6" s="741"/>
      <c r="BP6" s="741"/>
      <c r="BQ6" s="741"/>
      <c r="BR6" s="741"/>
      <c r="BS6" s="741"/>
      <c r="BT6" s="741"/>
      <c r="BU6" s="741"/>
      <c r="BV6" s="741"/>
      <c r="BW6" s="741"/>
      <c r="BX6" s="741"/>
      <c r="BY6" s="741"/>
      <c r="BZ6" s="741"/>
      <c r="CA6" s="741"/>
      <c r="CB6" s="741"/>
      <c r="CC6" s="741"/>
      <c r="CD6" s="741"/>
      <c r="CE6" s="741"/>
      <c r="CF6" s="741"/>
      <c r="CG6" s="741"/>
      <c r="CH6" s="741"/>
      <c r="CI6" s="741"/>
      <c r="CJ6" s="741"/>
      <c r="CK6" s="741"/>
      <c r="CL6" s="741"/>
      <c r="CM6" s="741"/>
      <c r="CN6" s="741"/>
      <c r="CO6" s="741"/>
      <c r="CP6" s="741"/>
      <c r="CQ6" s="741"/>
      <c r="CR6" s="741"/>
      <c r="CS6" s="741"/>
      <c r="CT6" s="741"/>
      <c r="CU6" s="741"/>
      <c r="CV6" s="741"/>
      <c r="CW6" s="741"/>
      <c r="CX6" s="741"/>
      <c r="CY6" s="741"/>
      <c r="CZ6" s="741"/>
      <c r="DA6" s="741"/>
      <c r="DB6" s="741"/>
      <c r="DC6" s="741"/>
      <c r="DD6" s="741"/>
      <c r="DE6" s="741"/>
      <c r="DF6" s="741"/>
      <c r="DG6" s="741"/>
      <c r="DH6" s="741"/>
      <c r="DI6" s="741"/>
      <c r="DJ6" s="741"/>
      <c r="DK6" s="741"/>
      <c r="DL6" s="741"/>
      <c r="DM6" s="741"/>
      <c r="DN6" s="741"/>
      <c r="DO6" s="741"/>
      <c r="DP6" s="741"/>
      <c r="DQ6" s="741"/>
      <c r="DR6" s="741"/>
      <c r="DS6" s="741"/>
      <c r="DT6" s="741"/>
      <c r="DU6" s="741"/>
      <c r="DV6" s="741"/>
      <c r="DW6" s="741"/>
      <c r="DX6" s="741"/>
      <c r="DY6" s="741"/>
      <c r="DZ6" s="741"/>
      <c r="EA6" s="741"/>
      <c r="EB6" s="741"/>
      <c r="EC6" s="741"/>
      <c r="ED6" s="741"/>
      <c r="EE6" s="741"/>
      <c r="EF6" s="741"/>
      <c r="EG6" s="741"/>
      <c r="EH6" s="741"/>
      <c r="EI6" s="741"/>
      <c r="EJ6" s="741"/>
      <c r="EK6" s="741"/>
      <c r="EL6" s="741"/>
      <c r="EM6" s="741"/>
      <c r="EN6" s="741"/>
      <c r="EO6" s="741"/>
      <c r="EP6" s="741"/>
      <c r="EQ6" s="741"/>
      <c r="ER6" s="741"/>
      <c r="ES6" s="741"/>
      <c r="ET6" s="741"/>
      <c r="EU6" s="741"/>
      <c r="EV6" s="741"/>
      <c r="EW6" s="741"/>
      <c r="EX6" s="741"/>
      <c r="EY6" s="741"/>
      <c r="EZ6" s="741"/>
      <c r="FA6" s="741"/>
      <c r="FB6" s="741"/>
      <c r="FC6" s="741"/>
      <c r="FD6" s="741"/>
      <c r="FE6" s="741"/>
      <c r="FF6" s="741"/>
      <c r="FG6" s="741"/>
      <c r="FH6" s="741"/>
      <c r="FI6" s="741"/>
      <c r="FJ6" s="741"/>
      <c r="FK6" s="741"/>
      <c r="FL6" s="741"/>
      <c r="FM6" s="741"/>
      <c r="FN6" s="741"/>
      <c r="FO6" s="741"/>
      <c r="FP6" s="741"/>
      <c r="FQ6" s="741"/>
      <c r="FR6" s="741"/>
      <c r="FS6" s="741"/>
      <c r="FT6" s="741"/>
      <c r="FU6" s="741"/>
      <c r="FV6" s="741"/>
      <c r="FW6" s="741"/>
      <c r="FX6" s="741"/>
      <c r="FY6" s="741"/>
      <c r="FZ6" s="741"/>
      <c r="GA6" s="741"/>
      <c r="GB6" s="741"/>
      <c r="GC6" s="741"/>
      <c r="GD6" s="741"/>
      <c r="GE6" s="741"/>
      <c r="GF6" s="741"/>
      <c r="GG6" s="741"/>
      <c r="GH6" s="741"/>
      <c r="GI6" s="741"/>
      <c r="GJ6" s="741"/>
      <c r="GK6" s="741"/>
      <c r="GL6" s="741"/>
      <c r="GM6" s="741"/>
      <c r="GN6" s="741"/>
      <c r="GO6" s="741"/>
      <c r="GP6" s="741"/>
      <c r="GQ6" s="741"/>
      <c r="GR6" s="741"/>
      <c r="GS6" s="741"/>
      <c r="GT6" s="741"/>
      <c r="GU6" s="741"/>
      <c r="GV6" s="741"/>
      <c r="GW6" s="741"/>
      <c r="GX6" s="741"/>
      <c r="GY6" s="741"/>
      <c r="GZ6" s="741"/>
      <c r="HA6" s="741"/>
      <c r="HB6" s="741"/>
      <c r="HC6" s="741"/>
      <c r="HD6" s="741"/>
      <c r="HE6" s="741"/>
      <c r="HF6" s="741"/>
      <c r="HG6" s="741"/>
      <c r="HH6" s="741"/>
      <c r="HI6" s="741"/>
      <c r="HJ6" s="741"/>
      <c r="HK6" s="741"/>
      <c r="HL6" s="741"/>
      <c r="HM6" s="741"/>
      <c r="HN6" s="741"/>
      <c r="HO6" s="741"/>
      <c r="HP6" s="741"/>
      <c r="HQ6" s="741"/>
      <c r="HR6" s="741"/>
      <c r="HS6" s="741"/>
      <c r="HT6" s="741"/>
      <c r="HU6" s="741"/>
      <c r="HV6" s="741"/>
      <c r="HW6" s="741"/>
      <c r="HX6" s="741"/>
      <c r="HY6" s="741"/>
      <c r="HZ6" s="741"/>
      <c r="IA6" s="741"/>
      <c r="IB6" s="741"/>
      <c r="IC6" s="741"/>
      <c r="ID6" s="741"/>
      <c r="IE6" s="741"/>
      <c r="IF6" s="741"/>
      <c r="IG6" s="741"/>
      <c r="IH6" s="741"/>
      <c r="II6" s="741"/>
      <c r="IJ6" s="741"/>
      <c r="IK6" s="741"/>
      <c r="IL6" s="741"/>
      <c r="IM6" s="741"/>
      <c r="IN6" s="741"/>
      <c r="IO6" s="741"/>
      <c r="IP6" s="741"/>
    </row>
    <row r="7" spans="2:18" ht="22.5" customHeight="1">
      <c r="B7" s="2049" t="s">
        <v>18</v>
      </c>
      <c r="C7" s="2039" t="s">
        <v>19</v>
      </c>
      <c r="D7" s="2056" t="s">
        <v>6</v>
      </c>
      <c r="E7" s="2052" t="s">
        <v>416</v>
      </c>
      <c r="F7" s="2052" t="s">
        <v>590</v>
      </c>
      <c r="G7" s="2059" t="s">
        <v>724</v>
      </c>
      <c r="H7" s="2018" t="s">
        <v>20</v>
      </c>
      <c r="I7" s="2062" t="s">
        <v>536</v>
      </c>
      <c r="J7" s="2052"/>
      <c r="K7" s="2052"/>
      <c r="L7" s="2052"/>
      <c r="M7" s="2052"/>
      <c r="N7" s="2052"/>
      <c r="O7" s="2063"/>
      <c r="P7" s="2064" t="s">
        <v>589</v>
      </c>
      <c r="Q7" s="2048"/>
      <c r="R7" s="2048"/>
    </row>
    <row r="8" spans="2:16" ht="33" customHeight="1">
      <c r="B8" s="2050"/>
      <c r="C8" s="2040"/>
      <c r="D8" s="2057"/>
      <c r="E8" s="2053"/>
      <c r="F8" s="2053"/>
      <c r="G8" s="2060"/>
      <c r="H8" s="2019"/>
      <c r="I8" s="2067" t="s">
        <v>418</v>
      </c>
      <c r="J8" s="2068"/>
      <c r="K8" s="2069"/>
      <c r="L8" s="2069"/>
      <c r="M8" s="2070" t="s">
        <v>148</v>
      </c>
      <c r="N8" s="2070"/>
      <c r="O8" s="2071" t="s">
        <v>115</v>
      </c>
      <c r="P8" s="2065"/>
    </row>
    <row r="9" spans="2:16" ht="53.25" customHeight="1" thickBot="1">
      <c r="B9" s="2051"/>
      <c r="C9" s="2041"/>
      <c r="D9" s="2058"/>
      <c r="E9" s="2054"/>
      <c r="F9" s="2054"/>
      <c r="G9" s="2061"/>
      <c r="H9" s="2020"/>
      <c r="I9" s="761" t="s">
        <v>37</v>
      </c>
      <c r="J9" s="551" t="s">
        <v>413</v>
      </c>
      <c r="K9" s="552" t="s">
        <v>39</v>
      </c>
      <c r="L9" s="552" t="s">
        <v>415</v>
      </c>
      <c r="M9" s="551" t="s">
        <v>213</v>
      </c>
      <c r="N9" s="551" t="s">
        <v>149</v>
      </c>
      <c r="O9" s="2072"/>
      <c r="P9" s="2066"/>
    </row>
    <row r="10" spans="1:256" s="555" customFormat="1" ht="22.5" customHeight="1">
      <c r="A10" s="569">
        <v>1</v>
      </c>
      <c r="B10" s="553">
        <v>18</v>
      </c>
      <c r="C10" s="565" t="s">
        <v>14</v>
      </c>
      <c r="D10" s="750"/>
      <c r="E10" s="333"/>
      <c r="F10" s="331"/>
      <c r="G10" s="332"/>
      <c r="H10" s="765"/>
      <c r="I10" s="778"/>
      <c r="J10" s="779"/>
      <c r="K10" s="779"/>
      <c r="L10" s="779"/>
      <c r="M10" s="779"/>
      <c r="N10" s="779"/>
      <c r="O10" s="780"/>
      <c r="P10" s="557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6"/>
      <c r="DR10" s="326"/>
      <c r="DS10" s="326"/>
      <c r="DT10" s="326"/>
      <c r="DU10" s="326"/>
      <c r="DV10" s="326"/>
      <c r="DW10" s="326"/>
      <c r="DX10" s="326"/>
      <c r="DY10" s="326"/>
      <c r="DZ10" s="326"/>
      <c r="EA10" s="326"/>
      <c r="EB10" s="326"/>
      <c r="EC10" s="326"/>
      <c r="ED10" s="326"/>
      <c r="EE10" s="326"/>
      <c r="EF10" s="326"/>
      <c r="EG10" s="326"/>
      <c r="EH10" s="326"/>
      <c r="EI10" s="326"/>
      <c r="EJ10" s="326"/>
      <c r="EK10" s="326"/>
      <c r="EL10" s="326"/>
      <c r="EM10" s="326"/>
      <c r="EN10" s="326"/>
      <c r="EO10" s="326"/>
      <c r="EP10" s="326"/>
      <c r="EQ10" s="326"/>
      <c r="ER10" s="326"/>
      <c r="ES10" s="326"/>
      <c r="ET10" s="326"/>
      <c r="EU10" s="326"/>
      <c r="EV10" s="326"/>
      <c r="EW10" s="326"/>
      <c r="EX10" s="326"/>
      <c r="EY10" s="326"/>
      <c r="EZ10" s="326"/>
      <c r="FA10" s="326"/>
      <c r="FB10" s="326"/>
      <c r="FC10" s="326"/>
      <c r="FD10" s="326"/>
      <c r="FE10" s="326"/>
      <c r="FF10" s="326"/>
      <c r="FG10" s="326"/>
      <c r="FH10" s="326"/>
      <c r="FI10" s="326"/>
      <c r="FJ10" s="326"/>
      <c r="FK10" s="326"/>
      <c r="FL10" s="326"/>
      <c r="FM10" s="326"/>
      <c r="FN10" s="326"/>
      <c r="FO10" s="326"/>
      <c r="FP10" s="326"/>
      <c r="FQ10" s="326"/>
      <c r="FR10" s="326"/>
      <c r="FS10" s="326"/>
      <c r="FT10" s="326"/>
      <c r="FU10" s="326"/>
      <c r="FV10" s="326"/>
      <c r="FW10" s="326"/>
      <c r="FX10" s="326"/>
      <c r="FY10" s="326"/>
      <c r="FZ10" s="326"/>
      <c r="GA10" s="326"/>
      <c r="GB10" s="326"/>
      <c r="GC10" s="326"/>
      <c r="GD10" s="326"/>
      <c r="GE10" s="326"/>
      <c r="GF10" s="326"/>
      <c r="GG10" s="326"/>
      <c r="GH10" s="326"/>
      <c r="GI10" s="326"/>
      <c r="GJ10" s="326"/>
      <c r="GK10" s="326"/>
      <c r="GL10" s="326"/>
      <c r="GM10" s="326"/>
      <c r="GN10" s="326"/>
      <c r="GO10" s="326"/>
      <c r="GP10" s="326"/>
      <c r="GQ10" s="326"/>
      <c r="GR10" s="326"/>
      <c r="GS10" s="326"/>
      <c r="GT10" s="326"/>
      <c r="GU10" s="326"/>
      <c r="GV10" s="326"/>
      <c r="GW10" s="326"/>
      <c r="GX10" s="326"/>
      <c r="GY10" s="326"/>
      <c r="GZ10" s="326"/>
      <c r="HA10" s="326"/>
      <c r="HB10" s="326"/>
      <c r="HC10" s="326"/>
      <c r="HD10" s="326"/>
      <c r="HE10" s="326"/>
      <c r="HF10" s="326"/>
      <c r="HG10" s="326"/>
      <c r="HH10" s="326"/>
      <c r="HI10" s="326"/>
      <c r="HJ10" s="326"/>
      <c r="HK10" s="326"/>
      <c r="HL10" s="326"/>
      <c r="HM10" s="326"/>
      <c r="HN10" s="326"/>
      <c r="HO10" s="326"/>
      <c r="HP10" s="326"/>
      <c r="HQ10" s="326"/>
      <c r="HR10" s="326"/>
      <c r="HS10" s="326"/>
      <c r="HT10" s="326"/>
      <c r="HU10" s="326"/>
      <c r="HV10" s="326"/>
      <c r="HW10" s="326"/>
      <c r="HX10" s="326"/>
      <c r="HY10" s="326"/>
      <c r="HZ10" s="326"/>
      <c r="IA10" s="326"/>
      <c r="IB10" s="326"/>
      <c r="IC10" s="326"/>
      <c r="ID10" s="326"/>
      <c r="IE10" s="326"/>
      <c r="IF10" s="326"/>
      <c r="IG10" s="326"/>
      <c r="IH10" s="326"/>
      <c r="II10" s="326"/>
      <c r="IJ10" s="326"/>
      <c r="IK10" s="326"/>
      <c r="IL10" s="326"/>
      <c r="IM10" s="326"/>
      <c r="IN10" s="326"/>
      <c r="IO10" s="326"/>
      <c r="IP10" s="326"/>
      <c r="IQ10" s="326"/>
      <c r="IR10" s="326"/>
      <c r="IS10" s="326"/>
      <c r="IT10" s="326"/>
      <c r="IU10" s="326"/>
      <c r="IV10" s="326"/>
    </row>
    <row r="11" spans="1:256" s="555" customFormat="1" ht="22.5" customHeight="1">
      <c r="A11" s="569">
        <v>2</v>
      </c>
      <c r="B11" s="563"/>
      <c r="C11" s="366">
        <v>1</v>
      </c>
      <c r="D11" s="566" t="s">
        <v>361</v>
      </c>
      <c r="E11" s="335"/>
      <c r="F11" s="559"/>
      <c r="G11" s="336"/>
      <c r="H11" s="766" t="s">
        <v>23</v>
      </c>
      <c r="I11" s="781"/>
      <c r="J11" s="777"/>
      <c r="K11" s="777"/>
      <c r="L11" s="777"/>
      <c r="M11" s="777"/>
      <c r="N11" s="777"/>
      <c r="O11" s="751"/>
      <c r="P11" s="560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6"/>
      <c r="EF11" s="326"/>
      <c r="EG11" s="326"/>
      <c r="EH11" s="326"/>
      <c r="EI11" s="326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/>
      <c r="EU11" s="326"/>
      <c r="EV11" s="326"/>
      <c r="EW11" s="326"/>
      <c r="EX11" s="326"/>
      <c r="EY11" s="326"/>
      <c r="EZ11" s="326"/>
      <c r="FA11" s="326"/>
      <c r="FB11" s="326"/>
      <c r="FC11" s="326"/>
      <c r="FD11" s="326"/>
      <c r="FE11" s="326"/>
      <c r="FF11" s="326"/>
      <c r="FG11" s="326"/>
      <c r="FH11" s="326"/>
      <c r="FI11" s="326"/>
      <c r="FJ11" s="326"/>
      <c r="FK11" s="326"/>
      <c r="FL11" s="326"/>
      <c r="FM11" s="326"/>
      <c r="FN11" s="326"/>
      <c r="FO11" s="326"/>
      <c r="FP11" s="326"/>
      <c r="FQ11" s="326"/>
      <c r="FR11" s="326"/>
      <c r="FS11" s="326"/>
      <c r="FT11" s="326"/>
      <c r="FU11" s="326"/>
      <c r="FV11" s="326"/>
      <c r="FW11" s="326"/>
      <c r="FX11" s="326"/>
      <c r="FY11" s="326"/>
      <c r="FZ11" s="326"/>
      <c r="GA11" s="326"/>
      <c r="GB11" s="326"/>
      <c r="GC11" s="326"/>
      <c r="GD11" s="326"/>
      <c r="GE11" s="326"/>
      <c r="GF11" s="326"/>
      <c r="GG11" s="326"/>
      <c r="GH11" s="326"/>
      <c r="GI11" s="326"/>
      <c r="GJ11" s="326"/>
      <c r="GK11" s="326"/>
      <c r="GL11" s="326"/>
      <c r="GM11" s="326"/>
      <c r="GN11" s="326"/>
      <c r="GO11" s="326"/>
      <c r="GP11" s="326"/>
      <c r="GQ11" s="326"/>
      <c r="GR11" s="326"/>
      <c r="GS11" s="326"/>
      <c r="GT11" s="326"/>
      <c r="GU11" s="326"/>
      <c r="GV11" s="326"/>
      <c r="GW11" s="326"/>
      <c r="GX11" s="326"/>
      <c r="GY11" s="326"/>
      <c r="GZ11" s="326"/>
      <c r="HA11" s="326"/>
      <c r="HB11" s="326"/>
      <c r="HC11" s="326"/>
      <c r="HD11" s="326"/>
      <c r="HE11" s="326"/>
      <c r="HF11" s="326"/>
      <c r="HG11" s="326"/>
      <c r="HH11" s="326"/>
      <c r="HI11" s="326"/>
      <c r="HJ11" s="326"/>
      <c r="HK11" s="326"/>
      <c r="HL11" s="326"/>
      <c r="HM11" s="326"/>
      <c r="HN11" s="326"/>
      <c r="HO11" s="326"/>
      <c r="HP11" s="326"/>
      <c r="HQ11" s="326"/>
      <c r="HR11" s="326"/>
      <c r="HS11" s="326"/>
      <c r="HT11" s="326"/>
      <c r="HU11" s="326"/>
      <c r="HV11" s="326"/>
      <c r="HW11" s="326"/>
      <c r="HX11" s="326"/>
      <c r="HY11" s="326"/>
      <c r="HZ11" s="326"/>
      <c r="IA11" s="326"/>
      <c r="IB11" s="326"/>
      <c r="IC11" s="326"/>
      <c r="ID11" s="326"/>
      <c r="IE11" s="326"/>
      <c r="IF11" s="326"/>
      <c r="IG11" s="326"/>
      <c r="IH11" s="326"/>
      <c r="II11" s="326"/>
      <c r="IJ11" s="326"/>
      <c r="IK11" s="326"/>
      <c r="IL11" s="326"/>
      <c r="IM11" s="326"/>
      <c r="IN11" s="326"/>
      <c r="IO11" s="326"/>
      <c r="IP11" s="326"/>
      <c r="IQ11" s="326"/>
      <c r="IR11" s="326"/>
      <c r="IS11" s="326"/>
      <c r="IT11" s="326"/>
      <c r="IU11" s="326"/>
      <c r="IV11" s="326"/>
    </row>
    <row r="12" spans="1:16" s="759" customFormat="1" ht="18" customHeight="1">
      <c r="A12" s="569">
        <v>3</v>
      </c>
      <c r="B12" s="752"/>
      <c r="C12" s="753"/>
      <c r="D12" s="1511" t="s">
        <v>283</v>
      </c>
      <c r="E12" s="335">
        <f>F12+G12+O13+P12</f>
        <v>25975</v>
      </c>
      <c r="F12" s="559">
        <f>6208+6205+12386</f>
        <v>24799</v>
      </c>
      <c r="G12" s="336">
        <v>416</v>
      </c>
      <c r="H12" s="766"/>
      <c r="I12" s="764"/>
      <c r="J12" s="757"/>
      <c r="K12" s="757"/>
      <c r="L12" s="757">
        <v>760</v>
      </c>
      <c r="M12" s="757"/>
      <c r="N12" s="757"/>
      <c r="O12" s="751">
        <f>SUM(I12:N12)</f>
        <v>760</v>
      </c>
      <c r="P12" s="758"/>
    </row>
    <row r="13" spans="1:16" s="759" customFormat="1" ht="18" customHeight="1">
      <c r="A13" s="569">
        <v>4</v>
      </c>
      <c r="B13" s="752"/>
      <c r="C13" s="753"/>
      <c r="D13" s="478" t="s">
        <v>757</v>
      </c>
      <c r="E13" s="335"/>
      <c r="F13" s="559"/>
      <c r="G13" s="336"/>
      <c r="H13" s="766"/>
      <c r="I13" s="764"/>
      <c r="J13" s="757"/>
      <c r="K13" s="757"/>
      <c r="L13" s="1188">
        <v>760</v>
      </c>
      <c r="M13" s="1188"/>
      <c r="N13" s="1188"/>
      <c r="O13" s="564">
        <f>SUM(I13:N13)</f>
        <v>760</v>
      </c>
      <c r="P13" s="758"/>
    </row>
    <row r="14" spans="1:16" s="759" customFormat="1" ht="18" customHeight="1">
      <c r="A14" s="569">
        <v>5</v>
      </c>
      <c r="B14" s="752"/>
      <c r="C14" s="753"/>
      <c r="D14" s="1090" t="s">
        <v>893</v>
      </c>
      <c r="E14" s="335"/>
      <c r="F14" s="559"/>
      <c r="G14" s="336"/>
      <c r="H14" s="766"/>
      <c r="I14" s="1185"/>
      <c r="J14" s="1186"/>
      <c r="K14" s="1186"/>
      <c r="L14" s="1186">
        <v>284</v>
      </c>
      <c r="M14" s="1186"/>
      <c r="N14" s="1186"/>
      <c r="O14" s="1723">
        <f>SUM(I14:N14)</f>
        <v>284</v>
      </c>
      <c r="P14" s="758"/>
    </row>
    <row r="15" spans="1:256" s="555" customFormat="1" ht="36" customHeight="1">
      <c r="A15" s="569">
        <v>6</v>
      </c>
      <c r="B15" s="563"/>
      <c r="C15" s="327">
        <v>2</v>
      </c>
      <c r="D15" s="784" t="s">
        <v>436</v>
      </c>
      <c r="E15" s="335"/>
      <c r="F15" s="559"/>
      <c r="G15" s="336"/>
      <c r="H15" s="788" t="s">
        <v>23</v>
      </c>
      <c r="I15" s="764"/>
      <c r="J15" s="757"/>
      <c r="K15" s="757"/>
      <c r="L15" s="757"/>
      <c r="M15" s="757"/>
      <c r="N15" s="777"/>
      <c r="O15" s="751"/>
      <c r="P15" s="560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6"/>
      <c r="DJ15" s="326"/>
      <c r="DK15" s="326"/>
      <c r="DL15" s="326"/>
      <c r="DM15" s="326"/>
      <c r="DN15" s="326"/>
      <c r="DO15" s="326"/>
      <c r="DP15" s="326"/>
      <c r="DQ15" s="326"/>
      <c r="DR15" s="326"/>
      <c r="DS15" s="326"/>
      <c r="DT15" s="326"/>
      <c r="DU15" s="326"/>
      <c r="DV15" s="326"/>
      <c r="DW15" s="326"/>
      <c r="DX15" s="326"/>
      <c r="DY15" s="326"/>
      <c r="DZ15" s="326"/>
      <c r="EA15" s="326"/>
      <c r="EB15" s="326"/>
      <c r="EC15" s="326"/>
      <c r="ED15" s="326"/>
      <c r="EE15" s="326"/>
      <c r="EF15" s="326"/>
      <c r="EG15" s="326"/>
      <c r="EH15" s="326"/>
      <c r="EI15" s="326"/>
      <c r="EJ15" s="326"/>
      <c r="EK15" s="326"/>
      <c r="EL15" s="326"/>
      <c r="EM15" s="326"/>
      <c r="EN15" s="326"/>
      <c r="EO15" s="326"/>
      <c r="EP15" s="326"/>
      <c r="EQ15" s="326"/>
      <c r="ER15" s="326"/>
      <c r="ES15" s="326"/>
      <c r="ET15" s="326"/>
      <c r="EU15" s="326"/>
      <c r="EV15" s="326"/>
      <c r="EW15" s="326"/>
      <c r="EX15" s="326"/>
      <c r="EY15" s="326"/>
      <c r="EZ15" s="326"/>
      <c r="FA15" s="326"/>
      <c r="FB15" s="326"/>
      <c r="FC15" s="326"/>
      <c r="FD15" s="326"/>
      <c r="FE15" s="326"/>
      <c r="FF15" s="326"/>
      <c r="FG15" s="326"/>
      <c r="FH15" s="326"/>
      <c r="FI15" s="326"/>
      <c r="FJ15" s="326"/>
      <c r="FK15" s="326"/>
      <c r="FL15" s="326"/>
      <c r="FM15" s="326"/>
      <c r="FN15" s="326"/>
      <c r="FO15" s="326"/>
      <c r="FP15" s="326"/>
      <c r="FQ15" s="326"/>
      <c r="FR15" s="326"/>
      <c r="FS15" s="326"/>
      <c r="FT15" s="326"/>
      <c r="FU15" s="326"/>
      <c r="FV15" s="326"/>
      <c r="FW15" s="326"/>
      <c r="FX15" s="326"/>
      <c r="FY15" s="326"/>
      <c r="FZ15" s="326"/>
      <c r="GA15" s="326"/>
      <c r="GB15" s="326"/>
      <c r="GC15" s="326"/>
      <c r="GD15" s="326"/>
      <c r="GE15" s="326"/>
      <c r="GF15" s="326"/>
      <c r="GG15" s="326"/>
      <c r="GH15" s="326"/>
      <c r="GI15" s="326"/>
      <c r="GJ15" s="326"/>
      <c r="GK15" s="326"/>
      <c r="GL15" s="326"/>
      <c r="GM15" s="326"/>
      <c r="GN15" s="326"/>
      <c r="GO15" s="326"/>
      <c r="GP15" s="326"/>
      <c r="GQ15" s="326"/>
      <c r="GR15" s="326"/>
      <c r="GS15" s="326"/>
      <c r="GT15" s="326"/>
      <c r="GU15" s="326"/>
      <c r="GV15" s="326"/>
      <c r="GW15" s="326"/>
      <c r="GX15" s="326"/>
      <c r="GY15" s="326"/>
      <c r="GZ15" s="326"/>
      <c r="HA15" s="326"/>
      <c r="HB15" s="326"/>
      <c r="HC15" s="326"/>
      <c r="HD15" s="326"/>
      <c r="HE15" s="326"/>
      <c r="HF15" s="326"/>
      <c r="HG15" s="326"/>
      <c r="HH15" s="326"/>
      <c r="HI15" s="326"/>
      <c r="HJ15" s="326"/>
      <c r="HK15" s="326"/>
      <c r="HL15" s="326"/>
      <c r="HM15" s="326"/>
      <c r="HN15" s="326"/>
      <c r="HO15" s="326"/>
      <c r="HP15" s="326"/>
      <c r="HQ15" s="326"/>
      <c r="HR15" s="326"/>
      <c r="HS15" s="326"/>
      <c r="HT15" s="326"/>
      <c r="HU15" s="326"/>
      <c r="HV15" s="326"/>
      <c r="HW15" s="326"/>
      <c r="HX15" s="326"/>
      <c r="HY15" s="326"/>
      <c r="HZ15" s="326"/>
      <c r="IA15" s="326"/>
      <c r="IB15" s="326"/>
      <c r="IC15" s="326"/>
      <c r="ID15" s="326"/>
      <c r="IE15" s="326"/>
      <c r="IF15" s="326"/>
      <c r="IG15" s="326"/>
      <c r="IH15" s="326"/>
      <c r="II15" s="326"/>
      <c r="IJ15" s="326"/>
      <c r="IK15" s="326"/>
      <c r="IL15" s="326"/>
      <c r="IM15" s="326"/>
      <c r="IN15" s="326"/>
      <c r="IO15" s="326"/>
      <c r="IP15" s="326"/>
      <c r="IQ15" s="326"/>
      <c r="IR15" s="326"/>
      <c r="IS15" s="326"/>
      <c r="IT15" s="326"/>
      <c r="IU15" s="326"/>
      <c r="IV15" s="326"/>
    </row>
    <row r="16" spans="1:16" s="759" customFormat="1" ht="18" customHeight="1">
      <c r="A16" s="569">
        <v>7</v>
      </c>
      <c r="B16" s="752"/>
      <c r="C16" s="753"/>
      <c r="D16" s="1511" t="s">
        <v>283</v>
      </c>
      <c r="E16" s="335">
        <f>F16+G16+O17+P16</f>
        <v>319576</v>
      </c>
      <c r="F16" s="559">
        <v>6699</v>
      </c>
      <c r="G16" s="336"/>
      <c r="H16" s="766"/>
      <c r="I16" s="764"/>
      <c r="J16" s="757"/>
      <c r="K16" s="757">
        <v>278</v>
      </c>
      <c r="L16" s="757"/>
      <c r="M16" s="757">
        <v>312599</v>
      </c>
      <c r="N16" s="757"/>
      <c r="O16" s="751">
        <f>SUM(I16:N16)</f>
        <v>312877</v>
      </c>
      <c r="P16" s="758"/>
    </row>
    <row r="17" spans="1:16" s="759" customFormat="1" ht="18" customHeight="1">
      <c r="A17" s="569">
        <v>8</v>
      </c>
      <c r="B17" s="752"/>
      <c r="C17" s="753"/>
      <c r="D17" s="478" t="s">
        <v>757</v>
      </c>
      <c r="E17" s="335"/>
      <c r="F17" s="559"/>
      <c r="G17" s="336"/>
      <c r="H17" s="766"/>
      <c r="I17" s="764"/>
      <c r="J17" s="757"/>
      <c r="K17" s="1188">
        <v>278</v>
      </c>
      <c r="L17" s="1188"/>
      <c r="M17" s="1188">
        <v>312599</v>
      </c>
      <c r="N17" s="1188"/>
      <c r="O17" s="564">
        <f>SUM(I17:N17)</f>
        <v>312877</v>
      </c>
      <c r="P17" s="758"/>
    </row>
    <row r="18" spans="1:16" s="759" customFormat="1" ht="18" customHeight="1">
      <c r="A18" s="569">
        <v>9</v>
      </c>
      <c r="B18" s="752"/>
      <c r="C18" s="753"/>
      <c r="D18" s="1090" t="s">
        <v>893</v>
      </c>
      <c r="E18" s="335"/>
      <c r="F18" s="559"/>
      <c r="G18" s="336"/>
      <c r="H18" s="766"/>
      <c r="I18" s="764"/>
      <c r="J18" s="757"/>
      <c r="K18" s="1186">
        <v>12</v>
      </c>
      <c r="L18" s="1186"/>
      <c r="M18" s="1186">
        <v>0</v>
      </c>
      <c r="N18" s="1186"/>
      <c r="O18" s="1723">
        <f>SUM(I18:N18)</f>
        <v>12</v>
      </c>
      <c r="P18" s="758"/>
    </row>
    <row r="19" spans="1:256" s="555" customFormat="1" ht="38.25" customHeight="1">
      <c r="A19" s="569">
        <v>10</v>
      </c>
      <c r="B19" s="563"/>
      <c r="C19" s="327">
        <v>3</v>
      </c>
      <c r="D19" s="329" t="s">
        <v>403</v>
      </c>
      <c r="E19" s="335"/>
      <c r="F19" s="335"/>
      <c r="G19" s="336"/>
      <c r="H19" s="788" t="s">
        <v>23</v>
      </c>
      <c r="I19" s="1037"/>
      <c r="J19" s="755"/>
      <c r="K19" s="755"/>
      <c r="L19" s="755"/>
      <c r="M19" s="755"/>
      <c r="N19" s="776"/>
      <c r="O19" s="783"/>
      <c r="P19" s="560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326"/>
      <c r="CY19" s="326"/>
      <c r="CZ19" s="326"/>
      <c r="DA19" s="326"/>
      <c r="DB19" s="326"/>
      <c r="DC19" s="326"/>
      <c r="DD19" s="326"/>
      <c r="DE19" s="326"/>
      <c r="DF19" s="326"/>
      <c r="DG19" s="326"/>
      <c r="DH19" s="326"/>
      <c r="DI19" s="326"/>
      <c r="DJ19" s="326"/>
      <c r="DK19" s="326"/>
      <c r="DL19" s="326"/>
      <c r="DM19" s="326"/>
      <c r="DN19" s="326"/>
      <c r="DO19" s="326"/>
      <c r="DP19" s="326"/>
      <c r="DQ19" s="326"/>
      <c r="DR19" s="326"/>
      <c r="DS19" s="326"/>
      <c r="DT19" s="326"/>
      <c r="DU19" s="326"/>
      <c r="DV19" s="326"/>
      <c r="DW19" s="326"/>
      <c r="DX19" s="326"/>
      <c r="DY19" s="326"/>
      <c r="DZ19" s="326"/>
      <c r="EA19" s="326"/>
      <c r="EB19" s="326"/>
      <c r="EC19" s="326"/>
      <c r="ED19" s="326"/>
      <c r="EE19" s="326"/>
      <c r="EF19" s="326"/>
      <c r="EG19" s="326"/>
      <c r="EH19" s="326"/>
      <c r="EI19" s="326"/>
      <c r="EJ19" s="326"/>
      <c r="EK19" s="326"/>
      <c r="EL19" s="326"/>
      <c r="EM19" s="326"/>
      <c r="EN19" s="326"/>
      <c r="EO19" s="326"/>
      <c r="EP19" s="326"/>
      <c r="EQ19" s="326"/>
      <c r="ER19" s="326"/>
      <c r="ES19" s="326"/>
      <c r="ET19" s="326"/>
      <c r="EU19" s="326"/>
      <c r="EV19" s="326"/>
      <c r="EW19" s="326"/>
      <c r="EX19" s="326"/>
      <c r="EY19" s="326"/>
      <c r="EZ19" s="326"/>
      <c r="FA19" s="326"/>
      <c r="FB19" s="326"/>
      <c r="FC19" s="326"/>
      <c r="FD19" s="326"/>
      <c r="FE19" s="326"/>
      <c r="FF19" s="326"/>
      <c r="FG19" s="326"/>
      <c r="FH19" s="326"/>
      <c r="FI19" s="326"/>
      <c r="FJ19" s="326"/>
      <c r="FK19" s="326"/>
      <c r="FL19" s="326"/>
      <c r="FM19" s="326"/>
      <c r="FN19" s="326"/>
      <c r="FO19" s="326"/>
      <c r="FP19" s="326"/>
      <c r="FQ19" s="326"/>
      <c r="FR19" s="326"/>
      <c r="FS19" s="326"/>
      <c r="FT19" s="326"/>
      <c r="FU19" s="326"/>
      <c r="FV19" s="326"/>
      <c r="FW19" s="326"/>
      <c r="FX19" s="326"/>
      <c r="FY19" s="326"/>
      <c r="FZ19" s="326"/>
      <c r="GA19" s="326"/>
      <c r="GB19" s="326"/>
      <c r="GC19" s="326"/>
      <c r="GD19" s="326"/>
      <c r="GE19" s="326"/>
      <c r="GF19" s="326"/>
      <c r="GG19" s="326"/>
      <c r="GH19" s="326"/>
      <c r="GI19" s="326"/>
      <c r="GJ19" s="326"/>
      <c r="GK19" s="326"/>
      <c r="GL19" s="326"/>
      <c r="GM19" s="326"/>
      <c r="GN19" s="326"/>
      <c r="GO19" s="326"/>
      <c r="GP19" s="326"/>
      <c r="GQ19" s="326"/>
      <c r="GR19" s="326"/>
      <c r="GS19" s="326"/>
      <c r="GT19" s="326"/>
      <c r="GU19" s="326"/>
      <c r="GV19" s="326"/>
      <c r="GW19" s="326"/>
      <c r="GX19" s="326"/>
      <c r="GY19" s="326"/>
      <c r="GZ19" s="326"/>
      <c r="HA19" s="326"/>
      <c r="HB19" s="326"/>
      <c r="HC19" s="326"/>
      <c r="HD19" s="326"/>
      <c r="HE19" s="326"/>
      <c r="HF19" s="326"/>
      <c r="HG19" s="326"/>
      <c r="HH19" s="326"/>
      <c r="HI19" s="326"/>
      <c r="HJ19" s="326"/>
      <c r="HK19" s="326"/>
      <c r="HL19" s="326"/>
      <c r="HM19" s="326"/>
      <c r="HN19" s="326"/>
      <c r="HO19" s="326"/>
      <c r="HP19" s="326"/>
      <c r="HQ19" s="326"/>
      <c r="HR19" s="326"/>
      <c r="HS19" s="326"/>
      <c r="HT19" s="326"/>
      <c r="HU19" s="326"/>
      <c r="HV19" s="326"/>
      <c r="HW19" s="326"/>
      <c r="HX19" s="326"/>
      <c r="HY19" s="326"/>
      <c r="HZ19" s="326"/>
      <c r="IA19" s="326"/>
      <c r="IB19" s="326"/>
      <c r="IC19" s="326"/>
      <c r="ID19" s="326"/>
      <c r="IE19" s="326"/>
      <c r="IF19" s="326"/>
      <c r="IG19" s="326"/>
      <c r="IH19" s="326"/>
      <c r="II19" s="326"/>
      <c r="IJ19" s="326"/>
      <c r="IK19" s="326"/>
      <c r="IL19" s="326"/>
      <c r="IM19" s="326"/>
      <c r="IN19" s="326"/>
      <c r="IO19" s="326"/>
      <c r="IP19" s="326"/>
      <c r="IQ19" s="326"/>
      <c r="IR19" s="326"/>
      <c r="IS19" s="326"/>
      <c r="IT19" s="326"/>
      <c r="IU19" s="326"/>
      <c r="IV19" s="326"/>
    </row>
    <row r="20" spans="1:16" ht="18" customHeight="1">
      <c r="A20" s="569">
        <v>11</v>
      </c>
      <c r="B20" s="462"/>
      <c r="C20" s="366"/>
      <c r="D20" s="1194" t="s">
        <v>283</v>
      </c>
      <c r="E20" s="335">
        <f>F20+G20+O21+P20+3250</f>
        <v>163747</v>
      </c>
      <c r="F20" s="335">
        <v>6541</v>
      </c>
      <c r="G20" s="336">
        <v>40</v>
      </c>
      <c r="H20" s="766"/>
      <c r="I20" s="1037"/>
      <c r="J20" s="755"/>
      <c r="K20" s="755">
        <v>342</v>
      </c>
      <c r="L20" s="755"/>
      <c r="M20" s="755">
        <v>153574</v>
      </c>
      <c r="N20" s="776"/>
      <c r="O20" s="751">
        <f>SUM(I20:N20)</f>
        <v>153916</v>
      </c>
      <c r="P20" s="560"/>
    </row>
    <row r="21" spans="1:16" ht="18" customHeight="1">
      <c r="A21" s="569">
        <v>12</v>
      </c>
      <c r="B21" s="462"/>
      <c r="C21" s="366"/>
      <c r="D21" s="478" t="s">
        <v>757</v>
      </c>
      <c r="E21" s="335"/>
      <c r="F21" s="335"/>
      <c r="G21" s="336"/>
      <c r="H21" s="766"/>
      <c r="I21" s="1037"/>
      <c r="J21" s="755"/>
      <c r="K21" s="1002">
        <v>342</v>
      </c>
      <c r="L21" s="1002"/>
      <c r="M21" s="1002">
        <v>153574</v>
      </c>
      <c r="N21" s="335"/>
      <c r="O21" s="564">
        <f>SUM(I21:N21)</f>
        <v>153916</v>
      </c>
      <c r="P21" s="560"/>
    </row>
    <row r="22" spans="1:16" ht="18" customHeight="1">
      <c r="A22" s="569">
        <v>13</v>
      </c>
      <c r="B22" s="462"/>
      <c r="C22" s="366"/>
      <c r="D22" s="1090" t="s">
        <v>893</v>
      </c>
      <c r="E22" s="335"/>
      <c r="F22" s="335"/>
      <c r="G22" s="336"/>
      <c r="H22" s="766"/>
      <c r="I22" s="1037"/>
      <c r="J22" s="755"/>
      <c r="K22" s="1724">
        <v>108</v>
      </c>
      <c r="L22" s="1724"/>
      <c r="M22" s="1724">
        <v>73988</v>
      </c>
      <c r="N22" s="1724"/>
      <c r="O22" s="1723">
        <f>SUM(I22:N22)</f>
        <v>74096</v>
      </c>
      <c r="P22" s="560"/>
    </row>
    <row r="23" spans="1:16" ht="33">
      <c r="A23" s="569">
        <v>14</v>
      </c>
      <c r="B23" s="462"/>
      <c r="C23" s="327">
        <v>4</v>
      </c>
      <c r="D23" s="749" t="s">
        <v>438</v>
      </c>
      <c r="E23" s="335"/>
      <c r="F23" s="335"/>
      <c r="G23" s="336"/>
      <c r="H23" s="766" t="s">
        <v>23</v>
      </c>
      <c r="I23" s="1037"/>
      <c r="J23" s="755"/>
      <c r="K23" s="755"/>
      <c r="L23" s="755"/>
      <c r="M23" s="755"/>
      <c r="N23" s="776"/>
      <c r="O23" s="751"/>
      <c r="P23" s="560"/>
    </row>
    <row r="24" spans="1:16" ht="18" customHeight="1">
      <c r="A24" s="569">
        <v>15</v>
      </c>
      <c r="B24" s="462"/>
      <c r="C24" s="366"/>
      <c r="D24" s="1194" t="s">
        <v>283</v>
      </c>
      <c r="E24" s="335">
        <f>F24+G24+O25+P24</f>
        <v>64792</v>
      </c>
      <c r="F24" s="335">
        <v>1956</v>
      </c>
      <c r="G24" s="336"/>
      <c r="H24" s="766"/>
      <c r="I24" s="1037"/>
      <c r="J24" s="755"/>
      <c r="K24" s="755">
        <v>270</v>
      </c>
      <c r="L24" s="755"/>
      <c r="M24" s="755">
        <v>62566</v>
      </c>
      <c r="N24" s="776"/>
      <c r="O24" s="751">
        <f>SUM(I24:N24)</f>
        <v>62836</v>
      </c>
      <c r="P24" s="560"/>
    </row>
    <row r="25" spans="1:16" ht="18" customHeight="1">
      <c r="A25" s="569">
        <v>16</v>
      </c>
      <c r="B25" s="462"/>
      <c r="C25" s="366"/>
      <c r="D25" s="478" t="s">
        <v>757</v>
      </c>
      <c r="E25" s="335"/>
      <c r="F25" s="335"/>
      <c r="G25" s="336"/>
      <c r="H25" s="766"/>
      <c r="I25" s="1037"/>
      <c r="J25" s="755"/>
      <c r="K25" s="1002">
        <v>270</v>
      </c>
      <c r="L25" s="1002"/>
      <c r="M25" s="1002">
        <v>62566</v>
      </c>
      <c r="N25" s="335"/>
      <c r="O25" s="564">
        <f>SUM(I25:N25)</f>
        <v>62836</v>
      </c>
      <c r="P25" s="560"/>
    </row>
    <row r="26" spans="1:16" ht="18" customHeight="1">
      <c r="A26" s="569">
        <v>17</v>
      </c>
      <c r="B26" s="462"/>
      <c r="C26" s="366"/>
      <c r="D26" s="1090" t="s">
        <v>893</v>
      </c>
      <c r="E26" s="335"/>
      <c r="F26" s="335"/>
      <c r="G26" s="336"/>
      <c r="H26" s="766"/>
      <c r="I26" s="1037"/>
      <c r="J26" s="755"/>
      <c r="K26" s="1724">
        <v>0</v>
      </c>
      <c r="L26" s="1724"/>
      <c r="M26" s="1724">
        <v>0</v>
      </c>
      <c r="N26" s="1724"/>
      <c r="O26" s="1723">
        <f>SUM(I26:N26)</f>
        <v>0</v>
      </c>
      <c r="P26" s="560"/>
    </row>
    <row r="27" spans="1:16" ht="33">
      <c r="A27" s="569">
        <v>18</v>
      </c>
      <c r="B27" s="462"/>
      <c r="C27" s="327">
        <v>5</v>
      </c>
      <c r="D27" s="748" t="s">
        <v>439</v>
      </c>
      <c r="E27" s="335"/>
      <c r="F27" s="335"/>
      <c r="G27" s="336"/>
      <c r="H27" s="766" t="s">
        <v>23</v>
      </c>
      <c r="I27" s="1037"/>
      <c r="J27" s="755"/>
      <c r="K27" s="755"/>
      <c r="L27" s="755"/>
      <c r="M27" s="755"/>
      <c r="N27" s="776"/>
      <c r="O27" s="751"/>
      <c r="P27" s="560"/>
    </row>
    <row r="28" spans="1:16" ht="18" customHeight="1">
      <c r="A28" s="569">
        <v>19</v>
      </c>
      <c r="B28" s="462"/>
      <c r="C28" s="366"/>
      <c r="D28" s="1194" t="s">
        <v>283</v>
      </c>
      <c r="E28" s="335">
        <f>F28+G28+O29+P28</f>
        <v>79678</v>
      </c>
      <c r="F28" s="335">
        <v>2459</v>
      </c>
      <c r="G28" s="336">
        <v>140</v>
      </c>
      <c r="H28" s="766"/>
      <c r="I28" s="1037"/>
      <c r="J28" s="755"/>
      <c r="K28" s="755">
        <v>170</v>
      </c>
      <c r="L28" s="755"/>
      <c r="M28" s="755">
        <v>76280</v>
      </c>
      <c r="N28" s="776"/>
      <c r="O28" s="751">
        <f>SUM(I28:N28)</f>
        <v>76450</v>
      </c>
      <c r="P28" s="560"/>
    </row>
    <row r="29" spans="1:16" ht="18" customHeight="1">
      <c r="A29" s="569">
        <v>20</v>
      </c>
      <c r="B29" s="462"/>
      <c r="C29" s="366"/>
      <c r="D29" s="478" t="s">
        <v>757</v>
      </c>
      <c r="E29" s="335"/>
      <c r="F29" s="335"/>
      <c r="G29" s="336"/>
      <c r="H29" s="766"/>
      <c r="I29" s="1037"/>
      <c r="J29" s="755"/>
      <c r="K29" s="1002">
        <v>170</v>
      </c>
      <c r="L29" s="1002"/>
      <c r="M29" s="1002">
        <v>76909</v>
      </c>
      <c r="N29" s="335"/>
      <c r="O29" s="564">
        <f>SUM(I29:N29)</f>
        <v>77079</v>
      </c>
      <c r="P29" s="560"/>
    </row>
    <row r="30" spans="1:16" ht="18" customHeight="1">
      <c r="A30" s="569">
        <v>21</v>
      </c>
      <c r="B30" s="462"/>
      <c r="C30" s="366"/>
      <c r="D30" s="1090" t="s">
        <v>892</v>
      </c>
      <c r="E30" s="335"/>
      <c r="F30" s="335"/>
      <c r="G30" s="336"/>
      <c r="H30" s="766"/>
      <c r="I30" s="1037"/>
      <c r="J30" s="755"/>
      <c r="K30" s="1724">
        <v>120</v>
      </c>
      <c r="L30" s="1724"/>
      <c r="M30" s="1724">
        <v>74554</v>
      </c>
      <c r="N30" s="1724"/>
      <c r="O30" s="1723">
        <f>SUM(I30:N30)</f>
        <v>74674</v>
      </c>
      <c r="P30" s="560"/>
    </row>
    <row r="31" spans="1:256" s="555" customFormat="1" ht="54.75" customHeight="1">
      <c r="A31" s="569">
        <v>22</v>
      </c>
      <c r="B31" s="563"/>
      <c r="C31" s="327">
        <v>6</v>
      </c>
      <c r="D31" s="747" t="s">
        <v>722</v>
      </c>
      <c r="E31" s="335"/>
      <c r="F31" s="559"/>
      <c r="G31" s="336"/>
      <c r="H31" s="788" t="s">
        <v>23</v>
      </c>
      <c r="I31" s="764"/>
      <c r="J31" s="757"/>
      <c r="K31" s="757"/>
      <c r="L31" s="757"/>
      <c r="M31" s="757"/>
      <c r="N31" s="777"/>
      <c r="O31" s="751"/>
      <c r="P31" s="560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326"/>
      <c r="EW31" s="326"/>
      <c r="EX31" s="326"/>
      <c r="EY31" s="326"/>
      <c r="EZ31" s="326"/>
      <c r="FA31" s="326"/>
      <c r="FB31" s="326"/>
      <c r="FC31" s="326"/>
      <c r="FD31" s="326"/>
      <c r="FE31" s="326"/>
      <c r="FF31" s="326"/>
      <c r="FG31" s="326"/>
      <c r="FH31" s="326"/>
      <c r="FI31" s="326"/>
      <c r="FJ31" s="326"/>
      <c r="FK31" s="326"/>
      <c r="FL31" s="326"/>
      <c r="FM31" s="326"/>
      <c r="FN31" s="326"/>
      <c r="FO31" s="326"/>
      <c r="FP31" s="326"/>
      <c r="FQ31" s="326"/>
      <c r="FR31" s="326"/>
      <c r="FS31" s="326"/>
      <c r="FT31" s="326"/>
      <c r="FU31" s="326"/>
      <c r="FV31" s="326"/>
      <c r="FW31" s="326"/>
      <c r="FX31" s="326"/>
      <c r="FY31" s="326"/>
      <c r="FZ31" s="326"/>
      <c r="GA31" s="326"/>
      <c r="GB31" s="326"/>
      <c r="GC31" s="326"/>
      <c r="GD31" s="326"/>
      <c r="GE31" s="326"/>
      <c r="GF31" s="326"/>
      <c r="GG31" s="326"/>
      <c r="GH31" s="326"/>
      <c r="GI31" s="326"/>
      <c r="GJ31" s="326"/>
      <c r="GK31" s="326"/>
      <c r="GL31" s="326"/>
      <c r="GM31" s="326"/>
      <c r="GN31" s="326"/>
      <c r="GO31" s="326"/>
      <c r="GP31" s="326"/>
      <c r="GQ31" s="326"/>
      <c r="GR31" s="326"/>
      <c r="GS31" s="326"/>
      <c r="GT31" s="326"/>
      <c r="GU31" s="326"/>
      <c r="GV31" s="326"/>
      <c r="GW31" s="326"/>
      <c r="GX31" s="326"/>
      <c r="GY31" s="326"/>
      <c r="GZ31" s="326"/>
      <c r="HA31" s="326"/>
      <c r="HB31" s="326"/>
      <c r="HC31" s="326"/>
      <c r="HD31" s="326"/>
      <c r="HE31" s="326"/>
      <c r="HF31" s="326"/>
      <c r="HG31" s="326"/>
      <c r="HH31" s="326"/>
      <c r="HI31" s="326"/>
      <c r="HJ31" s="326"/>
      <c r="HK31" s="326"/>
      <c r="HL31" s="326"/>
      <c r="HM31" s="326"/>
      <c r="HN31" s="326"/>
      <c r="HO31" s="326"/>
      <c r="HP31" s="326"/>
      <c r="HQ31" s="326"/>
      <c r="HR31" s="326"/>
      <c r="HS31" s="326"/>
      <c r="HT31" s="326"/>
      <c r="HU31" s="326"/>
      <c r="HV31" s="326"/>
      <c r="HW31" s="326"/>
      <c r="HX31" s="326"/>
      <c r="HY31" s="326"/>
      <c r="HZ31" s="326"/>
      <c r="IA31" s="326"/>
      <c r="IB31" s="326"/>
      <c r="IC31" s="326"/>
      <c r="ID31" s="326"/>
      <c r="IE31" s="326"/>
      <c r="IF31" s="326"/>
      <c r="IG31" s="326"/>
      <c r="IH31" s="326"/>
      <c r="II31" s="326"/>
      <c r="IJ31" s="326"/>
      <c r="IK31" s="326"/>
      <c r="IL31" s="326"/>
      <c r="IM31" s="326"/>
      <c r="IN31" s="326"/>
      <c r="IO31" s="326"/>
      <c r="IP31" s="326"/>
      <c r="IQ31" s="326"/>
      <c r="IR31" s="326"/>
      <c r="IS31" s="326"/>
      <c r="IT31" s="326"/>
      <c r="IU31" s="326"/>
      <c r="IV31" s="326"/>
    </row>
    <row r="32" spans="1:16" ht="18" customHeight="1">
      <c r="A32" s="569">
        <v>23</v>
      </c>
      <c r="B32" s="462"/>
      <c r="C32" s="366"/>
      <c r="D32" s="1194" t="s">
        <v>283</v>
      </c>
      <c r="E32" s="335">
        <f>F32+G32+O33+P32</f>
        <v>307836</v>
      </c>
      <c r="F32" s="559">
        <f>1024+40</f>
        <v>1064</v>
      </c>
      <c r="G32" s="336">
        <v>908</v>
      </c>
      <c r="H32" s="766"/>
      <c r="I32" s="764"/>
      <c r="J32" s="757"/>
      <c r="K32" s="757">
        <v>474</v>
      </c>
      <c r="L32" s="757"/>
      <c r="M32" s="757">
        <v>305390</v>
      </c>
      <c r="N32" s="777"/>
      <c r="O32" s="751">
        <f>SUM(I32:N32)</f>
        <v>305864</v>
      </c>
      <c r="P32" s="560"/>
    </row>
    <row r="33" spans="1:16" ht="18" customHeight="1">
      <c r="A33" s="569">
        <v>24</v>
      </c>
      <c r="B33" s="462"/>
      <c r="C33" s="366"/>
      <c r="D33" s="478" t="s">
        <v>757</v>
      </c>
      <c r="E33" s="335"/>
      <c r="F33" s="559"/>
      <c r="G33" s="336"/>
      <c r="H33" s="766"/>
      <c r="I33" s="764"/>
      <c r="J33" s="757"/>
      <c r="K33" s="1188">
        <v>1681</v>
      </c>
      <c r="L33" s="1188"/>
      <c r="M33" s="1188">
        <v>304183</v>
      </c>
      <c r="N33" s="556"/>
      <c r="O33" s="564">
        <f>SUM(I33:N33)</f>
        <v>305864</v>
      </c>
      <c r="P33" s="560"/>
    </row>
    <row r="34" spans="1:16" ht="18" customHeight="1">
      <c r="A34" s="569">
        <v>25</v>
      </c>
      <c r="B34" s="462"/>
      <c r="C34" s="366"/>
      <c r="D34" s="1090" t="s">
        <v>892</v>
      </c>
      <c r="E34" s="335"/>
      <c r="F34" s="559"/>
      <c r="G34" s="336"/>
      <c r="H34" s="766"/>
      <c r="I34" s="764"/>
      <c r="J34" s="757"/>
      <c r="K34" s="1186">
        <v>0</v>
      </c>
      <c r="L34" s="1186"/>
      <c r="M34" s="1186">
        <v>197682</v>
      </c>
      <c r="N34" s="556"/>
      <c r="O34" s="1723">
        <f>SUM(I34:N34)</f>
        <v>197682</v>
      </c>
      <c r="P34" s="560"/>
    </row>
    <row r="35" spans="1:256" s="555" customFormat="1" ht="33">
      <c r="A35" s="569">
        <v>26</v>
      </c>
      <c r="B35" s="563"/>
      <c r="C35" s="327">
        <v>7</v>
      </c>
      <c r="D35" s="329" t="s">
        <v>437</v>
      </c>
      <c r="E35" s="335"/>
      <c r="F35" s="559"/>
      <c r="G35" s="336"/>
      <c r="H35" s="788" t="s">
        <v>23</v>
      </c>
      <c r="I35" s="764"/>
      <c r="J35" s="757"/>
      <c r="K35" s="757"/>
      <c r="L35" s="757"/>
      <c r="M35" s="757"/>
      <c r="N35" s="777"/>
      <c r="O35" s="751"/>
      <c r="P35" s="560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6"/>
      <c r="CN35" s="326"/>
      <c r="CO35" s="326"/>
      <c r="CP35" s="326"/>
      <c r="CQ35" s="326"/>
      <c r="CR35" s="326"/>
      <c r="CS35" s="326"/>
      <c r="CT35" s="326"/>
      <c r="CU35" s="326"/>
      <c r="CV35" s="326"/>
      <c r="CW35" s="326"/>
      <c r="CX35" s="326"/>
      <c r="CY35" s="326"/>
      <c r="CZ35" s="326"/>
      <c r="DA35" s="326"/>
      <c r="DB35" s="326"/>
      <c r="DC35" s="326"/>
      <c r="DD35" s="326"/>
      <c r="DE35" s="326"/>
      <c r="DF35" s="326"/>
      <c r="DG35" s="326"/>
      <c r="DH35" s="326"/>
      <c r="DI35" s="326"/>
      <c r="DJ35" s="326"/>
      <c r="DK35" s="326"/>
      <c r="DL35" s="326"/>
      <c r="DM35" s="326"/>
      <c r="DN35" s="326"/>
      <c r="DO35" s="326"/>
      <c r="DP35" s="326"/>
      <c r="DQ35" s="326"/>
      <c r="DR35" s="326"/>
      <c r="DS35" s="326"/>
      <c r="DT35" s="326"/>
      <c r="DU35" s="326"/>
      <c r="DV35" s="326"/>
      <c r="DW35" s="326"/>
      <c r="DX35" s="326"/>
      <c r="DY35" s="326"/>
      <c r="DZ35" s="326"/>
      <c r="EA35" s="326"/>
      <c r="EB35" s="326"/>
      <c r="EC35" s="326"/>
      <c r="ED35" s="326"/>
      <c r="EE35" s="326"/>
      <c r="EF35" s="326"/>
      <c r="EG35" s="326"/>
      <c r="EH35" s="326"/>
      <c r="EI35" s="326"/>
      <c r="EJ35" s="326"/>
      <c r="EK35" s="326"/>
      <c r="EL35" s="326"/>
      <c r="EM35" s="326"/>
      <c r="EN35" s="326"/>
      <c r="EO35" s="326"/>
      <c r="EP35" s="326"/>
      <c r="EQ35" s="326"/>
      <c r="ER35" s="326"/>
      <c r="ES35" s="326"/>
      <c r="ET35" s="326"/>
      <c r="EU35" s="326"/>
      <c r="EV35" s="326"/>
      <c r="EW35" s="326"/>
      <c r="EX35" s="326"/>
      <c r="EY35" s="326"/>
      <c r="EZ35" s="326"/>
      <c r="FA35" s="326"/>
      <c r="FB35" s="326"/>
      <c r="FC35" s="326"/>
      <c r="FD35" s="326"/>
      <c r="FE35" s="326"/>
      <c r="FF35" s="326"/>
      <c r="FG35" s="326"/>
      <c r="FH35" s="326"/>
      <c r="FI35" s="326"/>
      <c r="FJ35" s="326"/>
      <c r="FK35" s="326"/>
      <c r="FL35" s="326"/>
      <c r="FM35" s="326"/>
      <c r="FN35" s="326"/>
      <c r="FO35" s="326"/>
      <c r="FP35" s="326"/>
      <c r="FQ35" s="326"/>
      <c r="FR35" s="326"/>
      <c r="FS35" s="326"/>
      <c r="FT35" s="326"/>
      <c r="FU35" s="326"/>
      <c r="FV35" s="326"/>
      <c r="FW35" s="326"/>
      <c r="FX35" s="326"/>
      <c r="FY35" s="326"/>
      <c r="FZ35" s="326"/>
      <c r="GA35" s="326"/>
      <c r="GB35" s="326"/>
      <c r="GC35" s="326"/>
      <c r="GD35" s="326"/>
      <c r="GE35" s="326"/>
      <c r="GF35" s="326"/>
      <c r="GG35" s="326"/>
      <c r="GH35" s="326"/>
      <c r="GI35" s="326"/>
      <c r="GJ35" s="326"/>
      <c r="GK35" s="326"/>
      <c r="GL35" s="326"/>
      <c r="GM35" s="326"/>
      <c r="GN35" s="326"/>
      <c r="GO35" s="326"/>
      <c r="GP35" s="326"/>
      <c r="GQ35" s="326"/>
      <c r="GR35" s="326"/>
      <c r="GS35" s="326"/>
      <c r="GT35" s="326"/>
      <c r="GU35" s="326"/>
      <c r="GV35" s="326"/>
      <c r="GW35" s="326"/>
      <c r="GX35" s="326"/>
      <c r="GY35" s="326"/>
      <c r="GZ35" s="326"/>
      <c r="HA35" s="326"/>
      <c r="HB35" s="326"/>
      <c r="HC35" s="326"/>
      <c r="HD35" s="326"/>
      <c r="HE35" s="326"/>
      <c r="HF35" s="326"/>
      <c r="HG35" s="326"/>
      <c r="HH35" s="326"/>
      <c r="HI35" s="326"/>
      <c r="HJ35" s="326"/>
      <c r="HK35" s="326"/>
      <c r="HL35" s="326"/>
      <c r="HM35" s="326"/>
      <c r="HN35" s="326"/>
      <c r="HO35" s="326"/>
      <c r="HP35" s="326"/>
      <c r="HQ35" s="326"/>
      <c r="HR35" s="326"/>
      <c r="HS35" s="326"/>
      <c r="HT35" s="326"/>
      <c r="HU35" s="326"/>
      <c r="HV35" s="326"/>
      <c r="HW35" s="326"/>
      <c r="HX35" s="326"/>
      <c r="HY35" s="326"/>
      <c r="HZ35" s="326"/>
      <c r="IA35" s="326"/>
      <c r="IB35" s="326"/>
      <c r="IC35" s="326"/>
      <c r="ID35" s="326"/>
      <c r="IE35" s="326"/>
      <c r="IF35" s="326"/>
      <c r="IG35" s="326"/>
      <c r="IH35" s="326"/>
      <c r="II35" s="326"/>
      <c r="IJ35" s="326"/>
      <c r="IK35" s="326"/>
      <c r="IL35" s="326"/>
      <c r="IM35" s="326"/>
      <c r="IN35" s="326"/>
      <c r="IO35" s="326"/>
      <c r="IP35" s="326"/>
      <c r="IQ35" s="326"/>
      <c r="IR35" s="326"/>
      <c r="IS35" s="326"/>
      <c r="IT35" s="326"/>
      <c r="IU35" s="326"/>
      <c r="IV35" s="326"/>
    </row>
    <row r="36" spans="1:16" ht="18" customHeight="1">
      <c r="A36" s="569">
        <v>27</v>
      </c>
      <c r="B36" s="462"/>
      <c r="C36" s="366"/>
      <c r="D36" s="1194" t="s">
        <v>283</v>
      </c>
      <c r="E36" s="335">
        <f>F36+G36+O37+P36</f>
        <v>303451</v>
      </c>
      <c r="F36" s="559">
        <f>6401+100</f>
        <v>6501</v>
      </c>
      <c r="G36" s="336">
        <v>128</v>
      </c>
      <c r="H36" s="766"/>
      <c r="I36" s="764"/>
      <c r="J36" s="757"/>
      <c r="K36" s="757">
        <v>150</v>
      </c>
      <c r="L36" s="757"/>
      <c r="M36" s="757">
        <v>296202</v>
      </c>
      <c r="N36" s="777"/>
      <c r="O36" s="751">
        <f>SUM(I36:N36)</f>
        <v>296352</v>
      </c>
      <c r="P36" s="560"/>
    </row>
    <row r="37" spans="1:16" ht="18" customHeight="1">
      <c r="A37" s="569">
        <v>28</v>
      </c>
      <c r="B37" s="462"/>
      <c r="C37" s="366"/>
      <c r="D37" s="478" t="s">
        <v>757</v>
      </c>
      <c r="E37" s="335"/>
      <c r="F37" s="559"/>
      <c r="G37" s="336"/>
      <c r="H37" s="766"/>
      <c r="I37" s="764"/>
      <c r="J37" s="757"/>
      <c r="K37" s="1188">
        <v>253</v>
      </c>
      <c r="L37" s="1188"/>
      <c r="M37" s="1188">
        <v>296569</v>
      </c>
      <c r="N37" s="556"/>
      <c r="O37" s="564">
        <f>SUM(I37:N37)</f>
        <v>296822</v>
      </c>
      <c r="P37" s="560"/>
    </row>
    <row r="38" spans="1:16" ht="18" customHeight="1">
      <c r="A38" s="569">
        <v>29</v>
      </c>
      <c r="B38" s="462"/>
      <c r="C38" s="366"/>
      <c r="D38" s="1090" t="s">
        <v>893</v>
      </c>
      <c r="E38" s="335"/>
      <c r="F38" s="559"/>
      <c r="G38" s="336"/>
      <c r="H38" s="766"/>
      <c r="I38" s="764"/>
      <c r="J38" s="757"/>
      <c r="K38" s="1186">
        <v>178</v>
      </c>
      <c r="L38" s="1186"/>
      <c r="M38" s="1186">
        <v>287666</v>
      </c>
      <c r="N38" s="1186"/>
      <c r="O38" s="1723">
        <f>SUM(I38:N38)</f>
        <v>287844</v>
      </c>
      <c r="P38" s="560"/>
    </row>
    <row r="39" spans="1:16" ht="33">
      <c r="A39" s="569">
        <v>30</v>
      </c>
      <c r="B39" s="462"/>
      <c r="C39" s="327">
        <v>8</v>
      </c>
      <c r="D39" s="329" t="s">
        <v>440</v>
      </c>
      <c r="E39" s="335"/>
      <c r="F39" s="559"/>
      <c r="G39" s="336"/>
      <c r="H39" s="766" t="s">
        <v>23</v>
      </c>
      <c r="I39" s="764"/>
      <c r="J39" s="757"/>
      <c r="K39" s="757"/>
      <c r="L39" s="757"/>
      <c r="M39" s="757"/>
      <c r="N39" s="777"/>
      <c r="O39" s="751"/>
      <c r="P39" s="560"/>
    </row>
    <row r="40" spans="1:256" s="555" customFormat="1" ht="18" customHeight="1">
      <c r="A40" s="569">
        <v>31</v>
      </c>
      <c r="B40" s="563"/>
      <c r="C40" s="327"/>
      <c r="D40" s="1194" t="s">
        <v>283</v>
      </c>
      <c r="E40" s="335">
        <f>F40+G40+O41+P40</f>
        <v>3597000</v>
      </c>
      <c r="F40" s="559">
        <f>450951+1231269</f>
        <v>1682220</v>
      </c>
      <c r="G40" s="336">
        <v>1173643</v>
      </c>
      <c r="H40" s="766"/>
      <c r="I40" s="764"/>
      <c r="J40" s="757"/>
      <c r="K40" s="757">
        <v>712</v>
      </c>
      <c r="L40" s="757"/>
      <c r="M40" s="757">
        <v>740425</v>
      </c>
      <c r="N40" s="777"/>
      <c r="O40" s="751">
        <f>SUM(I40:N40)</f>
        <v>741137</v>
      </c>
      <c r="P40" s="560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  <c r="BW40" s="326"/>
      <c r="BX40" s="326"/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6"/>
      <c r="CN40" s="326"/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6"/>
      <c r="DD40" s="326"/>
      <c r="DE40" s="326"/>
      <c r="DF40" s="326"/>
      <c r="DG40" s="326"/>
      <c r="DH40" s="326"/>
      <c r="DI40" s="326"/>
      <c r="DJ40" s="326"/>
      <c r="DK40" s="326"/>
      <c r="DL40" s="326"/>
      <c r="DM40" s="326"/>
      <c r="DN40" s="326"/>
      <c r="DO40" s="326"/>
      <c r="DP40" s="326"/>
      <c r="DQ40" s="326"/>
      <c r="DR40" s="326"/>
      <c r="DS40" s="326"/>
      <c r="DT40" s="326"/>
      <c r="DU40" s="326"/>
      <c r="DV40" s="326"/>
      <c r="DW40" s="326"/>
      <c r="DX40" s="326"/>
      <c r="DY40" s="326"/>
      <c r="DZ40" s="326"/>
      <c r="EA40" s="326"/>
      <c r="EB40" s="326"/>
      <c r="EC40" s="326"/>
      <c r="ED40" s="326"/>
      <c r="EE40" s="326"/>
      <c r="EF40" s="326"/>
      <c r="EG40" s="326"/>
      <c r="EH40" s="326"/>
      <c r="EI40" s="326"/>
      <c r="EJ40" s="326"/>
      <c r="EK40" s="326"/>
      <c r="EL40" s="326"/>
      <c r="EM40" s="326"/>
      <c r="EN40" s="326"/>
      <c r="EO40" s="326"/>
      <c r="EP40" s="326"/>
      <c r="EQ40" s="326"/>
      <c r="ER40" s="326"/>
      <c r="ES40" s="326"/>
      <c r="ET40" s="326"/>
      <c r="EU40" s="326"/>
      <c r="EV40" s="326"/>
      <c r="EW40" s="326"/>
      <c r="EX40" s="326"/>
      <c r="EY40" s="326"/>
      <c r="EZ40" s="326"/>
      <c r="FA40" s="326"/>
      <c r="FB40" s="326"/>
      <c r="FC40" s="326"/>
      <c r="FD40" s="326"/>
      <c r="FE40" s="326"/>
      <c r="FF40" s="326"/>
      <c r="FG40" s="326"/>
      <c r="FH40" s="326"/>
      <c r="FI40" s="326"/>
      <c r="FJ40" s="326"/>
      <c r="FK40" s="326"/>
      <c r="FL40" s="326"/>
      <c r="FM40" s="326"/>
      <c r="FN40" s="326"/>
      <c r="FO40" s="326"/>
      <c r="FP40" s="326"/>
      <c r="FQ40" s="326"/>
      <c r="FR40" s="326"/>
      <c r="FS40" s="326"/>
      <c r="FT40" s="326"/>
      <c r="FU40" s="326"/>
      <c r="FV40" s="326"/>
      <c r="FW40" s="326"/>
      <c r="FX40" s="326"/>
      <c r="FY40" s="326"/>
      <c r="FZ40" s="326"/>
      <c r="GA40" s="326"/>
      <c r="GB40" s="326"/>
      <c r="GC40" s="326"/>
      <c r="GD40" s="326"/>
      <c r="GE40" s="326"/>
      <c r="GF40" s="326"/>
      <c r="GG40" s="326"/>
      <c r="GH40" s="326"/>
      <c r="GI40" s="326"/>
      <c r="GJ40" s="326"/>
      <c r="GK40" s="326"/>
      <c r="GL40" s="326"/>
      <c r="GM40" s="326"/>
      <c r="GN40" s="326"/>
      <c r="GO40" s="326"/>
      <c r="GP40" s="326"/>
      <c r="GQ40" s="326"/>
      <c r="GR40" s="326"/>
      <c r="GS40" s="326"/>
      <c r="GT40" s="326"/>
      <c r="GU40" s="326"/>
      <c r="GV40" s="326"/>
      <c r="GW40" s="326"/>
      <c r="GX40" s="326"/>
      <c r="GY40" s="326"/>
      <c r="GZ40" s="326"/>
      <c r="HA40" s="326"/>
      <c r="HB40" s="326"/>
      <c r="HC40" s="326"/>
      <c r="HD40" s="326"/>
      <c r="HE40" s="326"/>
      <c r="HF40" s="326"/>
      <c r="HG40" s="326"/>
      <c r="HH40" s="326"/>
      <c r="HI40" s="326"/>
      <c r="HJ40" s="326"/>
      <c r="HK40" s="326"/>
      <c r="HL40" s="326"/>
      <c r="HM40" s="326"/>
      <c r="HN40" s="326"/>
      <c r="HO40" s="326"/>
      <c r="HP40" s="326"/>
      <c r="HQ40" s="326"/>
      <c r="HR40" s="326"/>
      <c r="HS40" s="326"/>
      <c r="HT40" s="326"/>
      <c r="HU40" s="326"/>
      <c r="HV40" s="326"/>
      <c r="HW40" s="326"/>
      <c r="HX40" s="326"/>
      <c r="HY40" s="326"/>
      <c r="HZ40" s="326"/>
      <c r="IA40" s="326"/>
      <c r="IB40" s="326"/>
      <c r="IC40" s="326"/>
      <c r="ID40" s="326"/>
      <c r="IE40" s="326"/>
      <c r="IF40" s="326"/>
      <c r="IG40" s="326"/>
      <c r="IH40" s="326"/>
      <c r="II40" s="326"/>
      <c r="IJ40" s="326"/>
      <c r="IK40" s="326"/>
      <c r="IL40" s="326"/>
      <c r="IM40" s="326"/>
      <c r="IN40" s="326"/>
      <c r="IO40" s="326"/>
      <c r="IP40" s="326"/>
      <c r="IQ40" s="326"/>
      <c r="IR40" s="326"/>
      <c r="IS40" s="326"/>
      <c r="IT40" s="326"/>
      <c r="IU40" s="326"/>
      <c r="IV40" s="326"/>
    </row>
    <row r="41" spans="1:256" s="555" customFormat="1" ht="18" customHeight="1">
      <c r="A41" s="569">
        <v>32</v>
      </c>
      <c r="B41" s="563"/>
      <c r="C41" s="327"/>
      <c r="D41" s="478" t="s">
        <v>757</v>
      </c>
      <c r="E41" s="335"/>
      <c r="F41" s="559"/>
      <c r="G41" s="336"/>
      <c r="H41" s="766"/>
      <c r="I41" s="764"/>
      <c r="J41" s="757"/>
      <c r="K41" s="1188">
        <v>815</v>
      </c>
      <c r="L41" s="1188"/>
      <c r="M41" s="1188">
        <v>740322</v>
      </c>
      <c r="N41" s="556"/>
      <c r="O41" s="564">
        <f>SUM(I41:N41)</f>
        <v>741137</v>
      </c>
      <c r="P41" s="560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26"/>
      <c r="BX41" s="326"/>
      <c r="BY41" s="326"/>
      <c r="BZ41" s="326"/>
      <c r="CA41" s="326"/>
      <c r="CB41" s="326"/>
      <c r="CC41" s="326"/>
      <c r="CD41" s="326"/>
      <c r="CE41" s="326"/>
      <c r="CF41" s="326"/>
      <c r="CG41" s="326"/>
      <c r="CH41" s="326"/>
      <c r="CI41" s="326"/>
      <c r="CJ41" s="326"/>
      <c r="CK41" s="326"/>
      <c r="CL41" s="326"/>
      <c r="CM41" s="326"/>
      <c r="CN41" s="326"/>
      <c r="CO41" s="326"/>
      <c r="CP41" s="326"/>
      <c r="CQ41" s="326"/>
      <c r="CR41" s="326"/>
      <c r="CS41" s="326"/>
      <c r="CT41" s="326"/>
      <c r="CU41" s="326"/>
      <c r="CV41" s="326"/>
      <c r="CW41" s="326"/>
      <c r="CX41" s="326"/>
      <c r="CY41" s="326"/>
      <c r="CZ41" s="326"/>
      <c r="DA41" s="326"/>
      <c r="DB41" s="326"/>
      <c r="DC41" s="326"/>
      <c r="DD41" s="326"/>
      <c r="DE41" s="326"/>
      <c r="DF41" s="326"/>
      <c r="DG41" s="326"/>
      <c r="DH41" s="326"/>
      <c r="DI41" s="326"/>
      <c r="DJ41" s="326"/>
      <c r="DK41" s="326"/>
      <c r="DL41" s="326"/>
      <c r="DM41" s="326"/>
      <c r="DN41" s="326"/>
      <c r="DO41" s="326"/>
      <c r="DP41" s="326"/>
      <c r="DQ41" s="326"/>
      <c r="DR41" s="326"/>
      <c r="DS41" s="326"/>
      <c r="DT41" s="326"/>
      <c r="DU41" s="326"/>
      <c r="DV41" s="326"/>
      <c r="DW41" s="326"/>
      <c r="DX41" s="326"/>
      <c r="DY41" s="326"/>
      <c r="DZ41" s="326"/>
      <c r="EA41" s="326"/>
      <c r="EB41" s="326"/>
      <c r="EC41" s="326"/>
      <c r="ED41" s="326"/>
      <c r="EE41" s="326"/>
      <c r="EF41" s="326"/>
      <c r="EG41" s="326"/>
      <c r="EH41" s="326"/>
      <c r="EI41" s="326"/>
      <c r="EJ41" s="326"/>
      <c r="EK41" s="326"/>
      <c r="EL41" s="326"/>
      <c r="EM41" s="326"/>
      <c r="EN41" s="326"/>
      <c r="EO41" s="326"/>
      <c r="EP41" s="326"/>
      <c r="EQ41" s="326"/>
      <c r="ER41" s="326"/>
      <c r="ES41" s="326"/>
      <c r="ET41" s="326"/>
      <c r="EU41" s="326"/>
      <c r="EV41" s="326"/>
      <c r="EW41" s="326"/>
      <c r="EX41" s="326"/>
      <c r="EY41" s="326"/>
      <c r="EZ41" s="326"/>
      <c r="FA41" s="326"/>
      <c r="FB41" s="326"/>
      <c r="FC41" s="326"/>
      <c r="FD41" s="326"/>
      <c r="FE41" s="326"/>
      <c r="FF41" s="326"/>
      <c r="FG41" s="326"/>
      <c r="FH41" s="326"/>
      <c r="FI41" s="326"/>
      <c r="FJ41" s="326"/>
      <c r="FK41" s="326"/>
      <c r="FL41" s="326"/>
      <c r="FM41" s="326"/>
      <c r="FN41" s="326"/>
      <c r="FO41" s="326"/>
      <c r="FP41" s="326"/>
      <c r="FQ41" s="326"/>
      <c r="FR41" s="326"/>
      <c r="FS41" s="326"/>
      <c r="FT41" s="326"/>
      <c r="FU41" s="326"/>
      <c r="FV41" s="326"/>
      <c r="FW41" s="326"/>
      <c r="FX41" s="326"/>
      <c r="FY41" s="326"/>
      <c r="FZ41" s="326"/>
      <c r="GA41" s="326"/>
      <c r="GB41" s="326"/>
      <c r="GC41" s="326"/>
      <c r="GD41" s="326"/>
      <c r="GE41" s="326"/>
      <c r="GF41" s="326"/>
      <c r="GG41" s="326"/>
      <c r="GH41" s="326"/>
      <c r="GI41" s="326"/>
      <c r="GJ41" s="326"/>
      <c r="GK41" s="326"/>
      <c r="GL41" s="326"/>
      <c r="GM41" s="326"/>
      <c r="GN41" s="326"/>
      <c r="GO41" s="326"/>
      <c r="GP41" s="326"/>
      <c r="GQ41" s="326"/>
      <c r="GR41" s="326"/>
      <c r="GS41" s="326"/>
      <c r="GT41" s="326"/>
      <c r="GU41" s="326"/>
      <c r="GV41" s="326"/>
      <c r="GW41" s="326"/>
      <c r="GX41" s="326"/>
      <c r="GY41" s="326"/>
      <c r="GZ41" s="326"/>
      <c r="HA41" s="326"/>
      <c r="HB41" s="326"/>
      <c r="HC41" s="326"/>
      <c r="HD41" s="326"/>
      <c r="HE41" s="326"/>
      <c r="HF41" s="326"/>
      <c r="HG41" s="326"/>
      <c r="HH41" s="326"/>
      <c r="HI41" s="326"/>
      <c r="HJ41" s="326"/>
      <c r="HK41" s="326"/>
      <c r="HL41" s="326"/>
      <c r="HM41" s="326"/>
      <c r="HN41" s="326"/>
      <c r="HO41" s="326"/>
      <c r="HP41" s="326"/>
      <c r="HQ41" s="326"/>
      <c r="HR41" s="326"/>
      <c r="HS41" s="326"/>
      <c r="HT41" s="326"/>
      <c r="HU41" s="326"/>
      <c r="HV41" s="326"/>
      <c r="HW41" s="326"/>
      <c r="HX41" s="326"/>
      <c r="HY41" s="326"/>
      <c r="HZ41" s="326"/>
      <c r="IA41" s="326"/>
      <c r="IB41" s="326"/>
      <c r="IC41" s="326"/>
      <c r="ID41" s="326"/>
      <c r="IE41" s="326"/>
      <c r="IF41" s="326"/>
      <c r="IG41" s="326"/>
      <c r="IH41" s="326"/>
      <c r="II41" s="326"/>
      <c r="IJ41" s="326"/>
      <c r="IK41" s="326"/>
      <c r="IL41" s="326"/>
      <c r="IM41" s="326"/>
      <c r="IN41" s="326"/>
      <c r="IO41" s="326"/>
      <c r="IP41" s="326"/>
      <c r="IQ41" s="326"/>
      <c r="IR41" s="326"/>
      <c r="IS41" s="326"/>
      <c r="IT41" s="326"/>
      <c r="IU41" s="326"/>
      <c r="IV41" s="326"/>
    </row>
    <row r="42" spans="1:256" s="555" customFormat="1" ht="18" customHeight="1">
      <c r="A42" s="569">
        <v>33</v>
      </c>
      <c r="B42" s="563"/>
      <c r="C42" s="327"/>
      <c r="D42" s="1090" t="s">
        <v>892</v>
      </c>
      <c r="E42" s="335"/>
      <c r="F42" s="559"/>
      <c r="G42" s="336"/>
      <c r="H42" s="766"/>
      <c r="I42" s="764"/>
      <c r="J42" s="757"/>
      <c r="K42" s="1186">
        <v>1075</v>
      </c>
      <c r="L42" s="1186"/>
      <c r="M42" s="1186">
        <v>345521</v>
      </c>
      <c r="N42" s="556"/>
      <c r="O42" s="1723">
        <f>SUM(I42:N42)</f>
        <v>346596</v>
      </c>
      <c r="P42" s="560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  <c r="DA42" s="326"/>
      <c r="DB42" s="326"/>
      <c r="DC42" s="326"/>
      <c r="DD42" s="326"/>
      <c r="DE42" s="326"/>
      <c r="DF42" s="326"/>
      <c r="DG42" s="326"/>
      <c r="DH42" s="326"/>
      <c r="DI42" s="326"/>
      <c r="DJ42" s="326"/>
      <c r="DK42" s="326"/>
      <c r="DL42" s="326"/>
      <c r="DM42" s="326"/>
      <c r="DN42" s="326"/>
      <c r="DO42" s="326"/>
      <c r="DP42" s="326"/>
      <c r="DQ42" s="326"/>
      <c r="DR42" s="326"/>
      <c r="DS42" s="326"/>
      <c r="DT42" s="326"/>
      <c r="DU42" s="326"/>
      <c r="DV42" s="326"/>
      <c r="DW42" s="326"/>
      <c r="DX42" s="326"/>
      <c r="DY42" s="326"/>
      <c r="DZ42" s="326"/>
      <c r="EA42" s="326"/>
      <c r="EB42" s="326"/>
      <c r="EC42" s="326"/>
      <c r="ED42" s="326"/>
      <c r="EE42" s="326"/>
      <c r="EF42" s="326"/>
      <c r="EG42" s="326"/>
      <c r="EH42" s="326"/>
      <c r="EI42" s="326"/>
      <c r="EJ42" s="326"/>
      <c r="EK42" s="326"/>
      <c r="EL42" s="326"/>
      <c r="EM42" s="326"/>
      <c r="EN42" s="326"/>
      <c r="EO42" s="326"/>
      <c r="EP42" s="326"/>
      <c r="EQ42" s="326"/>
      <c r="ER42" s="326"/>
      <c r="ES42" s="326"/>
      <c r="ET42" s="326"/>
      <c r="EU42" s="326"/>
      <c r="EV42" s="326"/>
      <c r="EW42" s="326"/>
      <c r="EX42" s="326"/>
      <c r="EY42" s="326"/>
      <c r="EZ42" s="326"/>
      <c r="FA42" s="326"/>
      <c r="FB42" s="326"/>
      <c r="FC42" s="326"/>
      <c r="FD42" s="326"/>
      <c r="FE42" s="326"/>
      <c r="FF42" s="326"/>
      <c r="FG42" s="326"/>
      <c r="FH42" s="326"/>
      <c r="FI42" s="326"/>
      <c r="FJ42" s="326"/>
      <c r="FK42" s="326"/>
      <c r="FL42" s="326"/>
      <c r="FM42" s="326"/>
      <c r="FN42" s="326"/>
      <c r="FO42" s="326"/>
      <c r="FP42" s="326"/>
      <c r="FQ42" s="326"/>
      <c r="FR42" s="326"/>
      <c r="FS42" s="326"/>
      <c r="FT42" s="326"/>
      <c r="FU42" s="326"/>
      <c r="FV42" s="326"/>
      <c r="FW42" s="326"/>
      <c r="FX42" s="326"/>
      <c r="FY42" s="326"/>
      <c r="FZ42" s="326"/>
      <c r="GA42" s="326"/>
      <c r="GB42" s="326"/>
      <c r="GC42" s="326"/>
      <c r="GD42" s="326"/>
      <c r="GE42" s="326"/>
      <c r="GF42" s="326"/>
      <c r="GG42" s="326"/>
      <c r="GH42" s="326"/>
      <c r="GI42" s="326"/>
      <c r="GJ42" s="326"/>
      <c r="GK42" s="326"/>
      <c r="GL42" s="326"/>
      <c r="GM42" s="326"/>
      <c r="GN42" s="326"/>
      <c r="GO42" s="326"/>
      <c r="GP42" s="326"/>
      <c r="GQ42" s="326"/>
      <c r="GR42" s="326"/>
      <c r="GS42" s="326"/>
      <c r="GT42" s="326"/>
      <c r="GU42" s="326"/>
      <c r="GV42" s="326"/>
      <c r="GW42" s="326"/>
      <c r="GX42" s="326"/>
      <c r="GY42" s="326"/>
      <c r="GZ42" s="326"/>
      <c r="HA42" s="326"/>
      <c r="HB42" s="326"/>
      <c r="HC42" s="326"/>
      <c r="HD42" s="326"/>
      <c r="HE42" s="326"/>
      <c r="HF42" s="326"/>
      <c r="HG42" s="326"/>
      <c r="HH42" s="326"/>
      <c r="HI42" s="326"/>
      <c r="HJ42" s="326"/>
      <c r="HK42" s="326"/>
      <c r="HL42" s="326"/>
      <c r="HM42" s="326"/>
      <c r="HN42" s="326"/>
      <c r="HO42" s="326"/>
      <c r="HP42" s="326"/>
      <c r="HQ42" s="326"/>
      <c r="HR42" s="326"/>
      <c r="HS42" s="326"/>
      <c r="HT42" s="326"/>
      <c r="HU42" s="326"/>
      <c r="HV42" s="326"/>
      <c r="HW42" s="326"/>
      <c r="HX42" s="326"/>
      <c r="HY42" s="326"/>
      <c r="HZ42" s="326"/>
      <c r="IA42" s="326"/>
      <c r="IB42" s="326"/>
      <c r="IC42" s="326"/>
      <c r="ID42" s="326"/>
      <c r="IE42" s="326"/>
      <c r="IF42" s="326"/>
      <c r="IG42" s="326"/>
      <c r="IH42" s="326"/>
      <c r="II42" s="326"/>
      <c r="IJ42" s="326"/>
      <c r="IK42" s="326"/>
      <c r="IL42" s="326"/>
      <c r="IM42" s="326"/>
      <c r="IN42" s="326"/>
      <c r="IO42" s="326"/>
      <c r="IP42" s="326"/>
      <c r="IQ42" s="326"/>
      <c r="IR42" s="326"/>
      <c r="IS42" s="326"/>
      <c r="IT42" s="326"/>
      <c r="IU42" s="326"/>
      <c r="IV42" s="326"/>
    </row>
    <row r="43" spans="1:16" ht="33">
      <c r="A43" s="569">
        <v>34</v>
      </c>
      <c r="B43" s="462"/>
      <c r="C43" s="327">
        <v>9</v>
      </c>
      <c r="D43" s="329" t="s">
        <v>591</v>
      </c>
      <c r="E43" s="335"/>
      <c r="F43" s="559"/>
      <c r="G43" s="336"/>
      <c r="H43" s="766" t="s">
        <v>23</v>
      </c>
      <c r="I43" s="764"/>
      <c r="J43" s="757"/>
      <c r="K43" s="757"/>
      <c r="L43" s="757"/>
      <c r="M43" s="757"/>
      <c r="N43" s="777"/>
      <c r="O43" s="751"/>
      <c r="P43" s="560"/>
    </row>
    <row r="44" spans="1:256" s="555" customFormat="1" ht="18" customHeight="1">
      <c r="A44" s="569">
        <v>35</v>
      </c>
      <c r="B44" s="563"/>
      <c r="C44" s="366"/>
      <c r="D44" s="1194" t="s">
        <v>283</v>
      </c>
      <c r="E44" s="335">
        <f>F44+G44+O45+P44+6000</f>
        <v>240183</v>
      </c>
      <c r="F44" s="559">
        <f>9749+3835</f>
        <v>13584</v>
      </c>
      <c r="G44" s="336">
        <f>1005+6692</f>
        <v>7697</v>
      </c>
      <c r="H44" s="766"/>
      <c r="I44" s="764"/>
      <c r="J44" s="757"/>
      <c r="K44" s="757">
        <v>2010</v>
      </c>
      <c r="L44" s="757"/>
      <c r="M44" s="757">
        <v>217584</v>
      </c>
      <c r="N44" s="777"/>
      <c r="O44" s="751">
        <f>SUM(I44:N44)</f>
        <v>219594</v>
      </c>
      <c r="P44" s="560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26"/>
      <c r="BX44" s="326"/>
      <c r="BY44" s="326"/>
      <c r="BZ44" s="326"/>
      <c r="CA44" s="326"/>
      <c r="CB44" s="326"/>
      <c r="CC44" s="326"/>
      <c r="CD44" s="326"/>
      <c r="CE44" s="326"/>
      <c r="CF44" s="326"/>
      <c r="CG44" s="326"/>
      <c r="CH44" s="326"/>
      <c r="CI44" s="326"/>
      <c r="CJ44" s="326"/>
      <c r="CK44" s="326"/>
      <c r="CL44" s="326"/>
      <c r="CM44" s="326"/>
      <c r="CN44" s="326"/>
      <c r="CO44" s="326"/>
      <c r="CP44" s="326"/>
      <c r="CQ44" s="326"/>
      <c r="CR44" s="326"/>
      <c r="CS44" s="326"/>
      <c r="CT44" s="326"/>
      <c r="CU44" s="326"/>
      <c r="CV44" s="326"/>
      <c r="CW44" s="326"/>
      <c r="CX44" s="326"/>
      <c r="CY44" s="326"/>
      <c r="CZ44" s="326"/>
      <c r="DA44" s="326"/>
      <c r="DB44" s="326"/>
      <c r="DC44" s="326"/>
      <c r="DD44" s="326"/>
      <c r="DE44" s="326"/>
      <c r="DF44" s="326"/>
      <c r="DG44" s="326"/>
      <c r="DH44" s="326"/>
      <c r="DI44" s="326"/>
      <c r="DJ44" s="326"/>
      <c r="DK44" s="326"/>
      <c r="DL44" s="326"/>
      <c r="DM44" s="326"/>
      <c r="DN44" s="326"/>
      <c r="DO44" s="326"/>
      <c r="DP44" s="326"/>
      <c r="DQ44" s="326"/>
      <c r="DR44" s="326"/>
      <c r="DS44" s="326"/>
      <c r="DT44" s="326"/>
      <c r="DU44" s="326"/>
      <c r="DV44" s="326"/>
      <c r="DW44" s="326"/>
      <c r="DX44" s="326"/>
      <c r="DY44" s="326"/>
      <c r="DZ44" s="326"/>
      <c r="EA44" s="326"/>
      <c r="EB44" s="326"/>
      <c r="EC44" s="326"/>
      <c r="ED44" s="326"/>
      <c r="EE44" s="326"/>
      <c r="EF44" s="326"/>
      <c r="EG44" s="326"/>
      <c r="EH44" s="326"/>
      <c r="EI44" s="326"/>
      <c r="EJ44" s="326"/>
      <c r="EK44" s="326"/>
      <c r="EL44" s="326"/>
      <c r="EM44" s="326"/>
      <c r="EN44" s="326"/>
      <c r="EO44" s="326"/>
      <c r="EP44" s="326"/>
      <c r="EQ44" s="326"/>
      <c r="ER44" s="326"/>
      <c r="ES44" s="326"/>
      <c r="ET44" s="326"/>
      <c r="EU44" s="326"/>
      <c r="EV44" s="326"/>
      <c r="EW44" s="326"/>
      <c r="EX44" s="326"/>
      <c r="EY44" s="326"/>
      <c r="EZ44" s="326"/>
      <c r="FA44" s="326"/>
      <c r="FB44" s="326"/>
      <c r="FC44" s="326"/>
      <c r="FD44" s="326"/>
      <c r="FE44" s="326"/>
      <c r="FF44" s="326"/>
      <c r="FG44" s="326"/>
      <c r="FH44" s="326"/>
      <c r="FI44" s="326"/>
      <c r="FJ44" s="326"/>
      <c r="FK44" s="326"/>
      <c r="FL44" s="326"/>
      <c r="FM44" s="326"/>
      <c r="FN44" s="326"/>
      <c r="FO44" s="326"/>
      <c r="FP44" s="326"/>
      <c r="FQ44" s="326"/>
      <c r="FR44" s="326"/>
      <c r="FS44" s="326"/>
      <c r="FT44" s="326"/>
      <c r="FU44" s="326"/>
      <c r="FV44" s="326"/>
      <c r="FW44" s="326"/>
      <c r="FX44" s="326"/>
      <c r="FY44" s="326"/>
      <c r="FZ44" s="326"/>
      <c r="GA44" s="326"/>
      <c r="GB44" s="326"/>
      <c r="GC44" s="326"/>
      <c r="GD44" s="326"/>
      <c r="GE44" s="326"/>
      <c r="GF44" s="326"/>
      <c r="GG44" s="326"/>
      <c r="GH44" s="326"/>
      <c r="GI44" s="326"/>
      <c r="GJ44" s="326"/>
      <c r="GK44" s="326"/>
      <c r="GL44" s="326"/>
      <c r="GM44" s="326"/>
      <c r="GN44" s="326"/>
      <c r="GO44" s="326"/>
      <c r="GP44" s="326"/>
      <c r="GQ44" s="326"/>
      <c r="GR44" s="326"/>
      <c r="GS44" s="326"/>
      <c r="GT44" s="326"/>
      <c r="GU44" s="326"/>
      <c r="GV44" s="326"/>
      <c r="GW44" s="326"/>
      <c r="GX44" s="326"/>
      <c r="GY44" s="326"/>
      <c r="GZ44" s="326"/>
      <c r="HA44" s="326"/>
      <c r="HB44" s="326"/>
      <c r="HC44" s="326"/>
      <c r="HD44" s="326"/>
      <c r="HE44" s="326"/>
      <c r="HF44" s="326"/>
      <c r="HG44" s="326"/>
      <c r="HH44" s="326"/>
      <c r="HI44" s="326"/>
      <c r="HJ44" s="326"/>
      <c r="HK44" s="326"/>
      <c r="HL44" s="326"/>
      <c r="HM44" s="326"/>
      <c r="HN44" s="326"/>
      <c r="HO44" s="326"/>
      <c r="HP44" s="326"/>
      <c r="HQ44" s="326"/>
      <c r="HR44" s="326"/>
      <c r="HS44" s="326"/>
      <c r="HT44" s="326"/>
      <c r="HU44" s="326"/>
      <c r="HV44" s="326"/>
      <c r="HW44" s="326"/>
      <c r="HX44" s="326"/>
      <c r="HY44" s="326"/>
      <c r="HZ44" s="326"/>
      <c r="IA44" s="326"/>
      <c r="IB44" s="326"/>
      <c r="IC44" s="326"/>
      <c r="ID44" s="326"/>
      <c r="IE44" s="326"/>
      <c r="IF44" s="326"/>
      <c r="IG44" s="326"/>
      <c r="IH44" s="326"/>
      <c r="II44" s="326"/>
      <c r="IJ44" s="326"/>
      <c r="IK44" s="326"/>
      <c r="IL44" s="326"/>
      <c r="IM44" s="326"/>
      <c r="IN44" s="326"/>
      <c r="IO44" s="326"/>
      <c r="IP44" s="326"/>
      <c r="IQ44" s="326"/>
      <c r="IR44" s="326"/>
      <c r="IS44" s="326"/>
      <c r="IT44" s="326"/>
      <c r="IU44" s="326"/>
      <c r="IV44" s="326"/>
    </row>
    <row r="45" spans="1:256" s="555" customFormat="1" ht="18" customHeight="1">
      <c r="A45" s="569">
        <v>36</v>
      </c>
      <c r="B45" s="563"/>
      <c r="C45" s="366"/>
      <c r="D45" s="478" t="s">
        <v>757</v>
      </c>
      <c r="E45" s="335"/>
      <c r="F45" s="559"/>
      <c r="G45" s="336"/>
      <c r="H45" s="766"/>
      <c r="I45" s="764"/>
      <c r="J45" s="757"/>
      <c r="K45" s="1188">
        <v>2520</v>
      </c>
      <c r="L45" s="1188"/>
      <c r="M45" s="1188">
        <v>210382</v>
      </c>
      <c r="N45" s="556"/>
      <c r="O45" s="564">
        <f>SUM(I45:N45)</f>
        <v>212902</v>
      </c>
      <c r="P45" s="560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  <c r="CX45" s="326"/>
      <c r="CY45" s="326"/>
      <c r="CZ45" s="326"/>
      <c r="DA45" s="326"/>
      <c r="DB45" s="326"/>
      <c r="DC45" s="326"/>
      <c r="DD45" s="326"/>
      <c r="DE45" s="326"/>
      <c r="DF45" s="326"/>
      <c r="DG45" s="326"/>
      <c r="DH45" s="326"/>
      <c r="DI45" s="326"/>
      <c r="DJ45" s="326"/>
      <c r="DK45" s="326"/>
      <c r="DL45" s="326"/>
      <c r="DM45" s="326"/>
      <c r="DN45" s="326"/>
      <c r="DO45" s="326"/>
      <c r="DP45" s="326"/>
      <c r="DQ45" s="326"/>
      <c r="DR45" s="326"/>
      <c r="DS45" s="326"/>
      <c r="DT45" s="326"/>
      <c r="DU45" s="326"/>
      <c r="DV45" s="326"/>
      <c r="DW45" s="326"/>
      <c r="DX45" s="326"/>
      <c r="DY45" s="326"/>
      <c r="DZ45" s="326"/>
      <c r="EA45" s="326"/>
      <c r="EB45" s="326"/>
      <c r="EC45" s="326"/>
      <c r="ED45" s="326"/>
      <c r="EE45" s="326"/>
      <c r="EF45" s="326"/>
      <c r="EG45" s="326"/>
      <c r="EH45" s="326"/>
      <c r="EI45" s="326"/>
      <c r="EJ45" s="326"/>
      <c r="EK45" s="326"/>
      <c r="EL45" s="326"/>
      <c r="EM45" s="326"/>
      <c r="EN45" s="326"/>
      <c r="EO45" s="326"/>
      <c r="EP45" s="326"/>
      <c r="EQ45" s="326"/>
      <c r="ER45" s="326"/>
      <c r="ES45" s="326"/>
      <c r="ET45" s="326"/>
      <c r="EU45" s="326"/>
      <c r="EV45" s="326"/>
      <c r="EW45" s="326"/>
      <c r="EX45" s="326"/>
      <c r="EY45" s="326"/>
      <c r="EZ45" s="326"/>
      <c r="FA45" s="326"/>
      <c r="FB45" s="326"/>
      <c r="FC45" s="326"/>
      <c r="FD45" s="326"/>
      <c r="FE45" s="326"/>
      <c r="FF45" s="326"/>
      <c r="FG45" s="326"/>
      <c r="FH45" s="326"/>
      <c r="FI45" s="326"/>
      <c r="FJ45" s="326"/>
      <c r="FK45" s="326"/>
      <c r="FL45" s="326"/>
      <c r="FM45" s="326"/>
      <c r="FN45" s="326"/>
      <c r="FO45" s="326"/>
      <c r="FP45" s="326"/>
      <c r="FQ45" s="326"/>
      <c r="FR45" s="326"/>
      <c r="FS45" s="326"/>
      <c r="FT45" s="326"/>
      <c r="FU45" s="326"/>
      <c r="FV45" s="326"/>
      <c r="FW45" s="326"/>
      <c r="FX45" s="326"/>
      <c r="FY45" s="326"/>
      <c r="FZ45" s="326"/>
      <c r="GA45" s="326"/>
      <c r="GB45" s="326"/>
      <c r="GC45" s="326"/>
      <c r="GD45" s="326"/>
      <c r="GE45" s="326"/>
      <c r="GF45" s="326"/>
      <c r="GG45" s="326"/>
      <c r="GH45" s="326"/>
      <c r="GI45" s="326"/>
      <c r="GJ45" s="326"/>
      <c r="GK45" s="326"/>
      <c r="GL45" s="326"/>
      <c r="GM45" s="326"/>
      <c r="GN45" s="326"/>
      <c r="GO45" s="326"/>
      <c r="GP45" s="326"/>
      <c r="GQ45" s="326"/>
      <c r="GR45" s="326"/>
      <c r="GS45" s="326"/>
      <c r="GT45" s="326"/>
      <c r="GU45" s="326"/>
      <c r="GV45" s="326"/>
      <c r="GW45" s="326"/>
      <c r="GX45" s="326"/>
      <c r="GY45" s="326"/>
      <c r="GZ45" s="326"/>
      <c r="HA45" s="326"/>
      <c r="HB45" s="326"/>
      <c r="HC45" s="326"/>
      <c r="HD45" s="326"/>
      <c r="HE45" s="326"/>
      <c r="HF45" s="326"/>
      <c r="HG45" s="326"/>
      <c r="HH45" s="326"/>
      <c r="HI45" s="326"/>
      <c r="HJ45" s="326"/>
      <c r="HK45" s="326"/>
      <c r="HL45" s="326"/>
      <c r="HM45" s="326"/>
      <c r="HN45" s="326"/>
      <c r="HO45" s="326"/>
      <c r="HP45" s="326"/>
      <c r="HQ45" s="326"/>
      <c r="HR45" s="326"/>
      <c r="HS45" s="326"/>
      <c r="HT45" s="326"/>
      <c r="HU45" s="326"/>
      <c r="HV45" s="326"/>
      <c r="HW45" s="326"/>
      <c r="HX45" s="326"/>
      <c r="HY45" s="326"/>
      <c r="HZ45" s="326"/>
      <c r="IA45" s="326"/>
      <c r="IB45" s="326"/>
      <c r="IC45" s="326"/>
      <c r="ID45" s="326"/>
      <c r="IE45" s="326"/>
      <c r="IF45" s="326"/>
      <c r="IG45" s="326"/>
      <c r="IH45" s="326"/>
      <c r="II45" s="326"/>
      <c r="IJ45" s="326"/>
      <c r="IK45" s="326"/>
      <c r="IL45" s="326"/>
      <c r="IM45" s="326"/>
      <c r="IN45" s="326"/>
      <c r="IO45" s="326"/>
      <c r="IP45" s="326"/>
      <c r="IQ45" s="326"/>
      <c r="IR45" s="326"/>
      <c r="IS45" s="326"/>
      <c r="IT45" s="326"/>
      <c r="IU45" s="326"/>
      <c r="IV45" s="326"/>
    </row>
    <row r="46" spans="1:256" s="555" customFormat="1" ht="18" customHeight="1">
      <c r="A46" s="569">
        <v>37</v>
      </c>
      <c r="B46" s="563"/>
      <c r="C46" s="366"/>
      <c r="D46" s="1090" t="s">
        <v>892</v>
      </c>
      <c r="E46" s="335"/>
      <c r="F46" s="559"/>
      <c r="G46" s="336"/>
      <c r="H46" s="766"/>
      <c r="I46" s="764"/>
      <c r="J46" s="757"/>
      <c r="K46" s="1186">
        <v>2519</v>
      </c>
      <c r="L46" s="1186"/>
      <c r="M46" s="1186">
        <v>183</v>
      </c>
      <c r="N46" s="556"/>
      <c r="O46" s="1723">
        <f>SUM(I46:N46)</f>
        <v>2702</v>
      </c>
      <c r="P46" s="560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6"/>
      <c r="BS46" s="326"/>
      <c r="BT46" s="326"/>
      <c r="BU46" s="326"/>
      <c r="BV46" s="326"/>
      <c r="BW46" s="326"/>
      <c r="BX46" s="326"/>
      <c r="BY46" s="326"/>
      <c r="BZ46" s="326"/>
      <c r="CA46" s="326"/>
      <c r="CB46" s="326"/>
      <c r="CC46" s="326"/>
      <c r="CD46" s="326"/>
      <c r="CE46" s="326"/>
      <c r="CF46" s="326"/>
      <c r="CG46" s="326"/>
      <c r="CH46" s="326"/>
      <c r="CI46" s="326"/>
      <c r="CJ46" s="326"/>
      <c r="CK46" s="326"/>
      <c r="CL46" s="326"/>
      <c r="CM46" s="326"/>
      <c r="CN46" s="326"/>
      <c r="CO46" s="326"/>
      <c r="CP46" s="326"/>
      <c r="CQ46" s="326"/>
      <c r="CR46" s="326"/>
      <c r="CS46" s="326"/>
      <c r="CT46" s="326"/>
      <c r="CU46" s="326"/>
      <c r="CV46" s="326"/>
      <c r="CW46" s="326"/>
      <c r="CX46" s="326"/>
      <c r="CY46" s="326"/>
      <c r="CZ46" s="326"/>
      <c r="DA46" s="326"/>
      <c r="DB46" s="326"/>
      <c r="DC46" s="326"/>
      <c r="DD46" s="326"/>
      <c r="DE46" s="326"/>
      <c r="DF46" s="326"/>
      <c r="DG46" s="326"/>
      <c r="DH46" s="326"/>
      <c r="DI46" s="326"/>
      <c r="DJ46" s="326"/>
      <c r="DK46" s="326"/>
      <c r="DL46" s="326"/>
      <c r="DM46" s="326"/>
      <c r="DN46" s="326"/>
      <c r="DO46" s="326"/>
      <c r="DP46" s="326"/>
      <c r="DQ46" s="326"/>
      <c r="DR46" s="326"/>
      <c r="DS46" s="326"/>
      <c r="DT46" s="326"/>
      <c r="DU46" s="326"/>
      <c r="DV46" s="326"/>
      <c r="DW46" s="326"/>
      <c r="DX46" s="326"/>
      <c r="DY46" s="326"/>
      <c r="DZ46" s="326"/>
      <c r="EA46" s="326"/>
      <c r="EB46" s="326"/>
      <c r="EC46" s="326"/>
      <c r="ED46" s="326"/>
      <c r="EE46" s="326"/>
      <c r="EF46" s="326"/>
      <c r="EG46" s="326"/>
      <c r="EH46" s="326"/>
      <c r="EI46" s="326"/>
      <c r="EJ46" s="326"/>
      <c r="EK46" s="326"/>
      <c r="EL46" s="326"/>
      <c r="EM46" s="326"/>
      <c r="EN46" s="326"/>
      <c r="EO46" s="326"/>
      <c r="EP46" s="326"/>
      <c r="EQ46" s="326"/>
      <c r="ER46" s="326"/>
      <c r="ES46" s="326"/>
      <c r="ET46" s="326"/>
      <c r="EU46" s="326"/>
      <c r="EV46" s="326"/>
      <c r="EW46" s="326"/>
      <c r="EX46" s="326"/>
      <c r="EY46" s="326"/>
      <c r="EZ46" s="326"/>
      <c r="FA46" s="326"/>
      <c r="FB46" s="326"/>
      <c r="FC46" s="326"/>
      <c r="FD46" s="326"/>
      <c r="FE46" s="326"/>
      <c r="FF46" s="326"/>
      <c r="FG46" s="326"/>
      <c r="FH46" s="326"/>
      <c r="FI46" s="326"/>
      <c r="FJ46" s="326"/>
      <c r="FK46" s="326"/>
      <c r="FL46" s="326"/>
      <c r="FM46" s="326"/>
      <c r="FN46" s="326"/>
      <c r="FO46" s="326"/>
      <c r="FP46" s="326"/>
      <c r="FQ46" s="326"/>
      <c r="FR46" s="326"/>
      <c r="FS46" s="326"/>
      <c r="FT46" s="326"/>
      <c r="FU46" s="326"/>
      <c r="FV46" s="326"/>
      <c r="FW46" s="326"/>
      <c r="FX46" s="326"/>
      <c r="FY46" s="326"/>
      <c r="FZ46" s="326"/>
      <c r="GA46" s="326"/>
      <c r="GB46" s="326"/>
      <c r="GC46" s="326"/>
      <c r="GD46" s="326"/>
      <c r="GE46" s="326"/>
      <c r="GF46" s="326"/>
      <c r="GG46" s="326"/>
      <c r="GH46" s="326"/>
      <c r="GI46" s="326"/>
      <c r="GJ46" s="326"/>
      <c r="GK46" s="326"/>
      <c r="GL46" s="326"/>
      <c r="GM46" s="326"/>
      <c r="GN46" s="326"/>
      <c r="GO46" s="326"/>
      <c r="GP46" s="326"/>
      <c r="GQ46" s="326"/>
      <c r="GR46" s="326"/>
      <c r="GS46" s="326"/>
      <c r="GT46" s="326"/>
      <c r="GU46" s="326"/>
      <c r="GV46" s="326"/>
      <c r="GW46" s="326"/>
      <c r="GX46" s="326"/>
      <c r="GY46" s="326"/>
      <c r="GZ46" s="326"/>
      <c r="HA46" s="326"/>
      <c r="HB46" s="326"/>
      <c r="HC46" s="326"/>
      <c r="HD46" s="326"/>
      <c r="HE46" s="326"/>
      <c r="HF46" s="326"/>
      <c r="HG46" s="326"/>
      <c r="HH46" s="326"/>
      <c r="HI46" s="326"/>
      <c r="HJ46" s="326"/>
      <c r="HK46" s="326"/>
      <c r="HL46" s="326"/>
      <c r="HM46" s="326"/>
      <c r="HN46" s="326"/>
      <c r="HO46" s="326"/>
      <c r="HP46" s="326"/>
      <c r="HQ46" s="326"/>
      <c r="HR46" s="326"/>
      <c r="HS46" s="326"/>
      <c r="HT46" s="326"/>
      <c r="HU46" s="326"/>
      <c r="HV46" s="326"/>
      <c r="HW46" s="326"/>
      <c r="HX46" s="326"/>
      <c r="HY46" s="326"/>
      <c r="HZ46" s="326"/>
      <c r="IA46" s="326"/>
      <c r="IB46" s="326"/>
      <c r="IC46" s="326"/>
      <c r="ID46" s="326"/>
      <c r="IE46" s="326"/>
      <c r="IF46" s="326"/>
      <c r="IG46" s="326"/>
      <c r="IH46" s="326"/>
      <c r="II46" s="326"/>
      <c r="IJ46" s="326"/>
      <c r="IK46" s="326"/>
      <c r="IL46" s="326"/>
      <c r="IM46" s="326"/>
      <c r="IN46" s="326"/>
      <c r="IO46" s="326"/>
      <c r="IP46" s="326"/>
      <c r="IQ46" s="326"/>
      <c r="IR46" s="326"/>
      <c r="IS46" s="326"/>
      <c r="IT46" s="326"/>
      <c r="IU46" s="326"/>
      <c r="IV46" s="326"/>
    </row>
    <row r="47" spans="1:16" ht="33">
      <c r="A47" s="569">
        <v>38</v>
      </c>
      <c r="B47" s="462"/>
      <c r="C47" s="327">
        <v>10</v>
      </c>
      <c r="D47" s="329" t="s">
        <v>441</v>
      </c>
      <c r="E47" s="335"/>
      <c r="F47" s="559"/>
      <c r="G47" s="336"/>
      <c r="H47" s="766" t="s">
        <v>23</v>
      </c>
      <c r="I47" s="764"/>
      <c r="J47" s="757"/>
      <c r="K47" s="757"/>
      <c r="L47" s="757"/>
      <c r="M47" s="757"/>
      <c r="N47" s="777"/>
      <c r="O47" s="751"/>
      <c r="P47" s="560"/>
    </row>
    <row r="48" spans="1:256" s="555" customFormat="1" ht="18" customHeight="1">
      <c r="A48" s="569">
        <v>39</v>
      </c>
      <c r="B48" s="563"/>
      <c r="C48" s="327"/>
      <c r="D48" s="1194" t="s">
        <v>283</v>
      </c>
      <c r="E48" s="335">
        <f>F48+G48+O49+P48+12000</f>
        <v>501600</v>
      </c>
      <c r="F48" s="559">
        <f>326+17127</f>
        <v>17453</v>
      </c>
      <c r="G48" s="336">
        <v>3982</v>
      </c>
      <c r="H48" s="766"/>
      <c r="I48" s="764"/>
      <c r="J48" s="757"/>
      <c r="K48" s="757">
        <v>8311</v>
      </c>
      <c r="L48" s="757"/>
      <c r="M48" s="757">
        <v>459854</v>
      </c>
      <c r="N48" s="777"/>
      <c r="O48" s="751">
        <f>SUM(I48:N48)</f>
        <v>468165</v>
      </c>
      <c r="P48" s="560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6"/>
      <c r="BR48" s="326"/>
      <c r="BS48" s="326"/>
      <c r="BT48" s="326"/>
      <c r="BU48" s="326"/>
      <c r="BV48" s="326"/>
      <c r="BW48" s="326"/>
      <c r="BX48" s="326"/>
      <c r="BY48" s="326"/>
      <c r="BZ48" s="326"/>
      <c r="CA48" s="326"/>
      <c r="CB48" s="326"/>
      <c r="CC48" s="326"/>
      <c r="CD48" s="326"/>
      <c r="CE48" s="326"/>
      <c r="CF48" s="326"/>
      <c r="CG48" s="326"/>
      <c r="CH48" s="326"/>
      <c r="CI48" s="326"/>
      <c r="CJ48" s="326"/>
      <c r="CK48" s="326"/>
      <c r="CL48" s="326"/>
      <c r="CM48" s="326"/>
      <c r="CN48" s="326"/>
      <c r="CO48" s="326"/>
      <c r="CP48" s="326"/>
      <c r="CQ48" s="326"/>
      <c r="CR48" s="326"/>
      <c r="CS48" s="326"/>
      <c r="CT48" s="326"/>
      <c r="CU48" s="326"/>
      <c r="CV48" s="326"/>
      <c r="CW48" s="326"/>
      <c r="CX48" s="326"/>
      <c r="CY48" s="326"/>
      <c r="CZ48" s="326"/>
      <c r="DA48" s="326"/>
      <c r="DB48" s="326"/>
      <c r="DC48" s="326"/>
      <c r="DD48" s="326"/>
      <c r="DE48" s="326"/>
      <c r="DF48" s="326"/>
      <c r="DG48" s="326"/>
      <c r="DH48" s="326"/>
      <c r="DI48" s="326"/>
      <c r="DJ48" s="326"/>
      <c r="DK48" s="326"/>
      <c r="DL48" s="326"/>
      <c r="DM48" s="326"/>
      <c r="DN48" s="326"/>
      <c r="DO48" s="326"/>
      <c r="DP48" s="326"/>
      <c r="DQ48" s="326"/>
      <c r="DR48" s="326"/>
      <c r="DS48" s="326"/>
      <c r="DT48" s="326"/>
      <c r="DU48" s="326"/>
      <c r="DV48" s="326"/>
      <c r="DW48" s="326"/>
      <c r="DX48" s="326"/>
      <c r="DY48" s="326"/>
      <c r="DZ48" s="326"/>
      <c r="EA48" s="326"/>
      <c r="EB48" s="326"/>
      <c r="EC48" s="326"/>
      <c r="ED48" s="326"/>
      <c r="EE48" s="326"/>
      <c r="EF48" s="326"/>
      <c r="EG48" s="326"/>
      <c r="EH48" s="326"/>
      <c r="EI48" s="326"/>
      <c r="EJ48" s="326"/>
      <c r="EK48" s="326"/>
      <c r="EL48" s="326"/>
      <c r="EM48" s="326"/>
      <c r="EN48" s="326"/>
      <c r="EO48" s="326"/>
      <c r="EP48" s="326"/>
      <c r="EQ48" s="326"/>
      <c r="ER48" s="326"/>
      <c r="ES48" s="326"/>
      <c r="ET48" s="326"/>
      <c r="EU48" s="326"/>
      <c r="EV48" s="326"/>
      <c r="EW48" s="326"/>
      <c r="EX48" s="326"/>
      <c r="EY48" s="326"/>
      <c r="EZ48" s="326"/>
      <c r="FA48" s="326"/>
      <c r="FB48" s="326"/>
      <c r="FC48" s="326"/>
      <c r="FD48" s="326"/>
      <c r="FE48" s="326"/>
      <c r="FF48" s="326"/>
      <c r="FG48" s="326"/>
      <c r="FH48" s="326"/>
      <c r="FI48" s="326"/>
      <c r="FJ48" s="326"/>
      <c r="FK48" s="326"/>
      <c r="FL48" s="326"/>
      <c r="FM48" s="326"/>
      <c r="FN48" s="326"/>
      <c r="FO48" s="326"/>
      <c r="FP48" s="326"/>
      <c r="FQ48" s="326"/>
      <c r="FR48" s="326"/>
      <c r="FS48" s="326"/>
      <c r="FT48" s="326"/>
      <c r="FU48" s="326"/>
      <c r="FV48" s="326"/>
      <c r="FW48" s="326"/>
      <c r="FX48" s="326"/>
      <c r="FY48" s="326"/>
      <c r="FZ48" s="326"/>
      <c r="GA48" s="326"/>
      <c r="GB48" s="326"/>
      <c r="GC48" s="326"/>
      <c r="GD48" s="326"/>
      <c r="GE48" s="326"/>
      <c r="GF48" s="326"/>
      <c r="GG48" s="326"/>
      <c r="GH48" s="326"/>
      <c r="GI48" s="326"/>
      <c r="GJ48" s="326"/>
      <c r="GK48" s="326"/>
      <c r="GL48" s="326"/>
      <c r="GM48" s="326"/>
      <c r="GN48" s="326"/>
      <c r="GO48" s="326"/>
      <c r="GP48" s="326"/>
      <c r="GQ48" s="326"/>
      <c r="GR48" s="326"/>
      <c r="GS48" s="326"/>
      <c r="GT48" s="326"/>
      <c r="GU48" s="326"/>
      <c r="GV48" s="326"/>
      <c r="GW48" s="326"/>
      <c r="GX48" s="326"/>
      <c r="GY48" s="326"/>
      <c r="GZ48" s="326"/>
      <c r="HA48" s="326"/>
      <c r="HB48" s="326"/>
      <c r="HC48" s="326"/>
      <c r="HD48" s="326"/>
      <c r="HE48" s="326"/>
      <c r="HF48" s="326"/>
      <c r="HG48" s="326"/>
      <c r="HH48" s="326"/>
      <c r="HI48" s="326"/>
      <c r="HJ48" s="326"/>
      <c r="HK48" s="326"/>
      <c r="HL48" s="326"/>
      <c r="HM48" s="326"/>
      <c r="HN48" s="326"/>
      <c r="HO48" s="326"/>
      <c r="HP48" s="326"/>
      <c r="HQ48" s="326"/>
      <c r="HR48" s="326"/>
      <c r="HS48" s="326"/>
      <c r="HT48" s="326"/>
      <c r="HU48" s="326"/>
      <c r="HV48" s="326"/>
      <c r="HW48" s="326"/>
      <c r="HX48" s="326"/>
      <c r="HY48" s="326"/>
      <c r="HZ48" s="326"/>
      <c r="IA48" s="326"/>
      <c r="IB48" s="326"/>
      <c r="IC48" s="326"/>
      <c r="ID48" s="326"/>
      <c r="IE48" s="326"/>
      <c r="IF48" s="326"/>
      <c r="IG48" s="326"/>
      <c r="IH48" s="326"/>
      <c r="II48" s="326"/>
      <c r="IJ48" s="326"/>
      <c r="IK48" s="326"/>
      <c r="IL48" s="326"/>
      <c r="IM48" s="326"/>
      <c r="IN48" s="326"/>
      <c r="IO48" s="326"/>
      <c r="IP48" s="326"/>
      <c r="IQ48" s="326"/>
      <c r="IR48" s="326"/>
      <c r="IS48" s="326"/>
      <c r="IT48" s="326"/>
      <c r="IU48" s="326"/>
      <c r="IV48" s="326"/>
    </row>
    <row r="49" spans="1:256" s="555" customFormat="1" ht="18" customHeight="1">
      <c r="A49" s="569">
        <v>40</v>
      </c>
      <c r="B49" s="563"/>
      <c r="C49" s="327"/>
      <c r="D49" s="478" t="s">
        <v>757</v>
      </c>
      <c r="E49" s="335"/>
      <c r="F49" s="559"/>
      <c r="G49" s="336"/>
      <c r="H49" s="766"/>
      <c r="I49" s="764"/>
      <c r="J49" s="757"/>
      <c r="K49" s="1188">
        <v>8311</v>
      </c>
      <c r="L49" s="1188"/>
      <c r="M49" s="1188">
        <v>459854</v>
      </c>
      <c r="N49" s="556"/>
      <c r="O49" s="564">
        <f>SUM(I49:N49)</f>
        <v>468165</v>
      </c>
      <c r="P49" s="560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6"/>
      <c r="BO49" s="326"/>
      <c r="BP49" s="326"/>
      <c r="BQ49" s="326"/>
      <c r="BR49" s="326"/>
      <c r="BS49" s="326"/>
      <c r="BT49" s="326"/>
      <c r="BU49" s="326"/>
      <c r="BV49" s="326"/>
      <c r="BW49" s="326"/>
      <c r="BX49" s="326"/>
      <c r="BY49" s="326"/>
      <c r="BZ49" s="326"/>
      <c r="CA49" s="326"/>
      <c r="CB49" s="326"/>
      <c r="CC49" s="326"/>
      <c r="CD49" s="326"/>
      <c r="CE49" s="326"/>
      <c r="CF49" s="326"/>
      <c r="CG49" s="326"/>
      <c r="CH49" s="326"/>
      <c r="CI49" s="326"/>
      <c r="CJ49" s="326"/>
      <c r="CK49" s="326"/>
      <c r="CL49" s="326"/>
      <c r="CM49" s="326"/>
      <c r="CN49" s="326"/>
      <c r="CO49" s="326"/>
      <c r="CP49" s="326"/>
      <c r="CQ49" s="326"/>
      <c r="CR49" s="326"/>
      <c r="CS49" s="326"/>
      <c r="CT49" s="326"/>
      <c r="CU49" s="326"/>
      <c r="CV49" s="326"/>
      <c r="CW49" s="326"/>
      <c r="CX49" s="326"/>
      <c r="CY49" s="326"/>
      <c r="CZ49" s="326"/>
      <c r="DA49" s="326"/>
      <c r="DB49" s="326"/>
      <c r="DC49" s="326"/>
      <c r="DD49" s="326"/>
      <c r="DE49" s="326"/>
      <c r="DF49" s="326"/>
      <c r="DG49" s="326"/>
      <c r="DH49" s="326"/>
      <c r="DI49" s="326"/>
      <c r="DJ49" s="326"/>
      <c r="DK49" s="326"/>
      <c r="DL49" s="326"/>
      <c r="DM49" s="326"/>
      <c r="DN49" s="326"/>
      <c r="DO49" s="326"/>
      <c r="DP49" s="326"/>
      <c r="DQ49" s="326"/>
      <c r="DR49" s="326"/>
      <c r="DS49" s="326"/>
      <c r="DT49" s="326"/>
      <c r="DU49" s="326"/>
      <c r="DV49" s="326"/>
      <c r="DW49" s="326"/>
      <c r="DX49" s="326"/>
      <c r="DY49" s="326"/>
      <c r="DZ49" s="326"/>
      <c r="EA49" s="326"/>
      <c r="EB49" s="326"/>
      <c r="EC49" s="326"/>
      <c r="ED49" s="326"/>
      <c r="EE49" s="326"/>
      <c r="EF49" s="326"/>
      <c r="EG49" s="326"/>
      <c r="EH49" s="326"/>
      <c r="EI49" s="326"/>
      <c r="EJ49" s="326"/>
      <c r="EK49" s="326"/>
      <c r="EL49" s="326"/>
      <c r="EM49" s="326"/>
      <c r="EN49" s="326"/>
      <c r="EO49" s="326"/>
      <c r="EP49" s="326"/>
      <c r="EQ49" s="326"/>
      <c r="ER49" s="326"/>
      <c r="ES49" s="326"/>
      <c r="ET49" s="326"/>
      <c r="EU49" s="326"/>
      <c r="EV49" s="326"/>
      <c r="EW49" s="326"/>
      <c r="EX49" s="326"/>
      <c r="EY49" s="326"/>
      <c r="EZ49" s="326"/>
      <c r="FA49" s="326"/>
      <c r="FB49" s="326"/>
      <c r="FC49" s="326"/>
      <c r="FD49" s="326"/>
      <c r="FE49" s="326"/>
      <c r="FF49" s="326"/>
      <c r="FG49" s="326"/>
      <c r="FH49" s="326"/>
      <c r="FI49" s="326"/>
      <c r="FJ49" s="326"/>
      <c r="FK49" s="326"/>
      <c r="FL49" s="326"/>
      <c r="FM49" s="326"/>
      <c r="FN49" s="326"/>
      <c r="FO49" s="326"/>
      <c r="FP49" s="326"/>
      <c r="FQ49" s="326"/>
      <c r="FR49" s="326"/>
      <c r="FS49" s="326"/>
      <c r="FT49" s="326"/>
      <c r="FU49" s="326"/>
      <c r="FV49" s="326"/>
      <c r="FW49" s="326"/>
      <c r="FX49" s="326"/>
      <c r="FY49" s="326"/>
      <c r="FZ49" s="326"/>
      <c r="GA49" s="326"/>
      <c r="GB49" s="326"/>
      <c r="GC49" s="326"/>
      <c r="GD49" s="326"/>
      <c r="GE49" s="326"/>
      <c r="GF49" s="326"/>
      <c r="GG49" s="326"/>
      <c r="GH49" s="326"/>
      <c r="GI49" s="326"/>
      <c r="GJ49" s="326"/>
      <c r="GK49" s="326"/>
      <c r="GL49" s="326"/>
      <c r="GM49" s="326"/>
      <c r="GN49" s="326"/>
      <c r="GO49" s="326"/>
      <c r="GP49" s="326"/>
      <c r="GQ49" s="326"/>
      <c r="GR49" s="326"/>
      <c r="GS49" s="326"/>
      <c r="GT49" s="326"/>
      <c r="GU49" s="326"/>
      <c r="GV49" s="326"/>
      <c r="GW49" s="326"/>
      <c r="GX49" s="326"/>
      <c r="GY49" s="326"/>
      <c r="GZ49" s="326"/>
      <c r="HA49" s="326"/>
      <c r="HB49" s="326"/>
      <c r="HC49" s="326"/>
      <c r="HD49" s="326"/>
      <c r="HE49" s="326"/>
      <c r="HF49" s="326"/>
      <c r="HG49" s="326"/>
      <c r="HH49" s="326"/>
      <c r="HI49" s="326"/>
      <c r="HJ49" s="326"/>
      <c r="HK49" s="326"/>
      <c r="HL49" s="326"/>
      <c r="HM49" s="326"/>
      <c r="HN49" s="326"/>
      <c r="HO49" s="326"/>
      <c r="HP49" s="326"/>
      <c r="HQ49" s="326"/>
      <c r="HR49" s="326"/>
      <c r="HS49" s="326"/>
      <c r="HT49" s="326"/>
      <c r="HU49" s="326"/>
      <c r="HV49" s="326"/>
      <c r="HW49" s="326"/>
      <c r="HX49" s="326"/>
      <c r="HY49" s="326"/>
      <c r="HZ49" s="326"/>
      <c r="IA49" s="326"/>
      <c r="IB49" s="326"/>
      <c r="IC49" s="326"/>
      <c r="ID49" s="326"/>
      <c r="IE49" s="326"/>
      <c r="IF49" s="326"/>
      <c r="IG49" s="326"/>
      <c r="IH49" s="326"/>
      <c r="II49" s="326"/>
      <c r="IJ49" s="326"/>
      <c r="IK49" s="326"/>
      <c r="IL49" s="326"/>
      <c r="IM49" s="326"/>
      <c r="IN49" s="326"/>
      <c r="IO49" s="326"/>
      <c r="IP49" s="326"/>
      <c r="IQ49" s="326"/>
      <c r="IR49" s="326"/>
      <c r="IS49" s="326"/>
      <c r="IT49" s="326"/>
      <c r="IU49" s="326"/>
      <c r="IV49" s="326"/>
    </row>
    <row r="50" spans="1:256" s="555" customFormat="1" ht="18" customHeight="1">
      <c r="A50" s="569">
        <v>41</v>
      </c>
      <c r="B50" s="563"/>
      <c r="C50" s="327"/>
      <c r="D50" s="1090" t="s">
        <v>893</v>
      </c>
      <c r="E50" s="335"/>
      <c r="F50" s="559"/>
      <c r="G50" s="336"/>
      <c r="H50" s="766"/>
      <c r="I50" s="764"/>
      <c r="J50" s="757"/>
      <c r="K50" s="1186">
        <v>1303</v>
      </c>
      <c r="L50" s="1186"/>
      <c r="M50" s="1186">
        <v>2832</v>
      </c>
      <c r="N50" s="1186"/>
      <c r="O50" s="1723">
        <f>SUM(I50:N50)</f>
        <v>4135</v>
      </c>
      <c r="P50" s="560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26"/>
      <c r="BT50" s="326"/>
      <c r="BU50" s="326"/>
      <c r="BV50" s="326"/>
      <c r="BW50" s="326"/>
      <c r="BX50" s="326"/>
      <c r="BY50" s="326"/>
      <c r="BZ50" s="326"/>
      <c r="CA50" s="326"/>
      <c r="CB50" s="326"/>
      <c r="CC50" s="326"/>
      <c r="CD50" s="326"/>
      <c r="CE50" s="326"/>
      <c r="CF50" s="326"/>
      <c r="CG50" s="326"/>
      <c r="CH50" s="326"/>
      <c r="CI50" s="326"/>
      <c r="CJ50" s="326"/>
      <c r="CK50" s="326"/>
      <c r="CL50" s="326"/>
      <c r="CM50" s="326"/>
      <c r="CN50" s="326"/>
      <c r="CO50" s="326"/>
      <c r="CP50" s="326"/>
      <c r="CQ50" s="326"/>
      <c r="CR50" s="326"/>
      <c r="CS50" s="326"/>
      <c r="CT50" s="326"/>
      <c r="CU50" s="326"/>
      <c r="CV50" s="326"/>
      <c r="CW50" s="326"/>
      <c r="CX50" s="326"/>
      <c r="CY50" s="326"/>
      <c r="CZ50" s="326"/>
      <c r="DA50" s="326"/>
      <c r="DB50" s="326"/>
      <c r="DC50" s="326"/>
      <c r="DD50" s="326"/>
      <c r="DE50" s="326"/>
      <c r="DF50" s="326"/>
      <c r="DG50" s="326"/>
      <c r="DH50" s="326"/>
      <c r="DI50" s="326"/>
      <c r="DJ50" s="326"/>
      <c r="DK50" s="326"/>
      <c r="DL50" s="326"/>
      <c r="DM50" s="326"/>
      <c r="DN50" s="326"/>
      <c r="DO50" s="326"/>
      <c r="DP50" s="326"/>
      <c r="DQ50" s="326"/>
      <c r="DR50" s="326"/>
      <c r="DS50" s="326"/>
      <c r="DT50" s="326"/>
      <c r="DU50" s="326"/>
      <c r="DV50" s="326"/>
      <c r="DW50" s="326"/>
      <c r="DX50" s="326"/>
      <c r="DY50" s="326"/>
      <c r="DZ50" s="326"/>
      <c r="EA50" s="326"/>
      <c r="EB50" s="326"/>
      <c r="EC50" s="326"/>
      <c r="ED50" s="326"/>
      <c r="EE50" s="326"/>
      <c r="EF50" s="326"/>
      <c r="EG50" s="326"/>
      <c r="EH50" s="326"/>
      <c r="EI50" s="326"/>
      <c r="EJ50" s="326"/>
      <c r="EK50" s="326"/>
      <c r="EL50" s="326"/>
      <c r="EM50" s="326"/>
      <c r="EN50" s="326"/>
      <c r="EO50" s="326"/>
      <c r="EP50" s="326"/>
      <c r="EQ50" s="326"/>
      <c r="ER50" s="326"/>
      <c r="ES50" s="326"/>
      <c r="ET50" s="326"/>
      <c r="EU50" s="326"/>
      <c r="EV50" s="326"/>
      <c r="EW50" s="326"/>
      <c r="EX50" s="326"/>
      <c r="EY50" s="326"/>
      <c r="EZ50" s="326"/>
      <c r="FA50" s="326"/>
      <c r="FB50" s="326"/>
      <c r="FC50" s="326"/>
      <c r="FD50" s="326"/>
      <c r="FE50" s="326"/>
      <c r="FF50" s="326"/>
      <c r="FG50" s="326"/>
      <c r="FH50" s="326"/>
      <c r="FI50" s="326"/>
      <c r="FJ50" s="326"/>
      <c r="FK50" s="326"/>
      <c r="FL50" s="326"/>
      <c r="FM50" s="326"/>
      <c r="FN50" s="326"/>
      <c r="FO50" s="326"/>
      <c r="FP50" s="326"/>
      <c r="FQ50" s="326"/>
      <c r="FR50" s="326"/>
      <c r="FS50" s="326"/>
      <c r="FT50" s="326"/>
      <c r="FU50" s="326"/>
      <c r="FV50" s="326"/>
      <c r="FW50" s="326"/>
      <c r="FX50" s="326"/>
      <c r="FY50" s="326"/>
      <c r="FZ50" s="326"/>
      <c r="GA50" s="326"/>
      <c r="GB50" s="326"/>
      <c r="GC50" s="326"/>
      <c r="GD50" s="326"/>
      <c r="GE50" s="326"/>
      <c r="GF50" s="326"/>
      <c r="GG50" s="326"/>
      <c r="GH50" s="326"/>
      <c r="GI50" s="326"/>
      <c r="GJ50" s="326"/>
      <c r="GK50" s="326"/>
      <c r="GL50" s="326"/>
      <c r="GM50" s="326"/>
      <c r="GN50" s="326"/>
      <c r="GO50" s="326"/>
      <c r="GP50" s="326"/>
      <c r="GQ50" s="326"/>
      <c r="GR50" s="326"/>
      <c r="GS50" s="326"/>
      <c r="GT50" s="326"/>
      <c r="GU50" s="326"/>
      <c r="GV50" s="326"/>
      <c r="GW50" s="326"/>
      <c r="GX50" s="326"/>
      <c r="GY50" s="326"/>
      <c r="GZ50" s="326"/>
      <c r="HA50" s="326"/>
      <c r="HB50" s="326"/>
      <c r="HC50" s="326"/>
      <c r="HD50" s="326"/>
      <c r="HE50" s="326"/>
      <c r="HF50" s="326"/>
      <c r="HG50" s="326"/>
      <c r="HH50" s="326"/>
      <c r="HI50" s="326"/>
      <c r="HJ50" s="326"/>
      <c r="HK50" s="326"/>
      <c r="HL50" s="326"/>
      <c r="HM50" s="326"/>
      <c r="HN50" s="326"/>
      <c r="HO50" s="326"/>
      <c r="HP50" s="326"/>
      <c r="HQ50" s="326"/>
      <c r="HR50" s="326"/>
      <c r="HS50" s="326"/>
      <c r="HT50" s="326"/>
      <c r="HU50" s="326"/>
      <c r="HV50" s="326"/>
      <c r="HW50" s="326"/>
      <c r="HX50" s="326"/>
      <c r="HY50" s="326"/>
      <c r="HZ50" s="326"/>
      <c r="IA50" s="326"/>
      <c r="IB50" s="326"/>
      <c r="IC50" s="326"/>
      <c r="ID50" s="326"/>
      <c r="IE50" s="326"/>
      <c r="IF50" s="326"/>
      <c r="IG50" s="326"/>
      <c r="IH50" s="326"/>
      <c r="II50" s="326"/>
      <c r="IJ50" s="326"/>
      <c r="IK50" s="326"/>
      <c r="IL50" s="326"/>
      <c r="IM50" s="326"/>
      <c r="IN50" s="326"/>
      <c r="IO50" s="326"/>
      <c r="IP50" s="326"/>
      <c r="IQ50" s="326"/>
      <c r="IR50" s="326"/>
      <c r="IS50" s="326"/>
      <c r="IT50" s="326"/>
      <c r="IU50" s="326"/>
      <c r="IV50" s="326"/>
    </row>
    <row r="51" spans="1:256" s="555" customFormat="1" ht="34.5" customHeight="1">
      <c r="A51" s="569">
        <v>42</v>
      </c>
      <c r="B51" s="563"/>
      <c r="C51" s="327">
        <v>11</v>
      </c>
      <c r="D51" s="329" t="s">
        <v>592</v>
      </c>
      <c r="E51" s="335"/>
      <c r="F51" s="559"/>
      <c r="G51" s="336"/>
      <c r="H51" s="766"/>
      <c r="I51" s="764"/>
      <c r="J51" s="757"/>
      <c r="K51" s="757"/>
      <c r="L51" s="757"/>
      <c r="M51" s="757"/>
      <c r="N51" s="777"/>
      <c r="O51" s="751"/>
      <c r="P51" s="560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  <c r="BC51" s="326"/>
      <c r="BD51" s="326"/>
      <c r="BE51" s="326"/>
      <c r="BF51" s="326"/>
      <c r="BG51" s="326"/>
      <c r="BH51" s="326"/>
      <c r="BI51" s="326"/>
      <c r="BJ51" s="326"/>
      <c r="BK51" s="326"/>
      <c r="BL51" s="326"/>
      <c r="BM51" s="326"/>
      <c r="BN51" s="326"/>
      <c r="BO51" s="326"/>
      <c r="BP51" s="326"/>
      <c r="BQ51" s="326"/>
      <c r="BR51" s="326"/>
      <c r="BS51" s="326"/>
      <c r="BT51" s="326"/>
      <c r="BU51" s="326"/>
      <c r="BV51" s="326"/>
      <c r="BW51" s="326"/>
      <c r="BX51" s="326"/>
      <c r="BY51" s="326"/>
      <c r="BZ51" s="326"/>
      <c r="CA51" s="326"/>
      <c r="CB51" s="326"/>
      <c r="CC51" s="326"/>
      <c r="CD51" s="326"/>
      <c r="CE51" s="326"/>
      <c r="CF51" s="326"/>
      <c r="CG51" s="326"/>
      <c r="CH51" s="326"/>
      <c r="CI51" s="326"/>
      <c r="CJ51" s="326"/>
      <c r="CK51" s="326"/>
      <c r="CL51" s="326"/>
      <c r="CM51" s="326"/>
      <c r="CN51" s="326"/>
      <c r="CO51" s="326"/>
      <c r="CP51" s="326"/>
      <c r="CQ51" s="326"/>
      <c r="CR51" s="326"/>
      <c r="CS51" s="326"/>
      <c r="CT51" s="326"/>
      <c r="CU51" s="326"/>
      <c r="CV51" s="326"/>
      <c r="CW51" s="326"/>
      <c r="CX51" s="326"/>
      <c r="CY51" s="326"/>
      <c r="CZ51" s="326"/>
      <c r="DA51" s="326"/>
      <c r="DB51" s="326"/>
      <c r="DC51" s="326"/>
      <c r="DD51" s="326"/>
      <c r="DE51" s="326"/>
      <c r="DF51" s="326"/>
      <c r="DG51" s="326"/>
      <c r="DH51" s="326"/>
      <c r="DI51" s="326"/>
      <c r="DJ51" s="326"/>
      <c r="DK51" s="326"/>
      <c r="DL51" s="326"/>
      <c r="DM51" s="326"/>
      <c r="DN51" s="326"/>
      <c r="DO51" s="326"/>
      <c r="DP51" s="326"/>
      <c r="DQ51" s="326"/>
      <c r="DR51" s="326"/>
      <c r="DS51" s="326"/>
      <c r="DT51" s="326"/>
      <c r="DU51" s="326"/>
      <c r="DV51" s="326"/>
      <c r="DW51" s="326"/>
      <c r="DX51" s="326"/>
      <c r="DY51" s="326"/>
      <c r="DZ51" s="326"/>
      <c r="EA51" s="326"/>
      <c r="EB51" s="326"/>
      <c r="EC51" s="326"/>
      <c r="ED51" s="326"/>
      <c r="EE51" s="326"/>
      <c r="EF51" s="326"/>
      <c r="EG51" s="326"/>
      <c r="EH51" s="326"/>
      <c r="EI51" s="326"/>
      <c r="EJ51" s="326"/>
      <c r="EK51" s="326"/>
      <c r="EL51" s="326"/>
      <c r="EM51" s="326"/>
      <c r="EN51" s="326"/>
      <c r="EO51" s="326"/>
      <c r="EP51" s="326"/>
      <c r="EQ51" s="326"/>
      <c r="ER51" s="326"/>
      <c r="ES51" s="326"/>
      <c r="ET51" s="326"/>
      <c r="EU51" s="326"/>
      <c r="EV51" s="326"/>
      <c r="EW51" s="326"/>
      <c r="EX51" s="326"/>
      <c r="EY51" s="326"/>
      <c r="EZ51" s="326"/>
      <c r="FA51" s="326"/>
      <c r="FB51" s="326"/>
      <c r="FC51" s="326"/>
      <c r="FD51" s="326"/>
      <c r="FE51" s="326"/>
      <c r="FF51" s="326"/>
      <c r="FG51" s="326"/>
      <c r="FH51" s="326"/>
      <c r="FI51" s="326"/>
      <c r="FJ51" s="326"/>
      <c r="FK51" s="326"/>
      <c r="FL51" s="326"/>
      <c r="FM51" s="326"/>
      <c r="FN51" s="326"/>
      <c r="FO51" s="326"/>
      <c r="FP51" s="326"/>
      <c r="FQ51" s="326"/>
      <c r="FR51" s="326"/>
      <c r="FS51" s="326"/>
      <c r="FT51" s="326"/>
      <c r="FU51" s="326"/>
      <c r="FV51" s="326"/>
      <c r="FW51" s="326"/>
      <c r="FX51" s="326"/>
      <c r="FY51" s="326"/>
      <c r="FZ51" s="326"/>
      <c r="GA51" s="326"/>
      <c r="GB51" s="326"/>
      <c r="GC51" s="326"/>
      <c r="GD51" s="326"/>
      <c r="GE51" s="326"/>
      <c r="GF51" s="326"/>
      <c r="GG51" s="326"/>
      <c r="GH51" s="326"/>
      <c r="GI51" s="326"/>
      <c r="GJ51" s="326"/>
      <c r="GK51" s="326"/>
      <c r="GL51" s="326"/>
      <c r="GM51" s="326"/>
      <c r="GN51" s="326"/>
      <c r="GO51" s="326"/>
      <c r="GP51" s="326"/>
      <c r="GQ51" s="326"/>
      <c r="GR51" s="326"/>
      <c r="GS51" s="326"/>
      <c r="GT51" s="326"/>
      <c r="GU51" s="326"/>
      <c r="GV51" s="326"/>
      <c r="GW51" s="326"/>
      <c r="GX51" s="326"/>
      <c r="GY51" s="326"/>
      <c r="GZ51" s="326"/>
      <c r="HA51" s="326"/>
      <c r="HB51" s="326"/>
      <c r="HC51" s="326"/>
      <c r="HD51" s="326"/>
      <c r="HE51" s="326"/>
      <c r="HF51" s="326"/>
      <c r="HG51" s="326"/>
      <c r="HH51" s="326"/>
      <c r="HI51" s="326"/>
      <c r="HJ51" s="326"/>
      <c r="HK51" s="326"/>
      <c r="HL51" s="326"/>
      <c r="HM51" s="326"/>
      <c r="HN51" s="326"/>
      <c r="HO51" s="326"/>
      <c r="HP51" s="326"/>
      <c r="HQ51" s="326"/>
      <c r="HR51" s="326"/>
      <c r="HS51" s="326"/>
      <c r="HT51" s="326"/>
      <c r="HU51" s="326"/>
      <c r="HV51" s="326"/>
      <c r="HW51" s="326"/>
      <c r="HX51" s="326"/>
      <c r="HY51" s="326"/>
      <c r="HZ51" s="326"/>
      <c r="IA51" s="326"/>
      <c r="IB51" s="326"/>
      <c r="IC51" s="326"/>
      <c r="ID51" s="326"/>
      <c r="IE51" s="326"/>
      <c r="IF51" s="326"/>
      <c r="IG51" s="326"/>
      <c r="IH51" s="326"/>
      <c r="II51" s="326"/>
      <c r="IJ51" s="326"/>
      <c r="IK51" s="326"/>
      <c r="IL51" s="326"/>
      <c r="IM51" s="326"/>
      <c r="IN51" s="326"/>
      <c r="IO51" s="326"/>
      <c r="IP51" s="326"/>
      <c r="IQ51" s="326"/>
      <c r="IR51" s="326"/>
      <c r="IS51" s="326"/>
      <c r="IT51" s="326"/>
      <c r="IU51" s="326"/>
      <c r="IV51" s="326"/>
    </row>
    <row r="52" spans="1:256" s="555" customFormat="1" ht="18" customHeight="1">
      <c r="A52" s="569">
        <v>43</v>
      </c>
      <c r="B52" s="563"/>
      <c r="C52" s="327"/>
      <c r="D52" s="1194" t="s">
        <v>283</v>
      </c>
      <c r="E52" s="335">
        <f>F52+G52+O53+P52+22650</f>
        <v>906000</v>
      </c>
      <c r="F52" s="559"/>
      <c r="G52" s="336">
        <v>5906</v>
      </c>
      <c r="H52" s="766"/>
      <c r="I52" s="764"/>
      <c r="J52" s="757"/>
      <c r="K52" s="757">
        <v>19333</v>
      </c>
      <c r="L52" s="757"/>
      <c r="M52" s="757">
        <v>858111</v>
      </c>
      <c r="N52" s="777"/>
      <c r="O52" s="751">
        <f>SUM(I52:N52)</f>
        <v>877444</v>
      </c>
      <c r="P52" s="560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  <c r="DP52" s="326"/>
      <c r="DQ52" s="326"/>
      <c r="DR52" s="326"/>
      <c r="DS52" s="326"/>
      <c r="DT52" s="326"/>
      <c r="DU52" s="326"/>
      <c r="DV52" s="326"/>
      <c r="DW52" s="326"/>
      <c r="DX52" s="326"/>
      <c r="DY52" s="326"/>
      <c r="DZ52" s="326"/>
      <c r="EA52" s="326"/>
      <c r="EB52" s="326"/>
      <c r="EC52" s="326"/>
      <c r="ED52" s="326"/>
      <c r="EE52" s="326"/>
      <c r="EF52" s="326"/>
      <c r="EG52" s="326"/>
      <c r="EH52" s="326"/>
      <c r="EI52" s="326"/>
      <c r="EJ52" s="326"/>
      <c r="EK52" s="326"/>
      <c r="EL52" s="326"/>
      <c r="EM52" s="326"/>
      <c r="EN52" s="326"/>
      <c r="EO52" s="326"/>
      <c r="EP52" s="326"/>
      <c r="EQ52" s="326"/>
      <c r="ER52" s="326"/>
      <c r="ES52" s="326"/>
      <c r="ET52" s="326"/>
      <c r="EU52" s="326"/>
      <c r="EV52" s="326"/>
      <c r="EW52" s="326"/>
      <c r="EX52" s="326"/>
      <c r="EY52" s="326"/>
      <c r="EZ52" s="326"/>
      <c r="FA52" s="326"/>
      <c r="FB52" s="326"/>
      <c r="FC52" s="326"/>
      <c r="FD52" s="326"/>
      <c r="FE52" s="326"/>
      <c r="FF52" s="326"/>
      <c r="FG52" s="326"/>
      <c r="FH52" s="326"/>
      <c r="FI52" s="326"/>
      <c r="FJ52" s="326"/>
      <c r="FK52" s="326"/>
      <c r="FL52" s="326"/>
      <c r="FM52" s="326"/>
      <c r="FN52" s="326"/>
      <c r="FO52" s="326"/>
      <c r="FP52" s="326"/>
      <c r="FQ52" s="326"/>
      <c r="FR52" s="326"/>
      <c r="FS52" s="326"/>
      <c r="FT52" s="326"/>
      <c r="FU52" s="326"/>
      <c r="FV52" s="326"/>
      <c r="FW52" s="326"/>
      <c r="FX52" s="326"/>
      <c r="FY52" s="326"/>
      <c r="FZ52" s="326"/>
      <c r="GA52" s="326"/>
      <c r="GB52" s="326"/>
      <c r="GC52" s="326"/>
      <c r="GD52" s="326"/>
      <c r="GE52" s="326"/>
      <c r="GF52" s="326"/>
      <c r="GG52" s="326"/>
      <c r="GH52" s="326"/>
      <c r="GI52" s="326"/>
      <c r="GJ52" s="326"/>
      <c r="GK52" s="326"/>
      <c r="GL52" s="326"/>
      <c r="GM52" s="326"/>
      <c r="GN52" s="326"/>
      <c r="GO52" s="326"/>
      <c r="GP52" s="326"/>
      <c r="GQ52" s="326"/>
      <c r="GR52" s="326"/>
      <c r="GS52" s="326"/>
      <c r="GT52" s="326"/>
      <c r="GU52" s="326"/>
      <c r="GV52" s="326"/>
      <c r="GW52" s="326"/>
      <c r="GX52" s="326"/>
      <c r="GY52" s="326"/>
      <c r="GZ52" s="326"/>
      <c r="HA52" s="326"/>
      <c r="HB52" s="326"/>
      <c r="HC52" s="326"/>
      <c r="HD52" s="326"/>
      <c r="HE52" s="326"/>
      <c r="HF52" s="326"/>
      <c r="HG52" s="326"/>
      <c r="HH52" s="326"/>
      <c r="HI52" s="326"/>
      <c r="HJ52" s="326"/>
      <c r="HK52" s="326"/>
      <c r="HL52" s="326"/>
      <c r="HM52" s="326"/>
      <c r="HN52" s="326"/>
      <c r="HO52" s="326"/>
      <c r="HP52" s="326"/>
      <c r="HQ52" s="326"/>
      <c r="HR52" s="326"/>
      <c r="HS52" s="326"/>
      <c r="HT52" s="326"/>
      <c r="HU52" s="326"/>
      <c r="HV52" s="326"/>
      <c r="HW52" s="326"/>
      <c r="HX52" s="326"/>
      <c r="HY52" s="326"/>
      <c r="HZ52" s="326"/>
      <c r="IA52" s="326"/>
      <c r="IB52" s="326"/>
      <c r="IC52" s="326"/>
      <c r="ID52" s="326"/>
      <c r="IE52" s="326"/>
      <c r="IF52" s="326"/>
      <c r="IG52" s="326"/>
      <c r="IH52" s="326"/>
      <c r="II52" s="326"/>
      <c r="IJ52" s="326"/>
      <c r="IK52" s="326"/>
      <c r="IL52" s="326"/>
      <c r="IM52" s="326"/>
      <c r="IN52" s="326"/>
      <c r="IO52" s="326"/>
      <c r="IP52" s="326"/>
      <c r="IQ52" s="326"/>
      <c r="IR52" s="326"/>
      <c r="IS52" s="326"/>
      <c r="IT52" s="326"/>
      <c r="IU52" s="326"/>
      <c r="IV52" s="326"/>
    </row>
    <row r="53" spans="1:256" s="555" customFormat="1" ht="18" customHeight="1">
      <c r="A53" s="569">
        <v>44</v>
      </c>
      <c r="B53" s="563"/>
      <c r="C53" s="327"/>
      <c r="D53" s="478" t="s">
        <v>757</v>
      </c>
      <c r="E53" s="335"/>
      <c r="F53" s="559"/>
      <c r="G53" s="336"/>
      <c r="H53" s="766"/>
      <c r="I53" s="764"/>
      <c r="J53" s="757"/>
      <c r="K53" s="1188">
        <v>19333</v>
      </c>
      <c r="L53" s="1188"/>
      <c r="M53" s="1188">
        <v>858111</v>
      </c>
      <c r="N53" s="556"/>
      <c r="O53" s="564">
        <f>SUM(I53:N53)</f>
        <v>877444</v>
      </c>
      <c r="P53" s="560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326"/>
      <c r="BN53" s="326"/>
      <c r="BO53" s="326"/>
      <c r="BP53" s="326"/>
      <c r="BQ53" s="326"/>
      <c r="BR53" s="326"/>
      <c r="BS53" s="326"/>
      <c r="BT53" s="326"/>
      <c r="BU53" s="326"/>
      <c r="BV53" s="326"/>
      <c r="BW53" s="326"/>
      <c r="BX53" s="326"/>
      <c r="BY53" s="326"/>
      <c r="BZ53" s="326"/>
      <c r="CA53" s="326"/>
      <c r="CB53" s="326"/>
      <c r="CC53" s="326"/>
      <c r="CD53" s="326"/>
      <c r="CE53" s="326"/>
      <c r="CF53" s="326"/>
      <c r="CG53" s="326"/>
      <c r="CH53" s="326"/>
      <c r="CI53" s="326"/>
      <c r="CJ53" s="326"/>
      <c r="CK53" s="326"/>
      <c r="CL53" s="326"/>
      <c r="CM53" s="326"/>
      <c r="CN53" s="326"/>
      <c r="CO53" s="326"/>
      <c r="CP53" s="326"/>
      <c r="CQ53" s="326"/>
      <c r="CR53" s="326"/>
      <c r="CS53" s="326"/>
      <c r="CT53" s="326"/>
      <c r="CU53" s="326"/>
      <c r="CV53" s="326"/>
      <c r="CW53" s="326"/>
      <c r="CX53" s="326"/>
      <c r="CY53" s="326"/>
      <c r="CZ53" s="326"/>
      <c r="DA53" s="326"/>
      <c r="DB53" s="326"/>
      <c r="DC53" s="326"/>
      <c r="DD53" s="326"/>
      <c r="DE53" s="326"/>
      <c r="DF53" s="326"/>
      <c r="DG53" s="326"/>
      <c r="DH53" s="326"/>
      <c r="DI53" s="326"/>
      <c r="DJ53" s="326"/>
      <c r="DK53" s="326"/>
      <c r="DL53" s="326"/>
      <c r="DM53" s="326"/>
      <c r="DN53" s="326"/>
      <c r="DO53" s="326"/>
      <c r="DP53" s="326"/>
      <c r="DQ53" s="326"/>
      <c r="DR53" s="326"/>
      <c r="DS53" s="326"/>
      <c r="DT53" s="326"/>
      <c r="DU53" s="326"/>
      <c r="DV53" s="326"/>
      <c r="DW53" s="326"/>
      <c r="DX53" s="326"/>
      <c r="DY53" s="326"/>
      <c r="DZ53" s="326"/>
      <c r="EA53" s="326"/>
      <c r="EB53" s="326"/>
      <c r="EC53" s="326"/>
      <c r="ED53" s="326"/>
      <c r="EE53" s="326"/>
      <c r="EF53" s="326"/>
      <c r="EG53" s="326"/>
      <c r="EH53" s="326"/>
      <c r="EI53" s="326"/>
      <c r="EJ53" s="326"/>
      <c r="EK53" s="326"/>
      <c r="EL53" s="326"/>
      <c r="EM53" s="326"/>
      <c r="EN53" s="326"/>
      <c r="EO53" s="326"/>
      <c r="EP53" s="326"/>
      <c r="EQ53" s="326"/>
      <c r="ER53" s="326"/>
      <c r="ES53" s="326"/>
      <c r="ET53" s="326"/>
      <c r="EU53" s="326"/>
      <c r="EV53" s="326"/>
      <c r="EW53" s="326"/>
      <c r="EX53" s="326"/>
      <c r="EY53" s="326"/>
      <c r="EZ53" s="326"/>
      <c r="FA53" s="326"/>
      <c r="FB53" s="326"/>
      <c r="FC53" s="326"/>
      <c r="FD53" s="326"/>
      <c r="FE53" s="326"/>
      <c r="FF53" s="326"/>
      <c r="FG53" s="326"/>
      <c r="FH53" s="326"/>
      <c r="FI53" s="326"/>
      <c r="FJ53" s="326"/>
      <c r="FK53" s="326"/>
      <c r="FL53" s="326"/>
      <c r="FM53" s="326"/>
      <c r="FN53" s="326"/>
      <c r="FO53" s="326"/>
      <c r="FP53" s="326"/>
      <c r="FQ53" s="326"/>
      <c r="FR53" s="326"/>
      <c r="FS53" s="326"/>
      <c r="FT53" s="326"/>
      <c r="FU53" s="326"/>
      <c r="FV53" s="326"/>
      <c r="FW53" s="326"/>
      <c r="FX53" s="326"/>
      <c r="FY53" s="326"/>
      <c r="FZ53" s="326"/>
      <c r="GA53" s="326"/>
      <c r="GB53" s="326"/>
      <c r="GC53" s="326"/>
      <c r="GD53" s="326"/>
      <c r="GE53" s="326"/>
      <c r="GF53" s="326"/>
      <c r="GG53" s="326"/>
      <c r="GH53" s="326"/>
      <c r="GI53" s="326"/>
      <c r="GJ53" s="326"/>
      <c r="GK53" s="326"/>
      <c r="GL53" s="326"/>
      <c r="GM53" s="326"/>
      <c r="GN53" s="326"/>
      <c r="GO53" s="326"/>
      <c r="GP53" s="326"/>
      <c r="GQ53" s="326"/>
      <c r="GR53" s="326"/>
      <c r="GS53" s="326"/>
      <c r="GT53" s="326"/>
      <c r="GU53" s="326"/>
      <c r="GV53" s="326"/>
      <c r="GW53" s="326"/>
      <c r="GX53" s="326"/>
      <c r="GY53" s="326"/>
      <c r="GZ53" s="326"/>
      <c r="HA53" s="326"/>
      <c r="HB53" s="326"/>
      <c r="HC53" s="326"/>
      <c r="HD53" s="326"/>
      <c r="HE53" s="326"/>
      <c r="HF53" s="326"/>
      <c r="HG53" s="326"/>
      <c r="HH53" s="326"/>
      <c r="HI53" s="326"/>
      <c r="HJ53" s="326"/>
      <c r="HK53" s="326"/>
      <c r="HL53" s="326"/>
      <c r="HM53" s="326"/>
      <c r="HN53" s="326"/>
      <c r="HO53" s="326"/>
      <c r="HP53" s="326"/>
      <c r="HQ53" s="326"/>
      <c r="HR53" s="326"/>
      <c r="HS53" s="326"/>
      <c r="HT53" s="326"/>
      <c r="HU53" s="326"/>
      <c r="HV53" s="326"/>
      <c r="HW53" s="326"/>
      <c r="HX53" s="326"/>
      <c r="HY53" s="326"/>
      <c r="HZ53" s="326"/>
      <c r="IA53" s="326"/>
      <c r="IB53" s="326"/>
      <c r="IC53" s="326"/>
      <c r="ID53" s="326"/>
      <c r="IE53" s="326"/>
      <c r="IF53" s="326"/>
      <c r="IG53" s="326"/>
      <c r="IH53" s="326"/>
      <c r="II53" s="326"/>
      <c r="IJ53" s="326"/>
      <c r="IK53" s="326"/>
      <c r="IL53" s="326"/>
      <c r="IM53" s="326"/>
      <c r="IN53" s="326"/>
      <c r="IO53" s="326"/>
      <c r="IP53" s="326"/>
      <c r="IQ53" s="326"/>
      <c r="IR53" s="326"/>
      <c r="IS53" s="326"/>
      <c r="IT53" s="326"/>
      <c r="IU53" s="326"/>
      <c r="IV53" s="326"/>
    </row>
    <row r="54" spans="1:256" s="555" customFormat="1" ht="18" customHeight="1">
      <c r="A54" s="569">
        <v>45</v>
      </c>
      <c r="B54" s="563"/>
      <c r="C54" s="327"/>
      <c r="D54" s="1090" t="s">
        <v>893</v>
      </c>
      <c r="E54" s="335"/>
      <c r="F54" s="559"/>
      <c r="G54" s="336"/>
      <c r="H54" s="766"/>
      <c r="I54" s="764"/>
      <c r="J54" s="757"/>
      <c r="K54" s="1186">
        <v>1000</v>
      </c>
      <c r="L54" s="1186"/>
      <c r="M54" s="1186">
        <v>0</v>
      </c>
      <c r="N54" s="1186"/>
      <c r="O54" s="1723">
        <f>SUM(I54:N54)</f>
        <v>1000</v>
      </c>
      <c r="P54" s="560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326"/>
      <c r="DH54" s="326"/>
      <c r="DI54" s="326"/>
      <c r="DJ54" s="326"/>
      <c r="DK54" s="326"/>
      <c r="DL54" s="326"/>
      <c r="DM54" s="326"/>
      <c r="DN54" s="326"/>
      <c r="DO54" s="326"/>
      <c r="DP54" s="326"/>
      <c r="DQ54" s="326"/>
      <c r="DR54" s="326"/>
      <c r="DS54" s="326"/>
      <c r="DT54" s="326"/>
      <c r="DU54" s="326"/>
      <c r="DV54" s="326"/>
      <c r="DW54" s="326"/>
      <c r="DX54" s="326"/>
      <c r="DY54" s="326"/>
      <c r="DZ54" s="326"/>
      <c r="EA54" s="326"/>
      <c r="EB54" s="326"/>
      <c r="EC54" s="326"/>
      <c r="ED54" s="326"/>
      <c r="EE54" s="326"/>
      <c r="EF54" s="326"/>
      <c r="EG54" s="326"/>
      <c r="EH54" s="326"/>
      <c r="EI54" s="326"/>
      <c r="EJ54" s="326"/>
      <c r="EK54" s="326"/>
      <c r="EL54" s="326"/>
      <c r="EM54" s="326"/>
      <c r="EN54" s="326"/>
      <c r="EO54" s="326"/>
      <c r="EP54" s="326"/>
      <c r="EQ54" s="326"/>
      <c r="ER54" s="326"/>
      <c r="ES54" s="326"/>
      <c r="ET54" s="326"/>
      <c r="EU54" s="326"/>
      <c r="EV54" s="326"/>
      <c r="EW54" s="326"/>
      <c r="EX54" s="326"/>
      <c r="EY54" s="326"/>
      <c r="EZ54" s="326"/>
      <c r="FA54" s="326"/>
      <c r="FB54" s="326"/>
      <c r="FC54" s="326"/>
      <c r="FD54" s="326"/>
      <c r="FE54" s="326"/>
      <c r="FF54" s="326"/>
      <c r="FG54" s="326"/>
      <c r="FH54" s="326"/>
      <c r="FI54" s="326"/>
      <c r="FJ54" s="326"/>
      <c r="FK54" s="326"/>
      <c r="FL54" s="326"/>
      <c r="FM54" s="326"/>
      <c r="FN54" s="326"/>
      <c r="FO54" s="326"/>
      <c r="FP54" s="326"/>
      <c r="FQ54" s="326"/>
      <c r="FR54" s="326"/>
      <c r="FS54" s="326"/>
      <c r="FT54" s="326"/>
      <c r="FU54" s="326"/>
      <c r="FV54" s="326"/>
      <c r="FW54" s="326"/>
      <c r="FX54" s="326"/>
      <c r="FY54" s="326"/>
      <c r="FZ54" s="326"/>
      <c r="GA54" s="326"/>
      <c r="GB54" s="326"/>
      <c r="GC54" s="326"/>
      <c r="GD54" s="326"/>
      <c r="GE54" s="326"/>
      <c r="GF54" s="326"/>
      <c r="GG54" s="326"/>
      <c r="GH54" s="326"/>
      <c r="GI54" s="326"/>
      <c r="GJ54" s="326"/>
      <c r="GK54" s="326"/>
      <c r="GL54" s="326"/>
      <c r="GM54" s="326"/>
      <c r="GN54" s="326"/>
      <c r="GO54" s="326"/>
      <c r="GP54" s="326"/>
      <c r="GQ54" s="326"/>
      <c r="GR54" s="326"/>
      <c r="GS54" s="326"/>
      <c r="GT54" s="326"/>
      <c r="GU54" s="326"/>
      <c r="GV54" s="326"/>
      <c r="GW54" s="326"/>
      <c r="GX54" s="326"/>
      <c r="GY54" s="326"/>
      <c r="GZ54" s="326"/>
      <c r="HA54" s="326"/>
      <c r="HB54" s="326"/>
      <c r="HC54" s="326"/>
      <c r="HD54" s="326"/>
      <c r="HE54" s="326"/>
      <c r="HF54" s="326"/>
      <c r="HG54" s="326"/>
      <c r="HH54" s="326"/>
      <c r="HI54" s="326"/>
      <c r="HJ54" s="326"/>
      <c r="HK54" s="326"/>
      <c r="HL54" s="326"/>
      <c r="HM54" s="326"/>
      <c r="HN54" s="326"/>
      <c r="HO54" s="326"/>
      <c r="HP54" s="326"/>
      <c r="HQ54" s="326"/>
      <c r="HR54" s="326"/>
      <c r="HS54" s="326"/>
      <c r="HT54" s="326"/>
      <c r="HU54" s="326"/>
      <c r="HV54" s="326"/>
      <c r="HW54" s="326"/>
      <c r="HX54" s="326"/>
      <c r="HY54" s="326"/>
      <c r="HZ54" s="326"/>
      <c r="IA54" s="326"/>
      <c r="IB54" s="326"/>
      <c r="IC54" s="326"/>
      <c r="ID54" s="326"/>
      <c r="IE54" s="326"/>
      <c r="IF54" s="326"/>
      <c r="IG54" s="326"/>
      <c r="IH54" s="326"/>
      <c r="II54" s="326"/>
      <c r="IJ54" s="326"/>
      <c r="IK54" s="326"/>
      <c r="IL54" s="326"/>
      <c r="IM54" s="326"/>
      <c r="IN54" s="326"/>
      <c r="IO54" s="326"/>
      <c r="IP54" s="326"/>
      <c r="IQ54" s="326"/>
      <c r="IR54" s="326"/>
      <c r="IS54" s="326"/>
      <c r="IT54" s="326"/>
      <c r="IU54" s="326"/>
      <c r="IV54" s="326"/>
    </row>
    <row r="55" spans="1:256" s="555" customFormat="1" ht="49.5">
      <c r="A55" s="569">
        <v>46</v>
      </c>
      <c r="B55" s="563"/>
      <c r="C55" s="327">
        <v>12</v>
      </c>
      <c r="D55" s="329" t="s">
        <v>339</v>
      </c>
      <c r="E55" s="335"/>
      <c r="F55" s="559"/>
      <c r="G55" s="336"/>
      <c r="H55" s="788" t="s">
        <v>23</v>
      </c>
      <c r="I55" s="764"/>
      <c r="J55" s="757"/>
      <c r="K55" s="757"/>
      <c r="L55" s="757"/>
      <c r="M55" s="757"/>
      <c r="N55" s="777"/>
      <c r="O55" s="751"/>
      <c r="P55" s="560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  <c r="CZ55" s="326"/>
      <c r="DA55" s="326"/>
      <c r="DB55" s="326"/>
      <c r="DC55" s="326"/>
      <c r="DD55" s="326"/>
      <c r="DE55" s="326"/>
      <c r="DF55" s="326"/>
      <c r="DG55" s="326"/>
      <c r="DH55" s="326"/>
      <c r="DI55" s="326"/>
      <c r="DJ55" s="326"/>
      <c r="DK55" s="326"/>
      <c r="DL55" s="326"/>
      <c r="DM55" s="326"/>
      <c r="DN55" s="326"/>
      <c r="DO55" s="326"/>
      <c r="DP55" s="326"/>
      <c r="DQ55" s="326"/>
      <c r="DR55" s="326"/>
      <c r="DS55" s="326"/>
      <c r="DT55" s="326"/>
      <c r="DU55" s="326"/>
      <c r="DV55" s="326"/>
      <c r="DW55" s="326"/>
      <c r="DX55" s="326"/>
      <c r="DY55" s="326"/>
      <c r="DZ55" s="326"/>
      <c r="EA55" s="326"/>
      <c r="EB55" s="326"/>
      <c r="EC55" s="326"/>
      <c r="ED55" s="326"/>
      <c r="EE55" s="326"/>
      <c r="EF55" s="326"/>
      <c r="EG55" s="326"/>
      <c r="EH55" s="326"/>
      <c r="EI55" s="326"/>
      <c r="EJ55" s="326"/>
      <c r="EK55" s="326"/>
      <c r="EL55" s="326"/>
      <c r="EM55" s="326"/>
      <c r="EN55" s="326"/>
      <c r="EO55" s="326"/>
      <c r="EP55" s="326"/>
      <c r="EQ55" s="326"/>
      <c r="ER55" s="326"/>
      <c r="ES55" s="326"/>
      <c r="ET55" s="326"/>
      <c r="EU55" s="326"/>
      <c r="EV55" s="326"/>
      <c r="EW55" s="326"/>
      <c r="EX55" s="326"/>
      <c r="EY55" s="326"/>
      <c r="EZ55" s="326"/>
      <c r="FA55" s="326"/>
      <c r="FB55" s="326"/>
      <c r="FC55" s="326"/>
      <c r="FD55" s="326"/>
      <c r="FE55" s="326"/>
      <c r="FF55" s="326"/>
      <c r="FG55" s="326"/>
      <c r="FH55" s="326"/>
      <c r="FI55" s="326"/>
      <c r="FJ55" s="326"/>
      <c r="FK55" s="326"/>
      <c r="FL55" s="326"/>
      <c r="FM55" s="326"/>
      <c r="FN55" s="326"/>
      <c r="FO55" s="326"/>
      <c r="FP55" s="326"/>
      <c r="FQ55" s="326"/>
      <c r="FR55" s="326"/>
      <c r="FS55" s="326"/>
      <c r="FT55" s="326"/>
      <c r="FU55" s="326"/>
      <c r="FV55" s="326"/>
      <c r="FW55" s="326"/>
      <c r="FX55" s="326"/>
      <c r="FY55" s="326"/>
      <c r="FZ55" s="326"/>
      <c r="GA55" s="326"/>
      <c r="GB55" s="326"/>
      <c r="GC55" s="326"/>
      <c r="GD55" s="326"/>
      <c r="GE55" s="326"/>
      <c r="GF55" s="326"/>
      <c r="GG55" s="326"/>
      <c r="GH55" s="326"/>
      <c r="GI55" s="326"/>
      <c r="GJ55" s="326"/>
      <c r="GK55" s="326"/>
      <c r="GL55" s="326"/>
      <c r="GM55" s="326"/>
      <c r="GN55" s="326"/>
      <c r="GO55" s="326"/>
      <c r="GP55" s="326"/>
      <c r="GQ55" s="326"/>
      <c r="GR55" s="326"/>
      <c r="GS55" s="326"/>
      <c r="GT55" s="326"/>
      <c r="GU55" s="326"/>
      <c r="GV55" s="326"/>
      <c r="GW55" s="326"/>
      <c r="GX55" s="326"/>
      <c r="GY55" s="326"/>
      <c r="GZ55" s="326"/>
      <c r="HA55" s="326"/>
      <c r="HB55" s="326"/>
      <c r="HC55" s="326"/>
      <c r="HD55" s="326"/>
      <c r="HE55" s="326"/>
      <c r="HF55" s="326"/>
      <c r="HG55" s="326"/>
      <c r="HH55" s="326"/>
      <c r="HI55" s="326"/>
      <c r="HJ55" s="326"/>
      <c r="HK55" s="326"/>
      <c r="HL55" s="326"/>
      <c r="HM55" s="326"/>
      <c r="HN55" s="326"/>
      <c r="HO55" s="326"/>
      <c r="HP55" s="326"/>
      <c r="HQ55" s="326"/>
      <c r="HR55" s="326"/>
      <c r="HS55" s="326"/>
      <c r="HT55" s="326"/>
      <c r="HU55" s="326"/>
      <c r="HV55" s="326"/>
      <c r="HW55" s="326"/>
      <c r="HX55" s="326"/>
      <c r="HY55" s="326"/>
      <c r="HZ55" s="326"/>
      <c r="IA55" s="326"/>
      <c r="IB55" s="326"/>
      <c r="IC55" s="326"/>
      <c r="ID55" s="326"/>
      <c r="IE55" s="326"/>
      <c r="IF55" s="326"/>
      <c r="IG55" s="326"/>
      <c r="IH55" s="326"/>
      <c r="II55" s="326"/>
      <c r="IJ55" s="326"/>
      <c r="IK55" s="326"/>
      <c r="IL55" s="326"/>
      <c r="IM55" s="326"/>
      <c r="IN55" s="326"/>
      <c r="IO55" s="326"/>
      <c r="IP55" s="326"/>
      <c r="IQ55" s="326"/>
      <c r="IR55" s="326"/>
      <c r="IS55" s="326"/>
      <c r="IT55" s="326"/>
      <c r="IU55" s="326"/>
      <c r="IV55" s="326"/>
    </row>
    <row r="56" spans="1:256" s="555" customFormat="1" ht="18" customHeight="1">
      <c r="A56" s="569">
        <v>47</v>
      </c>
      <c r="B56" s="563"/>
      <c r="C56" s="327"/>
      <c r="D56" s="1194" t="s">
        <v>283</v>
      </c>
      <c r="E56" s="335">
        <f>F56+G56+O57+P56</f>
        <v>1147594</v>
      </c>
      <c r="F56" s="559">
        <f>25062+32060+393153+688437</f>
        <v>1138712</v>
      </c>
      <c r="G56" s="336">
        <v>260</v>
      </c>
      <c r="H56" s="766"/>
      <c r="I56" s="764"/>
      <c r="J56" s="757"/>
      <c r="K56" s="757">
        <v>8622</v>
      </c>
      <c r="L56" s="757"/>
      <c r="M56" s="757"/>
      <c r="N56" s="777"/>
      <c r="O56" s="751">
        <f>SUM(I56:N56)</f>
        <v>8622</v>
      </c>
      <c r="P56" s="560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6"/>
      <c r="BO56" s="326"/>
      <c r="BP56" s="326"/>
      <c r="BQ56" s="326"/>
      <c r="BR56" s="326"/>
      <c r="BS56" s="326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6"/>
      <c r="CW56" s="326"/>
      <c r="CX56" s="326"/>
      <c r="CY56" s="326"/>
      <c r="CZ56" s="326"/>
      <c r="DA56" s="326"/>
      <c r="DB56" s="326"/>
      <c r="DC56" s="326"/>
      <c r="DD56" s="326"/>
      <c r="DE56" s="326"/>
      <c r="DF56" s="326"/>
      <c r="DG56" s="326"/>
      <c r="DH56" s="326"/>
      <c r="DI56" s="326"/>
      <c r="DJ56" s="326"/>
      <c r="DK56" s="326"/>
      <c r="DL56" s="326"/>
      <c r="DM56" s="326"/>
      <c r="DN56" s="326"/>
      <c r="DO56" s="326"/>
      <c r="DP56" s="326"/>
      <c r="DQ56" s="326"/>
      <c r="DR56" s="326"/>
      <c r="DS56" s="326"/>
      <c r="DT56" s="326"/>
      <c r="DU56" s="326"/>
      <c r="DV56" s="326"/>
      <c r="DW56" s="326"/>
      <c r="DX56" s="326"/>
      <c r="DY56" s="326"/>
      <c r="DZ56" s="326"/>
      <c r="EA56" s="326"/>
      <c r="EB56" s="326"/>
      <c r="EC56" s="326"/>
      <c r="ED56" s="326"/>
      <c r="EE56" s="326"/>
      <c r="EF56" s="326"/>
      <c r="EG56" s="326"/>
      <c r="EH56" s="326"/>
      <c r="EI56" s="326"/>
      <c r="EJ56" s="326"/>
      <c r="EK56" s="326"/>
      <c r="EL56" s="326"/>
      <c r="EM56" s="326"/>
      <c r="EN56" s="326"/>
      <c r="EO56" s="326"/>
      <c r="EP56" s="326"/>
      <c r="EQ56" s="326"/>
      <c r="ER56" s="326"/>
      <c r="ES56" s="326"/>
      <c r="ET56" s="326"/>
      <c r="EU56" s="326"/>
      <c r="EV56" s="326"/>
      <c r="EW56" s="326"/>
      <c r="EX56" s="326"/>
      <c r="EY56" s="326"/>
      <c r="EZ56" s="326"/>
      <c r="FA56" s="326"/>
      <c r="FB56" s="326"/>
      <c r="FC56" s="326"/>
      <c r="FD56" s="326"/>
      <c r="FE56" s="326"/>
      <c r="FF56" s="326"/>
      <c r="FG56" s="326"/>
      <c r="FH56" s="326"/>
      <c r="FI56" s="326"/>
      <c r="FJ56" s="326"/>
      <c r="FK56" s="326"/>
      <c r="FL56" s="326"/>
      <c r="FM56" s="326"/>
      <c r="FN56" s="326"/>
      <c r="FO56" s="326"/>
      <c r="FP56" s="326"/>
      <c r="FQ56" s="326"/>
      <c r="FR56" s="326"/>
      <c r="FS56" s="326"/>
      <c r="FT56" s="326"/>
      <c r="FU56" s="326"/>
      <c r="FV56" s="326"/>
      <c r="FW56" s="326"/>
      <c r="FX56" s="326"/>
      <c r="FY56" s="326"/>
      <c r="FZ56" s="326"/>
      <c r="GA56" s="326"/>
      <c r="GB56" s="326"/>
      <c r="GC56" s="326"/>
      <c r="GD56" s="326"/>
      <c r="GE56" s="326"/>
      <c r="GF56" s="326"/>
      <c r="GG56" s="326"/>
      <c r="GH56" s="326"/>
      <c r="GI56" s="326"/>
      <c r="GJ56" s="326"/>
      <c r="GK56" s="326"/>
      <c r="GL56" s="326"/>
      <c r="GM56" s="326"/>
      <c r="GN56" s="326"/>
      <c r="GO56" s="326"/>
      <c r="GP56" s="326"/>
      <c r="GQ56" s="326"/>
      <c r="GR56" s="326"/>
      <c r="GS56" s="326"/>
      <c r="GT56" s="326"/>
      <c r="GU56" s="326"/>
      <c r="GV56" s="326"/>
      <c r="GW56" s="326"/>
      <c r="GX56" s="326"/>
      <c r="GY56" s="326"/>
      <c r="GZ56" s="326"/>
      <c r="HA56" s="326"/>
      <c r="HB56" s="326"/>
      <c r="HC56" s="326"/>
      <c r="HD56" s="326"/>
      <c r="HE56" s="326"/>
      <c r="HF56" s="326"/>
      <c r="HG56" s="326"/>
      <c r="HH56" s="326"/>
      <c r="HI56" s="326"/>
      <c r="HJ56" s="326"/>
      <c r="HK56" s="326"/>
      <c r="HL56" s="326"/>
      <c r="HM56" s="326"/>
      <c r="HN56" s="326"/>
      <c r="HO56" s="326"/>
      <c r="HP56" s="326"/>
      <c r="HQ56" s="326"/>
      <c r="HR56" s="326"/>
      <c r="HS56" s="326"/>
      <c r="HT56" s="326"/>
      <c r="HU56" s="326"/>
      <c r="HV56" s="326"/>
      <c r="HW56" s="326"/>
      <c r="HX56" s="326"/>
      <c r="HY56" s="326"/>
      <c r="HZ56" s="326"/>
      <c r="IA56" s="326"/>
      <c r="IB56" s="326"/>
      <c r="IC56" s="326"/>
      <c r="ID56" s="326"/>
      <c r="IE56" s="326"/>
      <c r="IF56" s="326"/>
      <c r="IG56" s="326"/>
      <c r="IH56" s="326"/>
      <c r="II56" s="326"/>
      <c r="IJ56" s="326"/>
      <c r="IK56" s="326"/>
      <c r="IL56" s="326"/>
      <c r="IM56" s="326"/>
      <c r="IN56" s="326"/>
      <c r="IO56" s="326"/>
      <c r="IP56" s="326"/>
      <c r="IQ56" s="326"/>
      <c r="IR56" s="326"/>
      <c r="IS56" s="326"/>
      <c r="IT56" s="326"/>
      <c r="IU56" s="326"/>
      <c r="IV56" s="326"/>
    </row>
    <row r="57" spans="1:256" s="555" customFormat="1" ht="18" customHeight="1">
      <c r="A57" s="569">
        <v>48</v>
      </c>
      <c r="B57" s="563"/>
      <c r="C57" s="327"/>
      <c r="D57" s="478" t="s">
        <v>757</v>
      </c>
      <c r="E57" s="335"/>
      <c r="F57" s="559"/>
      <c r="G57" s="336"/>
      <c r="H57" s="766"/>
      <c r="I57" s="764"/>
      <c r="J57" s="757"/>
      <c r="K57" s="1188">
        <v>8622</v>
      </c>
      <c r="L57" s="1188"/>
      <c r="M57" s="1188"/>
      <c r="N57" s="556"/>
      <c r="O57" s="564">
        <f>SUM(I57:N57)</f>
        <v>8622</v>
      </c>
      <c r="P57" s="560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6"/>
      <c r="BD57" s="326"/>
      <c r="BE57" s="326"/>
      <c r="BF57" s="326"/>
      <c r="BG57" s="326"/>
      <c r="BH57" s="326"/>
      <c r="BI57" s="326"/>
      <c r="BJ57" s="326"/>
      <c r="BK57" s="326"/>
      <c r="BL57" s="326"/>
      <c r="BM57" s="326"/>
      <c r="BN57" s="326"/>
      <c r="BO57" s="326"/>
      <c r="BP57" s="326"/>
      <c r="BQ57" s="326"/>
      <c r="BR57" s="326"/>
      <c r="BS57" s="326"/>
      <c r="BT57" s="326"/>
      <c r="BU57" s="326"/>
      <c r="BV57" s="326"/>
      <c r="BW57" s="326"/>
      <c r="BX57" s="326"/>
      <c r="BY57" s="326"/>
      <c r="BZ57" s="326"/>
      <c r="CA57" s="326"/>
      <c r="CB57" s="326"/>
      <c r="CC57" s="326"/>
      <c r="CD57" s="326"/>
      <c r="CE57" s="326"/>
      <c r="CF57" s="326"/>
      <c r="CG57" s="326"/>
      <c r="CH57" s="326"/>
      <c r="CI57" s="326"/>
      <c r="CJ57" s="326"/>
      <c r="CK57" s="326"/>
      <c r="CL57" s="326"/>
      <c r="CM57" s="326"/>
      <c r="CN57" s="326"/>
      <c r="CO57" s="326"/>
      <c r="CP57" s="326"/>
      <c r="CQ57" s="326"/>
      <c r="CR57" s="326"/>
      <c r="CS57" s="326"/>
      <c r="CT57" s="326"/>
      <c r="CU57" s="326"/>
      <c r="CV57" s="326"/>
      <c r="CW57" s="326"/>
      <c r="CX57" s="326"/>
      <c r="CY57" s="326"/>
      <c r="CZ57" s="326"/>
      <c r="DA57" s="326"/>
      <c r="DB57" s="326"/>
      <c r="DC57" s="326"/>
      <c r="DD57" s="326"/>
      <c r="DE57" s="326"/>
      <c r="DF57" s="326"/>
      <c r="DG57" s="326"/>
      <c r="DH57" s="326"/>
      <c r="DI57" s="326"/>
      <c r="DJ57" s="326"/>
      <c r="DK57" s="326"/>
      <c r="DL57" s="326"/>
      <c r="DM57" s="326"/>
      <c r="DN57" s="326"/>
      <c r="DO57" s="326"/>
      <c r="DP57" s="326"/>
      <c r="DQ57" s="326"/>
      <c r="DR57" s="326"/>
      <c r="DS57" s="326"/>
      <c r="DT57" s="326"/>
      <c r="DU57" s="326"/>
      <c r="DV57" s="326"/>
      <c r="DW57" s="326"/>
      <c r="DX57" s="326"/>
      <c r="DY57" s="326"/>
      <c r="DZ57" s="326"/>
      <c r="EA57" s="326"/>
      <c r="EB57" s="326"/>
      <c r="EC57" s="326"/>
      <c r="ED57" s="326"/>
      <c r="EE57" s="326"/>
      <c r="EF57" s="326"/>
      <c r="EG57" s="326"/>
      <c r="EH57" s="326"/>
      <c r="EI57" s="326"/>
      <c r="EJ57" s="326"/>
      <c r="EK57" s="326"/>
      <c r="EL57" s="326"/>
      <c r="EM57" s="326"/>
      <c r="EN57" s="326"/>
      <c r="EO57" s="326"/>
      <c r="EP57" s="326"/>
      <c r="EQ57" s="326"/>
      <c r="ER57" s="326"/>
      <c r="ES57" s="326"/>
      <c r="ET57" s="326"/>
      <c r="EU57" s="326"/>
      <c r="EV57" s="326"/>
      <c r="EW57" s="326"/>
      <c r="EX57" s="326"/>
      <c r="EY57" s="326"/>
      <c r="EZ57" s="326"/>
      <c r="FA57" s="326"/>
      <c r="FB57" s="326"/>
      <c r="FC57" s="326"/>
      <c r="FD57" s="326"/>
      <c r="FE57" s="326"/>
      <c r="FF57" s="326"/>
      <c r="FG57" s="326"/>
      <c r="FH57" s="326"/>
      <c r="FI57" s="326"/>
      <c r="FJ57" s="326"/>
      <c r="FK57" s="326"/>
      <c r="FL57" s="326"/>
      <c r="FM57" s="326"/>
      <c r="FN57" s="326"/>
      <c r="FO57" s="326"/>
      <c r="FP57" s="326"/>
      <c r="FQ57" s="326"/>
      <c r="FR57" s="326"/>
      <c r="FS57" s="326"/>
      <c r="FT57" s="326"/>
      <c r="FU57" s="326"/>
      <c r="FV57" s="326"/>
      <c r="FW57" s="326"/>
      <c r="FX57" s="326"/>
      <c r="FY57" s="326"/>
      <c r="FZ57" s="326"/>
      <c r="GA57" s="326"/>
      <c r="GB57" s="326"/>
      <c r="GC57" s="326"/>
      <c r="GD57" s="326"/>
      <c r="GE57" s="326"/>
      <c r="GF57" s="326"/>
      <c r="GG57" s="326"/>
      <c r="GH57" s="326"/>
      <c r="GI57" s="326"/>
      <c r="GJ57" s="326"/>
      <c r="GK57" s="326"/>
      <c r="GL57" s="326"/>
      <c r="GM57" s="326"/>
      <c r="GN57" s="326"/>
      <c r="GO57" s="326"/>
      <c r="GP57" s="326"/>
      <c r="GQ57" s="326"/>
      <c r="GR57" s="326"/>
      <c r="GS57" s="326"/>
      <c r="GT57" s="326"/>
      <c r="GU57" s="326"/>
      <c r="GV57" s="326"/>
      <c r="GW57" s="326"/>
      <c r="GX57" s="326"/>
      <c r="GY57" s="326"/>
      <c r="GZ57" s="326"/>
      <c r="HA57" s="326"/>
      <c r="HB57" s="326"/>
      <c r="HC57" s="326"/>
      <c r="HD57" s="326"/>
      <c r="HE57" s="326"/>
      <c r="HF57" s="326"/>
      <c r="HG57" s="326"/>
      <c r="HH57" s="326"/>
      <c r="HI57" s="326"/>
      <c r="HJ57" s="326"/>
      <c r="HK57" s="326"/>
      <c r="HL57" s="326"/>
      <c r="HM57" s="326"/>
      <c r="HN57" s="326"/>
      <c r="HO57" s="326"/>
      <c r="HP57" s="326"/>
      <c r="HQ57" s="326"/>
      <c r="HR57" s="326"/>
      <c r="HS57" s="326"/>
      <c r="HT57" s="326"/>
      <c r="HU57" s="326"/>
      <c r="HV57" s="326"/>
      <c r="HW57" s="326"/>
      <c r="HX57" s="326"/>
      <c r="HY57" s="326"/>
      <c r="HZ57" s="326"/>
      <c r="IA57" s="326"/>
      <c r="IB57" s="326"/>
      <c r="IC57" s="326"/>
      <c r="ID57" s="326"/>
      <c r="IE57" s="326"/>
      <c r="IF57" s="326"/>
      <c r="IG57" s="326"/>
      <c r="IH57" s="326"/>
      <c r="II57" s="326"/>
      <c r="IJ57" s="326"/>
      <c r="IK57" s="326"/>
      <c r="IL57" s="326"/>
      <c r="IM57" s="326"/>
      <c r="IN57" s="326"/>
      <c r="IO57" s="326"/>
      <c r="IP57" s="326"/>
      <c r="IQ57" s="326"/>
      <c r="IR57" s="326"/>
      <c r="IS57" s="326"/>
      <c r="IT57" s="326"/>
      <c r="IU57" s="326"/>
      <c r="IV57" s="326"/>
    </row>
    <row r="58" spans="1:256" s="555" customFormat="1" ht="18" customHeight="1">
      <c r="A58" s="569">
        <v>49</v>
      </c>
      <c r="B58" s="563"/>
      <c r="C58" s="327"/>
      <c r="D58" s="1090" t="s">
        <v>893</v>
      </c>
      <c r="E58" s="335"/>
      <c r="F58" s="559"/>
      <c r="G58" s="336"/>
      <c r="H58" s="766"/>
      <c r="I58" s="764"/>
      <c r="J58" s="757"/>
      <c r="K58" s="1186">
        <v>0</v>
      </c>
      <c r="L58" s="1186"/>
      <c r="M58" s="1186"/>
      <c r="N58" s="1186"/>
      <c r="O58" s="1723">
        <f>SUM(I58:N58)</f>
        <v>0</v>
      </c>
      <c r="P58" s="560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6"/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  <c r="DB58" s="326"/>
      <c r="DC58" s="326"/>
      <c r="DD58" s="326"/>
      <c r="DE58" s="326"/>
      <c r="DF58" s="326"/>
      <c r="DG58" s="326"/>
      <c r="DH58" s="326"/>
      <c r="DI58" s="326"/>
      <c r="DJ58" s="326"/>
      <c r="DK58" s="326"/>
      <c r="DL58" s="326"/>
      <c r="DM58" s="326"/>
      <c r="DN58" s="326"/>
      <c r="DO58" s="326"/>
      <c r="DP58" s="326"/>
      <c r="DQ58" s="326"/>
      <c r="DR58" s="326"/>
      <c r="DS58" s="326"/>
      <c r="DT58" s="326"/>
      <c r="DU58" s="326"/>
      <c r="DV58" s="326"/>
      <c r="DW58" s="326"/>
      <c r="DX58" s="326"/>
      <c r="DY58" s="326"/>
      <c r="DZ58" s="326"/>
      <c r="EA58" s="326"/>
      <c r="EB58" s="326"/>
      <c r="EC58" s="326"/>
      <c r="ED58" s="326"/>
      <c r="EE58" s="326"/>
      <c r="EF58" s="326"/>
      <c r="EG58" s="326"/>
      <c r="EH58" s="326"/>
      <c r="EI58" s="326"/>
      <c r="EJ58" s="326"/>
      <c r="EK58" s="326"/>
      <c r="EL58" s="326"/>
      <c r="EM58" s="326"/>
      <c r="EN58" s="326"/>
      <c r="EO58" s="326"/>
      <c r="EP58" s="326"/>
      <c r="EQ58" s="326"/>
      <c r="ER58" s="326"/>
      <c r="ES58" s="326"/>
      <c r="ET58" s="326"/>
      <c r="EU58" s="326"/>
      <c r="EV58" s="326"/>
      <c r="EW58" s="326"/>
      <c r="EX58" s="326"/>
      <c r="EY58" s="326"/>
      <c r="EZ58" s="326"/>
      <c r="FA58" s="326"/>
      <c r="FB58" s="326"/>
      <c r="FC58" s="326"/>
      <c r="FD58" s="326"/>
      <c r="FE58" s="326"/>
      <c r="FF58" s="326"/>
      <c r="FG58" s="326"/>
      <c r="FH58" s="326"/>
      <c r="FI58" s="326"/>
      <c r="FJ58" s="326"/>
      <c r="FK58" s="326"/>
      <c r="FL58" s="326"/>
      <c r="FM58" s="326"/>
      <c r="FN58" s="326"/>
      <c r="FO58" s="326"/>
      <c r="FP58" s="326"/>
      <c r="FQ58" s="326"/>
      <c r="FR58" s="326"/>
      <c r="FS58" s="326"/>
      <c r="FT58" s="326"/>
      <c r="FU58" s="326"/>
      <c r="FV58" s="326"/>
      <c r="FW58" s="326"/>
      <c r="FX58" s="326"/>
      <c r="FY58" s="326"/>
      <c r="FZ58" s="326"/>
      <c r="GA58" s="326"/>
      <c r="GB58" s="326"/>
      <c r="GC58" s="326"/>
      <c r="GD58" s="326"/>
      <c r="GE58" s="326"/>
      <c r="GF58" s="326"/>
      <c r="GG58" s="326"/>
      <c r="GH58" s="326"/>
      <c r="GI58" s="326"/>
      <c r="GJ58" s="326"/>
      <c r="GK58" s="326"/>
      <c r="GL58" s="326"/>
      <c r="GM58" s="326"/>
      <c r="GN58" s="326"/>
      <c r="GO58" s="326"/>
      <c r="GP58" s="326"/>
      <c r="GQ58" s="326"/>
      <c r="GR58" s="326"/>
      <c r="GS58" s="326"/>
      <c r="GT58" s="326"/>
      <c r="GU58" s="326"/>
      <c r="GV58" s="326"/>
      <c r="GW58" s="326"/>
      <c r="GX58" s="326"/>
      <c r="GY58" s="326"/>
      <c r="GZ58" s="326"/>
      <c r="HA58" s="326"/>
      <c r="HB58" s="326"/>
      <c r="HC58" s="326"/>
      <c r="HD58" s="326"/>
      <c r="HE58" s="326"/>
      <c r="HF58" s="326"/>
      <c r="HG58" s="326"/>
      <c r="HH58" s="326"/>
      <c r="HI58" s="326"/>
      <c r="HJ58" s="326"/>
      <c r="HK58" s="326"/>
      <c r="HL58" s="326"/>
      <c r="HM58" s="326"/>
      <c r="HN58" s="326"/>
      <c r="HO58" s="326"/>
      <c r="HP58" s="326"/>
      <c r="HQ58" s="326"/>
      <c r="HR58" s="326"/>
      <c r="HS58" s="326"/>
      <c r="HT58" s="326"/>
      <c r="HU58" s="326"/>
      <c r="HV58" s="326"/>
      <c r="HW58" s="326"/>
      <c r="HX58" s="326"/>
      <c r="HY58" s="326"/>
      <c r="HZ58" s="326"/>
      <c r="IA58" s="326"/>
      <c r="IB58" s="326"/>
      <c r="IC58" s="326"/>
      <c r="ID58" s="326"/>
      <c r="IE58" s="326"/>
      <c r="IF58" s="326"/>
      <c r="IG58" s="326"/>
      <c r="IH58" s="326"/>
      <c r="II58" s="326"/>
      <c r="IJ58" s="326"/>
      <c r="IK58" s="326"/>
      <c r="IL58" s="326"/>
      <c r="IM58" s="326"/>
      <c r="IN58" s="326"/>
      <c r="IO58" s="326"/>
      <c r="IP58" s="326"/>
      <c r="IQ58" s="326"/>
      <c r="IR58" s="326"/>
      <c r="IS58" s="326"/>
      <c r="IT58" s="326"/>
      <c r="IU58" s="326"/>
      <c r="IV58" s="326"/>
    </row>
    <row r="59" spans="1:16" ht="33">
      <c r="A59" s="569">
        <v>50</v>
      </c>
      <c r="B59" s="462"/>
      <c r="C59" s="327">
        <v>13</v>
      </c>
      <c r="D59" s="329" t="s">
        <v>360</v>
      </c>
      <c r="E59" s="335"/>
      <c r="F59" s="559"/>
      <c r="G59" s="336"/>
      <c r="H59" s="766" t="s">
        <v>23</v>
      </c>
      <c r="I59" s="764"/>
      <c r="J59" s="757"/>
      <c r="K59" s="757"/>
      <c r="L59" s="757"/>
      <c r="M59" s="757"/>
      <c r="N59" s="777"/>
      <c r="O59" s="751"/>
      <c r="P59" s="560"/>
    </row>
    <row r="60" spans="1:256" s="555" customFormat="1" ht="18" customHeight="1">
      <c r="A60" s="569">
        <v>51</v>
      </c>
      <c r="B60" s="563"/>
      <c r="C60" s="327"/>
      <c r="D60" s="1194" t="s">
        <v>283</v>
      </c>
      <c r="E60" s="335">
        <f>F60+G60+O61+P60+5962</f>
        <v>300876</v>
      </c>
      <c r="F60" s="559">
        <f>4460+267453</f>
        <v>271913</v>
      </c>
      <c r="G60" s="336">
        <v>0</v>
      </c>
      <c r="H60" s="766"/>
      <c r="I60" s="764"/>
      <c r="J60" s="757"/>
      <c r="K60" s="757">
        <v>1087</v>
      </c>
      <c r="L60" s="757"/>
      <c r="M60" s="757">
        <v>21914</v>
      </c>
      <c r="N60" s="777"/>
      <c r="O60" s="751">
        <f>SUM(I60:N60)</f>
        <v>23001</v>
      </c>
      <c r="P60" s="560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6"/>
      <c r="DG60" s="326"/>
      <c r="DH60" s="326"/>
      <c r="DI60" s="326"/>
      <c r="DJ60" s="326"/>
      <c r="DK60" s="326"/>
      <c r="DL60" s="326"/>
      <c r="DM60" s="326"/>
      <c r="DN60" s="326"/>
      <c r="DO60" s="326"/>
      <c r="DP60" s="326"/>
      <c r="DQ60" s="326"/>
      <c r="DR60" s="326"/>
      <c r="DS60" s="326"/>
      <c r="DT60" s="326"/>
      <c r="DU60" s="326"/>
      <c r="DV60" s="326"/>
      <c r="DW60" s="326"/>
      <c r="DX60" s="326"/>
      <c r="DY60" s="326"/>
      <c r="DZ60" s="326"/>
      <c r="EA60" s="326"/>
      <c r="EB60" s="326"/>
      <c r="EC60" s="326"/>
      <c r="ED60" s="326"/>
      <c r="EE60" s="326"/>
      <c r="EF60" s="326"/>
      <c r="EG60" s="326"/>
      <c r="EH60" s="326"/>
      <c r="EI60" s="326"/>
      <c r="EJ60" s="326"/>
      <c r="EK60" s="326"/>
      <c r="EL60" s="326"/>
      <c r="EM60" s="326"/>
      <c r="EN60" s="326"/>
      <c r="EO60" s="326"/>
      <c r="EP60" s="326"/>
      <c r="EQ60" s="326"/>
      <c r="ER60" s="326"/>
      <c r="ES60" s="326"/>
      <c r="ET60" s="326"/>
      <c r="EU60" s="326"/>
      <c r="EV60" s="326"/>
      <c r="EW60" s="326"/>
      <c r="EX60" s="326"/>
      <c r="EY60" s="326"/>
      <c r="EZ60" s="326"/>
      <c r="FA60" s="326"/>
      <c r="FB60" s="326"/>
      <c r="FC60" s="326"/>
      <c r="FD60" s="326"/>
      <c r="FE60" s="326"/>
      <c r="FF60" s="326"/>
      <c r="FG60" s="326"/>
      <c r="FH60" s="326"/>
      <c r="FI60" s="326"/>
      <c r="FJ60" s="326"/>
      <c r="FK60" s="326"/>
      <c r="FL60" s="326"/>
      <c r="FM60" s="326"/>
      <c r="FN60" s="326"/>
      <c r="FO60" s="326"/>
      <c r="FP60" s="326"/>
      <c r="FQ60" s="326"/>
      <c r="FR60" s="326"/>
      <c r="FS60" s="326"/>
      <c r="FT60" s="326"/>
      <c r="FU60" s="326"/>
      <c r="FV60" s="326"/>
      <c r="FW60" s="326"/>
      <c r="FX60" s="326"/>
      <c r="FY60" s="326"/>
      <c r="FZ60" s="326"/>
      <c r="GA60" s="326"/>
      <c r="GB60" s="326"/>
      <c r="GC60" s="326"/>
      <c r="GD60" s="326"/>
      <c r="GE60" s="326"/>
      <c r="GF60" s="326"/>
      <c r="GG60" s="326"/>
      <c r="GH60" s="326"/>
      <c r="GI60" s="326"/>
      <c r="GJ60" s="326"/>
      <c r="GK60" s="326"/>
      <c r="GL60" s="326"/>
      <c r="GM60" s="326"/>
      <c r="GN60" s="326"/>
      <c r="GO60" s="326"/>
      <c r="GP60" s="326"/>
      <c r="GQ60" s="326"/>
      <c r="GR60" s="326"/>
      <c r="GS60" s="326"/>
      <c r="GT60" s="326"/>
      <c r="GU60" s="326"/>
      <c r="GV60" s="326"/>
      <c r="GW60" s="326"/>
      <c r="GX60" s="326"/>
      <c r="GY60" s="326"/>
      <c r="GZ60" s="326"/>
      <c r="HA60" s="326"/>
      <c r="HB60" s="326"/>
      <c r="HC60" s="326"/>
      <c r="HD60" s="326"/>
      <c r="HE60" s="326"/>
      <c r="HF60" s="326"/>
      <c r="HG60" s="326"/>
      <c r="HH60" s="326"/>
      <c r="HI60" s="326"/>
      <c r="HJ60" s="326"/>
      <c r="HK60" s="326"/>
      <c r="HL60" s="326"/>
      <c r="HM60" s="326"/>
      <c r="HN60" s="326"/>
      <c r="HO60" s="326"/>
      <c r="HP60" s="326"/>
      <c r="HQ60" s="326"/>
      <c r="HR60" s="326"/>
      <c r="HS60" s="326"/>
      <c r="HT60" s="326"/>
      <c r="HU60" s="326"/>
      <c r="HV60" s="326"/>
      <c r="HW60" s="326"/>
      <c r="HX60" s="326"/>
      <c r="HY60" s="326"/>
      <c r="HZ60" s="326"/>
      <c r="IA60" s="326"/>
      <c r="IB60" s="326"/>
      <c r="IC60" s="326"/>
      <c r="ID60" s="326"/>
      <c r="IE60" s="326"/>
      <c r="IF60" s="326"/>
      <c r="IG60" s="326"/>
      <c r="IH60" s="326"/>
      <c r="II60" s="326"/>
      <c r="IJ60" s="326"/>
      <c r="IK60" s="326"/>
      <c r="IL60" s="326"/>
      <c r="IM60" s="326"/>
      <c r="IN60" s="326"/>
      <c r="IO60" s="326"/>
      <c r="IP60" s="326"/>
      <c r="IQ60" s="326"/>
      <c r="IR60" s="326"/>
      <c r="IS60" s="326"/>
      <c r="IT60" s="326"/>
      <c r="IU60" s="326"/>
      <c r="IV60" s="326"/>
    </row>
    <row r="61" spans="1:256" s="555" customFormat="1" ht="18" customHeight="1">
      <c r="A61" s="569">
        <v>52</v>
      </c>
      <c r="B61" s="563"/>
      <c r="C61" s="327"/>
      <c r="D61" s="478" t="s">
        <v>757</v>
      </c>
      <c r="E61" s="335"/>
      <c r="F61" s="559"/>
      <c r="G61" s="336"/>
      <c r="H61" s="766"/>
      <c r="I61" s="764"/>
      <c r="J61" s="757"/>
      <c r="K61" s="1188">
        <v>1087</v>
      </c>
      <c r="L61" s="1188"/>
      <c r="M61" s="1188">
        <v>21914</v>
      </c>
      <c r="N61" s="556"/>
      <c r="O61" s="564">
        <f>SUM(I61:N61)</f>
        <v>23001</v>
      </c>
      <c r="P61" s="560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6"/>
      <c r="BW61" s="326"/>
      <c r="BX61" s="326"/>
      <c r="BY61" s="326"/>
      <c r="BZ61" s="326"/>
      <c r="CA61" s="326"/>
      <c r="CB61" s="326"/>
      <c r="CC61" s="326"/>
      <c r="CD61" s="326"/>
      <c r="CE61" s="326"/>
      <c r="CF61" s="326"/>
      <c r="CG61" s="326"/>
      <c r="CH61" s="326"/>
      <c r="CI61" s="326"/>
      <c r="CJ61" s="326"/>
      <c r="CK61" s="326"/>
      <c r="CL61" s="326"/>
      <c r="CM61" s="326"/>
      <c r="CN61" s="326"/>
      <c r="CO61" s="326"/>
      <c r="CP61" s="326"/>
      <c r="CQ61" s="326"/>
      <c r="CR61" s="326"/>
      <c r="CS61" s="326"/>
      <c r="CT61" s="326"/>
      <c r="CU61" s="326"/>
      <c r="CV61" s="326"/>
      <c r="CW61" s="326"/>
      <c r="CX61" s="326"/>
      <c r="CY61" s="326"/>
      <c r="CZ61" s="326"/>
      <c r="DA61" s="326"/>
      <c r="DB61" s="326"/>
      <c r="DC61" s="326"/>
      <c r="DD61" s="326"/>
      <c r="DE61" s="326"/>
      <c r="DF61" s="326"/>
      <c r="DG61" s="326"/>
      <c r="DH61" s="326"/>
      <c r="DI61" s="326"/>
      <c r="DJ61" s="326"/>
      <c r="DK61" s="326"/>
      <c r="DL61" s="326"/>
      <c r="DM61" s="326"/>
      <c r="DN61" s="326"/>
      <c r="DO61" s="326"/>
      <c r="DP61" s="326"/>
      <c r="DQ61" s="326"/>
      <c r="DR61" s="326"/>
      <c r="DS61" s="326"/>
      <c r="DT61" s="326"/>
      <c r="DU61" s="326"/>
      <c r="DV61" s="326"/>
      <c r="DW61" s="326"/>
      <c r="DX61" s="326"/>
      <c r="DY61" s="326"/>
      <c r="DZ61" s="326"/>
      <c r="EA61" s="326"/>
      <c r="EB61" s="326"/>
      <c r="EC61" s="326"/>
      <c r="ED61" s="326"/>
      <c r="EE61" s="326"/>
      <c r="EF61" s="326"/>
      <c r="EG61" s="326"/>
      <c r="EH61" s="326"/>
      <c r="EI61" s="326"/>
      <c r="EJ61" s="326"/>
      <c r="EK61" s="326"/>
      <c r="EL61" s="326"/>
      <c r="EM61" s="326"/>
      <c r="EN61" s="326"/>
      <c r="EO61" s="326"/>
      <c r="EP61" s="326"/>
      <c r="EQ61" s="326"/>
      <c r="ER61" s="326"/>
      <c r="ES61" s="326"/>
      <c r="ET61" s="326"/>
      <c r="EU61" s="326"/>
      <c r="EV61" s="326"/>
      <c r="EW61" s="326"/>
      <c r="EX61" s="326"/>
      <c r="EY61" s="326"/>
      <c r="EZ61" s="326"/>
      <c r="FA61" s="326"/>
      <c r="FB61" s="326"/>
      <c r="FC61" s="326"/>
      <c r="FD61" s="326"/>
      <c r="FE61" s="326"/>
      <c r="FF61" s="326"/>
      <c r="FG61" s="326"/>
      <c r="FH61" s="326"/>
      <c r="FI61" s="326"/>
      <c r="FJ61" s="326"/>
      <c r="FK61" s="326"/>
      <c r="FL61" s="326"/>
      <c r="FM61" s="326"/>
      <c r="FN61" s="326"/>
      <c r="FO61" s="326"/>
      <c r="FP61" s="326"/>
      <c r="FQ61" s="326"/>
      <c r="FR61" s="326"/>
      <c r="FS61" s="326"/>
      <c r="FT61" s="326"/>
      <c r="FU61" s="326"/>
      <c r="FV61" s="326"/>
      <c r="FW61" s="326"/>
      <c r="FX61" s="326"/>
      <c r="FY61" s="326"/>
      <c r="FZ61" s="326"/>
      <c r="GA61" s="326"/>
      <c r="GB61" s="326"/>
      <c r="GC61" s="326"/>
      <c r="GD61" s="326"/>
      <c r="GE61" s="326"/>
      <c r="GF61" s="326"/>
      <c r="GG61" s="326"/>
      <c r="GH61" s="326"/>
      <c r="GI61" s="326"/>
      <c r="GJ61" s="326"/>
      <c r="GK61" s="326"/>
      <c r="GL61" s="326"/>
      <c r="GM61" s="326"/>
      <c r="GN61" s="326"/>
      <c r="GO61" s="326"/>
      <c r="GP61" s="326"/>
      <c r="GQ61" s="326"/>
      <c r="GR61" s="326"/>
      <c r="GS61" s="326"/>
      <c r="GT61" s="326"/>
      <c r="GU61" s="326"/>
      <c r="GV61" s="326"/>
      <c r="GW61" s="326"/>
      <c r="GX61" s="326"/>
      <c r="GY61" s="326"/>
      <c r="GZ61" s="326"/>
      <c r="HA61" s="326"/>
      <c r="HB61" s="326"/>
      <c r="HC61" s="326"/>
      <c r="HD61" s="326"/>
      <c r="HE61" s="326"/>
      <c r="HF61" s="326"/>
      <c r="HG61" s="326"/>
      <c r="HH61" s="326"/>
      <c r="HI61" s="326"/>
      <c r="HJ61" s="326"/>
      <c r="HK61" s="326"/>
      <c r="HL61" s="326"/>
      <c r="HM61" s="326"/>
      <c r="HN61" s="326"/>
      <c r="HO61" s="326"/>
      <c r="HP61" s="326"/>
      <c r="HQ61" s="326"/>
      <c r="HR61" s="326"/>
      <c r="HS61" s="326"/>
      <c r="HT61" s="326"/>
      <c r="HU61" s="326"/>
      <c r="HV61" s="326"/>
      <c r="HW61" s="326"/>
      <c r="HX61" s="326"/>
      <c r="HY61" s="326"/>
      <c r="HZ61" s="326"/>
      <c r="IA61" s="326"/>
      <c r="IB61" s="326"/>
      <c r="IC61" s="326"/>
      <c r="ID61" s="326"/>
      <c r="IE61" s="326"/>
      <c r="IF61" s="326"/>
      <c r="IG61" s="326"/>
      <c r="IH61" s="326"/>
      <c r="II61" s="326"/>
      <c r="IJ61" s="326"/>
      <c r="IK61" s="326"/>
      <c r="IL61" s="326"/>
      <c r="IM61" s="326"/>
      <c r="IN61" s="326"/>
      <c r="IO61" s="326"/>
      <c r="IP61" s="326"/>
      <c r="IQ61" s="326"/>
      <c r="IR61" s="326"/>
      <c r="IS61" s="326"/>
      <c r="IT61" s="326"/>
      <c r="IU61" s="326"/>
      <c r="IV61" s="326"/>
    </row>
    <row r="62" spans="1:256" s="555" customFormat="1" ht="18" customHeight="1">
      <c r="A62" s="569">
        <v>53</v>
      </c>
      <c r="B62" s="563"/>
      <c r="C62" s="327"/>
      <c r="D62" s="1090" t="s">
        <v>893</v>
      </c>
      <c r="E62" s="335"/>
      <c r="F62" s="559"/>
      <c r="G62" s="336"/>
      <c r="H62" s="766"/>
      <c r="I62" s="764"/>
      <c r="J62" s="757"/>
      <c r="K62" s="1186">
        <v>0</v>
      </c>
      <c r="L62" s="1186"/>
      <c r="M62" s="1186">
        <v>0</v>
      </c>
      <c r="N62" s="1186"/>
      <c r="O62" s="1723">
        <f>SUM(I62:N62)</f>
        <v>0</v>
      </c>
      <c r="P62" s="560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  <c r="CY62" s="326"/>
      <c r="CZ62" s="326"/>
      <c r="DA62" s="326"/>
      <c r="DB62" s="326"/>
      <c r="DC62" s="326"/>
      <c r="DD62" s="326"/>
      <c r="DE62" s="326"/>
      <c r="DF62" s="326"/>
      <c r="DG62" s="326"/>
      <c r="DH62" s="326"/>
      <c r="DI62" s="326"/>
      <c r="DJ62" s="326"/>
      <c r="DK62" s="326"/>
      <c r="DL62" s="326"/>
      <c r="DM62" s="326"/>
      <c r="DN62" s="326"/>
      <c r="DO62" s="326"/>
      <c r="DP62" s="326"/>
      <c r="DQ62" s="326"/>
      <c r="DR62" s="326"/>
      <c r="DS62" s="326"/>
      <c r="DT62" s="326"/>
      <c r="DU62" s="326"/>
      <c r="DV62" s="326"/>
      <c r="DW62" s="326"/>
      <c r="DX62" s="326"/>
      <c r="DY62" s="326"/>
      <c r="DZ62" s="326"/>
      <c r="EA62" s="326"/>
      <c r="EB62" s="326"/>
      <c r="EC62" s="326"/>
      <c r="ED62" s="326"/>
      <c r="EE62" s="326"/>
      <c r="EF62" s="326"/>
      <c r="EG62" s="326"/>
      <c r="EH62" s="326"/>
      <c r="EI62" s="326"/>
      <c r="EJ62" s="326"/>
      <c r="EK62" s="326"/>
      <c r="EL62" s="326"/>
      <c r="EM62" s="326"/>
      <c r="EN62" s="326"/>
      <c r="EO62" s="326"/>
      <c r="EP62" s="326"/>
      <c r="EQ62" s="326"/>
      <c r="ER62" s="326"/>
      <c r="ES62" s="326"/>
      <c r="ET62" s="326"/>
      <c r="EU62" s="326"/>
      <c r="EV62" s="326"/>
      <c r="EW62" s="326"/>
      <c r="EX62" s="326"/>
      <c r="EY62" s="326"/>
      <c r="EZ62" s="326"/>
      <c r="FA62" s="326"/>
      <c r="FB62" s="326"/>
      <c r="FC62" s="326"/>
      <c r="FD62" s="326"/>
      <c r="FE62" s="326"/>
      <c r="FF62" s="326"/>
      <c r="FG62" s="326"/>
      <c r="FH62" s="326"/>
      <c r="FI62" s="326"/>
      <c r="FJ62" s="326"/>
      <c r="FK62" s="326"/>
      <c r="FL62" s="326"/>
      <c r="FM62" s="326"/>
      <c r="FN62" s="326"/>
      <c r="FO62" s="326"/>
      <c r="FP62" s="326"/>
      <c r="FQ62" s="326"/>
      <c r="FR62" s="326"/>
      <c r="FS62" s="326"/>
      <c r="FT62" s="326"/>
      <c r="FU62" s="326"/>
      <c r="FV62" s="326"/>
      <c r="FW62" s="326"/>
      <c r="FX62" s="326"/>
      <c r="FY62" s="326"/>
      <c r="FZ62" s="326"/>
      <c r="GA62" s="326"/>
      <c r="GB62" s="326"/>
      <c r="GC62" s="326"/>
      <c r="GD62" s="326"/>
      <c r="GE62" s="326"/>
      <c r="GF62" s="326"/>
      <c r="GG62" s="326"/>
      <c r="GH62" s="326"/>
      <c r="GI62" s="326"/>
      <c r="GJ62" s="326"/>
      <c r="GK62" s="326"/>
      <c r="GL62" s="326"/>
      <c r="GM62" s="326"/>
      <c r="GN62" s="326"/>
      <c r="GO62" s="326"/>
      <c r="GP62" s="326"/>
      <c r="GQ62" s="326"/>
      <c r="GR62" s="326"/>
      <c r="GS62" s="326"/>
      <c r="GT62" s="326"/>
      <c r="GU62" s="326"/>
      <c r="GV62" s="326"/>
      <c r="GW62" s="326"/>
      <c r="GX62" s="326"/>
      <c r="GY62" s="326"/>
      <c r="GZ62" s="326"/>
      <c r="HA62" s="326"/>
      <c r="HB62" s="326"/>
      <c r="HC62" s="326"/>
      <c r="HD62" s="326"/>
      <c r="HE62" s="326"/>
      <c r="HF62" s="326"/>
      <c r="HG62" s="326"/>
      <c r="HH62" s="326"/>
      <c r="HI62" s="326"/>
      <c r="HJ62" s="326"/>
      <c r="HK62" s="326"/>
      <c r="HL62" s="326"/>
      <c r="HM62" s="326"/>
      <c r="HN62" s="326"/>
      <c r="HO62" s="326"/>
      <c r="HP62" s="326"/>
      <c r="HQ62" s="326"/>
      <c r="HR62" s="326"/>
      <c r="HS62" s="326"/>
      <c r="HT62" s="326"/>
      <c r="HU62" s="326"/>
      <c r="HV62" s="326"/>
      <c r="HW62" s="326"/>
      <c r="HX62" s="326"/>
      <c r="HY62" s="326"/>
      <c r="HZ62" s="326"/>
      <c r="IA62" s="326"/>
      <c r="IB62" s="326"/>
      <c r="IC62" s="326"/>
      <c r="ID62" s="326"/>
      <c r="IE62" s="326"/>
      <c r="IF62" s="326"/>
      <c r="IG62" s="326"/>
      <c r="IH62" s="326"/>
      <c r="II62" s="326"/>
      <c r="IJ62" s="326"/>
      <c r="IK62" s="326"/>
      <c r="IL62" s="326"/>
      <c r="IM62" s="326"/>
      <c r="IN62" s="326"/>
      <c r="IO62" s="326"/>
      <c r="IP62" s="326"/>
      <c r="IQ62" s="326"/>
      <c r="IR62" s="326"/>
      <c r="IS62" s="326"/>
      <c r="IT62" s="326"/>
      <c r="IU62" s="326"/>
      <c r="IV62" s="326"/>
    </row>
    <row r="63" spans="1:16" ht="22.5" customHeight="1">
      <c r="A63" s="569">
        <v>54</v>
      </c>
      <c r="B63" s="462"/>
      <c r="C63" s="366">
        <v>14</v>
      </c>
      <c r="D63" s="566" t="s">
        <v>593</v>
      </c>
      <c r="E63" s="335"/>
      <c r="F63" s="559"/>
      <c r="G63" s="336"/>
      <c r="H63" s="766" t="s">
        <v>23</v>
      </c>
      <c r="I63" s="764"/>
      <c r="J63" s="757"/>
      <c r="K63" s="757"/>
      <c r="L63" s="757"/>
      <c r="M63" s="757"/>
      <c r="N63" s="777"/>
      <c r="O63" s="751"/>
      <c r="P63" s="560"/>
    </row>
    <row r="64" spans="1:256" s="555" customFormat="1" ht="18" customHeight="1">
      <c r="A64" s="569">
        <v>55</v>
      </c>
      <c r="B64" s="563"/>
      <c r="C64" s="366"/>
      <c r="D64" s="1194" t="s">
        <v>283</v>
      </c>
      <c r="E64" s="335">
        <f>F64+G64+O65+P64+39749</f>
        <v>2906300</v>
      </c>
      <c r="F64" s="559"/>
      <c r="G64" s="336">
        <f>75-75</f>
        <v>0</v>
      </c>
      <c r="H64" s="766"/>
      <c r="I64" s="764"/>
      <c r="J64" s="757"/>
      <c r="K64" s="757">
        <v>57535</v>
      </c>
      <c r="L64" s="757"/>
      <c r="M64" s="757">
        <v>2690078</v>
      </c>
      <c r="N64" s="777"/>
      <c r="O64" s="751">
        <f>SUM(I64:N64)</f>
        <v>2747613</v>
      </c>
      <c r="P64" s="560">
        <v>118938</v>
      </c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6"/>
      <c r="CG64" s="326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6"/>
      <c r="DT64" s="326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6"/>
      <c r="EG64" s="326"/>
      <c r="EH64" s="326"/>
      <c r="EI64" s="326"/>
      <c r="EJ64" s="326"/>
      <c r="EK64" s="326"/>
      <c r="EL64" s="326"/>
      <c r="EM64" s="326"/>
      <c r="EN64" s="326"/>
      <c r="EO64" s="326"/>
      <c r="EP64" s="326"/>
      <c r="EQ64" s="326"/>
      <c r="ER64" s="326"/>
      <c r="ES64" s="326"/>
      <c r="ET64" s="326"/>
      <c r="EU64" s="326"/>
      <c r="EV64" s="326"/>
      <c r="EW64" s="326"/>
      <c r="EX64" s="326"/>
      <c r="EY64" s="326"/>
      <c r="EZ64" s="326"/>
      <c r="FA64" s="326"/>
      <c r="FB64" s="326"/>
      <c r="FC64" s="326"/>
      <c r="FD64" s="326"/>
      <c r="FE64" s="326"/>
      <c r="FF64" s="326"/>
      <c r="FG64" s="326"/>
      <c r="FH64" s="326"/>
      <c r="FI64" s="326"/>
      <c r="FJ64" s="326"/>
      <c r="FK64" s="326"/>
      <c r="FL64" s="326"/>
      <c r="FM64" s="326"/>
      <c r="FN64" s="326"/>
      <c r="FO64" s="326"/>
      <c r="FP64" s="326"/>
      <c r="FQ64" s="326"/>
      <c r="FR64" s="326"/>
      <c r="FS64" s="326"/>
      <c r="FT64" s="326"/>
      <c r="FU64" s="326"/>
      <c r="FV64" s="326"/>
      <c r="FW64" s="326"/>
      <c r="FX64" s="326"/>
      <c r="FY64" s="326"/>
      <c r="FZ64" s="326"/>
      <c r="GA64" s="326"/>
      <c r="GB64" s="326"/>
      <c r="GC64" s="326"/>
      <c r="GD64" s="326"/>
      <c r="GE64" s="326"/>
      <c r="GF64" s="326"/>
      <c r="GG64" s="326"/>
      <c r="GH64" s="326"/>
      <c r="GI64" s="326"/>
      <c r="GJ64" s="326"/>
      <c r="GK64" s="326"/>
      <c r="GL64" s="326"/>
      <c r="GM64" s="326"/>
      <c r="GN64" s="326"/>
      <c r="GO64" s="326"/>
      <c r="GP64" s="326"/>
      <c r="GQ64" s="326"/>
      <c r="GR64" s="326"/>
      <c r="GS64" s="326"/>
      <c r="GT64" s="326"/>
      <c r="GU64" s="326"/>
      <c r="GV64" s="326"/>
      <c r="GW64" s="326"/>
      <c r="GX64" s="326"/>
      <c r="GY64" s="326"/>
      <c r="GZ64" s="326"/>
      <c r="HA64" s="326"/>
      <c r="HB64" s="326"/>
      <c r="HC64" s="326"/>
      <c r="HD64" s="326"/>
      <c r="HE64" s="326"/>
      <c r="HF64" s="326"/>
      <c r="HG64" s="326"/>
      <c r="HH64" s="326"/>
      <c r="HI64" s="326"/>
      <c r="HJ64" s="326"/>
      <c r="HK64" s="326"/>
      <c r="HL64" s="326"/>
      <c r="HM64" s="326"/>
      <c r="HN64" s="326"/>
      <c r="HO64" s="326"/>
      <c r="HP64" s="326"/>
      <c r="HQ64" s="326"/>
      <c r="HR64" s="326"/>
      <c r="HS64" s="326"/>
      <c r="HT64" s="326"/>
      <c r="HU64" s="326"/>
      <c r="HV64" s="326"/>
      <c r="HW64" s="326"/>
      <c r="HX64" s="326"/>
      <c r="HY64" s="326"/>
      <c r="HZ64" s="326"/>
      <c r="IA64" s="326"/>
      <c r="IB64" s="326"/>
      <c r="IC64" s="326"/>
      <c r="ID64" s="326"/>
      <c r="IE64" s="326"/>
      <c r="IF64" s="326"/>
      <c r="IG64" s="326"/>
      <c r="IH64" s="326"/>
      <c r="II64" s="326"/>
      <c r="IJ64" s="326"/>
      <c r="IK64" s="326"/>
      <c r="IL64" s="326"/>
      <c r="IM64" s="326"/>
      <c r="IN64" s="326"/>
      <c r="IO64" s="326"/>
      <c r="IP64" s="326"/>
      <c r="IQ64" s="326"/>
      <c r="IR64" s="326"/>
      <c r="IS64" s="326"/>
      <c r="IT64" s="326"/>
      <c r="IU64" s="326"/>
      <c r="IV64" s="326"/>
    </row>
    <row r="65" spans="1:256" s="555" customFormat="1" ht="18" customHeight="1">
      <c r="A65" s="569">
        <v>56</v>
      </c>
      <c r="B65" s="563"/>
      <c r="C65" s="366"/>
      <c r="D65" s="478" t="s">
        <v>757</v>
      </c>
      <c r="E65" s="335"/>
      <c r="F65" s="559"/>
      <c r="G65" s="336"/>
      <c r="H65" s="766"/>
      <c r="I65" s="764"/>
      <c r="J65" s="757"/>
      <c r="K65" s="1188">
        <v>57535</v>
      </c>
      <c r="L65" s="1188"/>
      <c r="M65" s="1188">
        <v>2690078</v>
      </c>
      <c r="N65" s="556"/>
      <c r="O65" s="564">
        <f>SUM(I65:N65)</f>
        <v>2747613</v>
      </c>
      <c r="P65" s="560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  <c r="DA65" s="326"/>
      <c r="DB65" s="326"/>
      <c r="DC65" s="326"/>
      <c r="DD65" s="326"/>
      <c r="DE65" s="326"/>
      <c r="DF65" s="326"/>
      <c r="DG65" s="326"/>
      <c r="DH65" s="326"/>
      <c r="DI65" s="326"/>
      <c r="DJ65" s="326"/>
      <c r="DK65" s="326"/>
      <c r="DL65" s="326"/>
      <c r="DM65" s="326"/>
      <c r="DN65" s="326"/>
      <c r="DO65" s="326"/>
      <c r="DP65" s="326"/>
      <c r="DQ65" s="326"/>
      <c r="DR65" s="326"/>
      <c r="DS65" s="326"/>
      <c r="DT65" s="326"/>
      <c r="DU65" s="326"/>
      <c r="DV65" s="326"/>
      <c r="DW65" s="326"/>
      <c r="DX65" s="326"/>
      <c r="DY65" s="326"/>
      <c r="DZ65" s="326"/>
      <c r="EA65" s="326"/>
      <c r="EB65" s="326"/>
      <c r="EC65" s="326"/>
      <c r="ED65" s="326"/>
      <c r="EE65" s="326"/>
      <c r="EF65" s="326"/>
      <c r="EG65" s="326"/>
      <c r="EH65" s="326"/>
      <c r="EI65" s="326"/>
      <c r="EJ65" s="326"/>
      <c r="EK65" s="326"/>
      <c r="EL65" s="326"/>
      <c r="EM65" s="326"/>
      <c r="EN65" s="326"/>
      <c r="EO65" s="326"/>
      <c r="EP65" s="326"/>
      <c r="EQ65" s="326"/>
      <c r="ER65" s="326"/>
      <c r="ES65" s="326"/>
      <c r="ET65" s="326"/>
      <c r="EU65" s="326"/>
      <c r="EV65" s="326"/>
      <c r="EW65" s="326"/>
      <c r="EX65" s="326"/>
      <c r="EY65" s="326"/>
      <c r="EZ65" s="326"/>
      <c r="FA65" s="326"/>
      <c r="FB65" s="326"/>
      <c r="FC65" s="326"/>
      <c r="FD65" s="326"/>
      <c r="FE65" s="326"/>
      <c r="FF65" s="326"/>
      <c r="FG65" s="326"/>
      <c r="FH65" s="326"/>
      <c r="FI65" s="326"/>
      <c r="FJ65" s="326"/>
      <c r="FK65" s="326"/>
      <c r="FL65" s="326"/>
      <c r="FM65" s="326"/>
      <c r="FN65" s="326"/>
      <c r="FO65" s="326"/>
      <c r="FP65" s="326"/>
      <c r="FQ65" s="326"/>
      <c r="FR65" s="326"/>
      <c r="FS65" s="326"/>
      <c r="FT65" s="326"/>
      <c r="FU65" s="326"/>
      <c r="FV65" s="326"/>
      <c r="FW65" s="326"/>
      <c r="FX65" s="326"/>
      <c r="FY65" s="326"/>
      <c r="FZ65" s="326"/>
      <c r="GA65" s="326"/>
      <c r="GB65" s="326"/>
      <c r="GC65" s="326"/>
      <c r="GD65" s="326"/>
      <c r="GE65" s="326"/>
      <c r="GF65" s="326"/>
      <c r="GG65" s="326"/>
      <c r="GH65" s="326"/>
      <c r="GI65" s="326"/>
      <c r="GJ65" s="326"/>
      <c r="GK65" s="326"/>
      <c r="GL65" s="326"/>
      <c r="GM65" s="326"/>
      <c r="GN65" s="326"/>
      <c r="GO65" s="326"/>
      <c r="GP65" s="326"/>
      <c r="GQ65" s="326"/>
      <c r="GR65" s="326"/>
      <c r="GS65" s="326"/>
      <c r="GT65" s="326"/>
      <c r="GU65" s="326"/>
      <c r="GV65" s="326"/>
      <c r="GW65" s="326"/>
      <c r="GX65" s="326"/>
      <c r="GY65" s="326"/>
      <c r="GZ65" s="326"/>
      <c r="HA65" s="326"/>
      <c r="HB65" s="326"/>
      <c r="HC65" s="326"/>
      <c r="HD65" s="326"/>
      <c r="HE65" s="326"/>
      <c r="HF65" s="326"/>
      <c r="HG65" s="326"/>
      <c r="HH65" s="326"/>
      <c r="HI65" s="326"/>
      <c r="HJ65" s="326"/>
      <c r="HK65" s="326"/>
      <c r="HL65" s="326"/>
      <c r="HM65" s="326"/>
      <c r="HN65" s="326"/>
      <c r="HO65" s="326"/>
      <c r="HP65" s="326"/>
      <c r="HQ65" s="326"/>
      <c r="HR65" s="326"/>
      <c r="HS65" s="326"/>
      <c r="HT65" s="326"/>
      <c r="HU65" s="326"/>
      <c r="HV65" s="326"/>
      <c r="HW65" s="326"/>
      <c r="HX65" s="326"/>
      <c r="HY65" s="326"/>
      <c r="HZ65" s="326"/>
      <c r="IA65" s="326"/>
      <c r="IB65" s="326"/>
      <c r="IC65" s="326"/>
      <c r="ID65" s="326"/>
      <c r="IE65" s="326"/>
      <c r="IF65" s="326"/>
      <c r="IG65" s="326"/>
      <c r="IH65" s="326"/>
      <c r="II65" s="326"/>
      <c r="IJ65" s="326"/>
      <c r="IK65" s="326"/>
      <c r="IL65" s="326"/>
      <c r="IM65" s="326"/>
      <c r="IN65" s="326"/>
      <c r="IO65" s="326"/>
      <c r="IP65" s="326"/>
      <c r="IQ65" s="326"/>
      <c r="IR65" s="326"/>
      <c r="IS65" s="326"/>
      <c r="IT65" s="326"/>
      <c r="IU65" s="326"/>
      <c r="IV65" s="326"/>
    </row>
    <row r="66" spans="1:256" s="555" customFormat="1" ht="18" customHeight="1">
      <c r="A66" s="569">
        <v>57</v>
      </c>
      <c r="B66" s="563"/>
      <c r="C66" s="366"/>
      <c r="D66" s="1090" t="s">
        <v>893</v>
      </c>
      <c r="E66" s="335"/>
      <c r="F66" s="559"/>
      <c r="G66" s="336"/>
      <c r="H66" s="766"/>
      <c r="I66" s="764"/>
      <c r="J66" s="757"/>
      <c r="K66" s="1186">
        <v>143</v>
      </c>
      <c r="L66" s="1186"/>
      <c r="M66" s="1186">
        <v>19645</v>
      </c>
      <c r="N66" s="1186"/>
      <c r="O66" s="1723">
        <f>SUM(I66:N66)</f>
        <v>19788</v>
      </c>
      <c r="P66" s="560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6"/>
      <c r="CF66" s="326"/>
      <c r="CG66" s="326"/>
      <c r="CH66" s="326"/>
      <c r="CI66" s="326"/>
      <c r="CJ66" s="326"/>
      <c r="CK66" s="326"/>
      <c r="CL66" s="326"/>
      <c r="CM66" s="326"/>
      <c r="CN66" s="326"/>
      <c r="CO66" s="326"/>
      <c r="CP66" s="326"/>
      <c r="CQ66" s="326"/>
      <c r="CR66" s="326"/>
      <c r="CS66" s="326"/>
      <c r="CT66" s="326"/>
      <c r="CU66" s="326"/>
      <c r="CV66" s="326"/>
      <c r="CW66" s="326"/>
      <c r="CX66" s="326"/>
      <c r="CY66" s="326"/>
      <c r="CZ66" s="326"/>
      <c r="DA66" s="326"/>
      <c r="DB66" s="326"/>
      <c r="DC66" s="326"/>
      <c r="DD66" s="326"/>
      <c r="DE66" s="326"/>
      <c r="DF66" s="326"/>
      <c r="DG66" s="326"/>
      <c r="DH66" s="326"/>
      <c r="DI66" s="326"/>
      <c r="DJ66" s="326"/>
      <c r="DK66" s="326"/>
      <c r="DL66" s="326"/>
      <c r="DM66" s="326"/>
      <c r="DN66" s="326"/>
      <c r="DO66" s="326"/>
      <c r="DP66" s="326"/>
      <c r="DQ66" s="326"/>
      <c r="DR66" s="326"/>
      <c r="DS66" s="326"/>
      <c r="DT66" s="326"/>
      <c r="DU66" s="326"/>
      <c r="DV66" s="326"/>
      <c r="DW66" s="326"/>
      <c r="DX66" s="326"/>
      <c r="DY66" s="326"/>
      <c r="DZ66" s="326"/>
      <c r="EA66" s="326"/>
      <c r="EB66" s="326"/>
      <c r="EC66" s="326"/>
      <c r="ED66" s="326"/>
      <c r="EE66" s="326"/>
      <c r="EF66" s="326"/>
      <c r="EG66" s="326"/>
      <c r="EH66" s="326"/>
      <c r="EI66" s="326"/>
      <c r="EJ66" s="326"/>
      <c r="EK66" s="326"/>
      <c r="EL66" s="326"/>
      <c r="EM66" s="326"/>
      <c r="EN66" s="326"/>
      <c r="EO66" s="326"/>
      <c r="EP66" s="326"/>
      <c r="EQ66" s="326"/>
      <c r="ER66" s="326"/>
      <c r="ES66" s="326"/>
      <c r="ET66" s="326"/>
      <c r="EU66" s="326"/>
      <c r="EV66" s="326"/>
      <c r="EW66" s="326"/>
      <c r="EX66" s="326"/>
      <c r="EY66" s="326"/>
      <c r="EZ66" s="326"/>
      <c r="FA66" s="326"/>
      <c r="FB66" s="326"/>
      <c r="FC66" s="326"/>
      <c r="FD66" s="326"/>
      <c r="FE66" s="326"/>
      <c r="FF66" s="326"/>
      <c r="FG66" s="326"/>
      <c r="FH66" s="326"/>
      <c r="FI66" s="326"/>
      <c r="FJ66" s="326"/>
      <c r="FK66" s="326"/>
      <c r="FL66" s="326"/>
      <c r="FM66" s="326"/>
      <c r="FN66" s="326"/>
      <c r="FO66" s="326"/>
      <c r="FP66" s="326"/>
      <c r="FQ66" s="326"/>
      <c r="FR66" s="326"/>
      <c r="FS66" s="326"/>
      <c r="FT66" s="326"/>
      <c r="FU66" s="326"/>
      <c r="FV66" s="326"/>
      <c r="FW66" s="326"/>
      <c r="FX66" s="326"/>
      <c r="FY66" s="326"/>
      <c r="FZ66" s="326"/>
      <c r="GA66" s="326"/>
      <c r="GB66" s="326"/>
      <c r="GC66" s="326"/>
      <c r="GD66" s="326"/>
      <c r="GE66" s="326"/>
      <c r="GF66" s="326"/>
      <c r="GG66" s="326"/>
      <c r="GH66" s="326"/>
      <c r="GI66" s="326"/>
      <c r="GJ66" s="326"/>
      <c r="GK66" s="326"/>
      <c r="GL66" s="326"/>
      <c r="GM66" s="326"/>
      <c r="GN66" s="326"/>
      <c r="GO66" s="326"/>
      <c r="GP66" s="326"/>
      <c r="GQ66" s="326"/>
      <c r="GR66" s="326"/>
      <c r="GS66" s="326"/>
      <c r="GT66" s="326"/>
      <c r="GU66" s="326"/>
      <c r="GV66" s="326"/>
      <c r="GW66" s="326"/>
      <c r="GX66" s="326"/>
      <c r="GY66" s="326"/>
      <c r="GZ66" s="326"/>
      <c r="HA66" s="326"/>
      <c r="HB66" s="326"/>
      <c r="HC66" s="326"/>
      <c r="HD66" s="326"/>
      <c r="HE66" s="326"/>
      <c r="HF66" s="326"/>
      <c r="HG66" s="326"/>
      <c r="HH66" s="326"/>
      <c r="HI66" s="326"/>
      <c r="HJ66" s="326"/>
      <c r="HK66" s="326"/>
      <c r="HL66" s="326"/>
      <c r="HM66" s="326"/>
      <c r="HN66" s="326"/>
      <c r="HO66" s="326"/>
      <c r="HP66" s="326"/>
      <c r="HQ66" s="326"/>
      <c r="HR66" s="326"/>
      <c r="HS66" s="326"/>
      <c r="HT66" s="326"/>
      <c r="HU66" s="326"/>
      <c r="HV66" s="326"/>
      <c r="HW66" s="326"/>
      <c r="HX66" s="326"/>
      <c r="HY66" s="326"/>
      <c r="HZ66" s="326"/>
      <c r="IA66" s="326"/>
      <c r="IB66" s="326"/>
      <c r="IC66" s="326"/>
      <c r="ID66" s="326"/>
      <c r="IE66" s="326"/>
      <c r="IF66" s="326"/>
      <c r="IG66" s="326"/>
      <c r="IH66" s="326"/>
      <c r="II66" s="326"/>
      <c r="IJ66" s="326"/>
      <c r="IK66" s="326"/>
      <c r="IL66" s="326"/>
      <c r="IM66" s="326"/>
      <c r="IN66" s="326"/>
      <c r="IO66" s="326"/>
      <c r="IP66" s="326"/>
      <c r="IQ66" s="326"/>
      <c r="IR66" s="326"/>
      <c r="IS66" s="326"/>
      <c r="IT66" s="326"/>
      <c r="IU66" s="326"/>
      <c r="IV66" s="326"/>
    </row>
    <row r="67" spans="1:16" ht="33">
      <c r="A67" s="569">
        <v>58</v>
      </c>
      <c r="B67" s="462"/>
      <c r="C67" s="327">
        <v>15</v>
      </c>
      <c r="D67" s="329" t="s">
        <v>391</v>
      </c>
      <c r="E67" s="335"/>
      <c r="F67" s="559"/>
      <c r="G67" s="336"/>
      <c r="H67" s="766" t="s">
        <v>23</v>
      </c>
      <c r="I67" s="764"/>
      <c r="J67" s="757"/>
      <c r="K67" s="757"/>
      <c r="L67" s="757"/>
      <c r="M67" s="757"/>
      <c r="N67" s="777"/>
      <c r="O67" s="751"/>
      <c r="P67" s="560"/>
    </row>
    <row r="68" spans="1:256" s="555" customFormat="1" ht="18" customHeight="1">
      <c r="A68" s="569">
        <v>59</v>
      </c>
      <c r="B68" s="563"/>
      <c r="C68" s="327"/>
      <c r="D68" s="1194" t="s">
        <v>283</v>
      </c>
      <c r="E68" s="335">
        <f>F68+G68+O69+P68</f>
        <v>1629330</v>
      </c>
      <c r="F68" s="559">
        <f>28000+26441</f>
        <v>54441</v>
      </c>
      <c r="G68" s="336">
        <v>46228</v>
      </c>
      <c r="H68" s="766"/>
      <c r="I68" s="764"/>
      <c r="J68" s="757"/>
      <c r="K68" s="757">
        <v>12196</v>
      </c>
      <c r="L68" s="757"/>
      <c r="M68" s="757">
        <v>1516465</v>
      </c>
      <c r="N68" s="777"/>
      <c r="O68" s="751">
        <f>SUM(I68:N68)</f>
        <v>1528661</v>
      </c>
      <c r="P68" s="560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6"/>
      <c r="CO68" s="326"/>
      <c r="CP68" s="326"/>
      <c r="CQ68" s="326"/>
      <c r="CR68" s="326"/>
      <c r="CS68" s="326"/>
      <c r="CT68" s="326"/>
      <c r="CU68" s="326"/>
      <c r="CV68" s="326"/>
      <c r="CW68" s="326"/>
      <c r="CX68" s="326"/>
      <c r="CY68" s="326"/>
      <c r="CZ68" s="326"/>
      <c r="DA68" s="326"/>
      <c r="DB68" s="326"/>
      <c r="DC68" s="326"/>
      <c r="DD68" s="326"/>
      <c r="DE68" s="326"/>
      <c r="DF68" s="326"/>
      <c r="DG68" s="326"/>
      <c r="DH68" s="326"/>
      <c r="DI68" s="326"/>
      <c r="DJ68" s="326"/>
      <c r="DK68" s="326"/>
      <c r="DL68" s="326"/>
      <c r="DM68" s="326"/>
      <c r="DN68" s="326"/>
      <c r="DO68" s="326"/>
      <c r="DP68" s="326"/>
      <c r="DQ68" s="326"/>
      <c r="DR68" s="326"/>
      <c r="DS68" s="326"/>
      <c r="DT68" s="326"/>
      <c r="DU68" s="326"/>
      <c r="DV68" s="326"/>
      <c r="DW68" s="326"/>
      <c r="DX68" s="326"/>
      <c r="DY68" s="326"/>
      <c r="DZ68" s="326"/>
      <c r="EA68" s="326"/>
      <c r="EB68" s="326"/>
      <c r="EC68" s="326"/>
      <c r="ED68" s="326"/>
      <c r="EE68" s="326"/>
      <c r="EF68" s="326"/>
      <c r="EG68" s="326"/>
      <c r="EH68" s="326"/>
      <c r="EI68" s="326"/>
      <c r="EJ68" s="326"/>
      <c r="EK68" s="326"/>
      <c r="EL68" s="326"/>
      <c r="EM68" s="326"/>
      <c r="EN68" s="326"/>
      <c r="EO68" s="326"/>
      <c r="EP68" s="326"/>
      <c r="EQ68" s="326"/>
      <c r="ER68" s="326"/>
      <c r="ES68" s="326"/>
      <c r="ET68" s="326"/>
      <c r="EU68" s="326"/>
      <c r="EV68" s="326"/>
      <c r="EW68" s="326"/>
      <c r="EX68" s="326"/>
      <c r="EY68" s="326"/>
      <c r="EZ68" s="326"/>
      <c r="FA68" s="326"/>
      <c r="FB68" s="326"/>
      <c r="FC68" s="326"/>
      <c r="FD68" s="326"/>
      <c r="FE68" s="326"/>
      <c r="FF68" s="326"/>
      <c r="FG68" s="326"/>
      <c r="FH68" s="326"/>
      <c r="FI68" s="326"/>
      <c r="FJ68" s="326"/>
      <c r="FK68" s="326"/>
      <c r="FL68" s="326"/>
      <c r="FM68" s="326"/>
      <c r="FN68" s="326"/>
      <c r="FO68" s="326"/>
      <c r="FP68" s="326"/>
      <c r="FQ68" s="326"/>
      <c r="FR68" s="326"/>
      <c r="FS68" s="326"/>
      <c r="FT68" s="326"/>
      <c r="FU68" s="326"/>
      <c r="FV68" s="326"/>
      <c r="FW68" s="326"/>
      <c r="FX68" s="326"/>
      <c r="FY68" s="326"/>
      <c r="FZ68" s="326"/>
      <c r="GA68" s="326"/>
      <c r="GB68" s="326"/>
      <c r="GC68" s="326"/>
      <c r="GD68" s="326"/>
      <c r="GE68" s="326"/>
      <c r="GF68" s="326"/>
      <c r="GG68" s="326"/>
      <c r="GH68" s="326"/>
      <c r="GI68" s="326"/>
      <c r="GJ68" s="326"/>
      <c r="GK68" s="326"/>
      <c r="GL68" s="326"/>
      <c r="GM68" s="326"/>
      <c r="GN68" s="326"/>
      <c r="GO68" s="326"/>
      <c r="GP68" s="326"/>
      <c r="GQ68" s="326"/>
      <c r="GR68" s="326"/>
      <c r="GS68" s="326"/>
      <c r="GT68" s="326"/>
      <c r="GU68" s="326"/>
      <c r="GV68" s="326"/>
      <c r="GW68" s="326"/>
      <c r="GX68" s="326"/>
      <c r="GY68" s="326"/>
      <c r="GZ68" s="326"/>
      <c r="HA68" s="326"/>
      <c r="HB68" s="326"/>
      <c r="HC68" s="326"/>
      <c r="HD68" s="326"/>
      <c r="HE68" s="326"/>
      <c r="HF68" s="326"/>
      <c r="HG68" s="326"/>
      <c r="HH68" s="326"/>
      <c r="HI68" s="326"/>
      <c r="HJ68" s="326"/>
      <c r="HK68" s="326"/>
      <c r="HL68" s="326"/>
      <c r="HM68" s="326"/>
      <c r="HN68" s="326"/>
      <c r="HO68" s="326"/>
      <c r="HP68" s="326"/>
      <c r="HQ68" s="326"/>
      <c r="HR68" s="326"/>
      <c r="HS68" s="326"/>
      <c r="HT68" s="326"/>
      <c r="HU68" s="326"/>
      <c r="HV68" s="326"/>
      <c r="HW68" s="326"/>
      <c r="HX68" s="326"/>
      <c r="HY68" s="326"/>
      <c r="HZ68" s="326"/>
      <c r="IA68" s="326"/>
      <c r="IB68" s="326"/>
      <c r="IC68" s="326"/>
      <c r="ID68" s="326"/>
      <c r="IE68" s="326"/>
      <c r="IF68" s="326"/>
      <c r="IG68" s="326"/>
      <c r="IH68" s="326"/>
      <c r="II68" s="326"/>
      <c r="IJ68" s="326"/>
      <c r="IK68" s="326"/>
      <c r="IL68" s="326"/>
      <c r="IM68" s="326"/>
      <c r="IN68" s="326"/>
      <c r="IO68" s="326"/>
      <c r="IP68" s="326"/>
      <c r="IQ68" s="326"/>
      <c r="IR68" s="326"/>
      <c r="IS68" s="326"/>
      <c r="IT68" s="326"/>
      <c r="IU68" s="326"/>
      <c r="IV68" s="326"/>
    </row>
    <row r="69" spans="1:256" s="555" customFormat="1" ht="18" customHeight="1">
      <c r="A69" s="569">
        <v>60</v>
      </c>
      <c r="B69" s="563"/>
      <c r="C69" s="327"/>
      <c r="D69" s="478" t="s">
        <v>757</v>
      </c>
      <c r="E69" s="335"/>
      <c r="F69" s="559"/>
      <c r="G69" s="336"/>
      <c r="H69" s="766"/>
      <c r="I69" s="764"/>
      <c r="J69" s="757"/>
      <c r="K69" s="1188">
        <v>12196</v>
      </c>
      <c r="L69" s="1188"/>
      <c r="M69" s="1188">
        <v>1516465</v>
      </c>
      <c r="N69" s="556"/>
      <c r="O69" s="564">
        <f>SUM(I69:N69)</f>
        <v>1528661</v>
      </c>
      <c r="P69" s="560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6"/>
      <c r="BD69" s="326"/>
      <c r="BE69" s="326"/>
      <c r="BF69" s="326"/>
      <c r="BG69" s="326"/>
      <c r="BH69" s="326"/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326"/>
      <c r="CE69" s="326"/>
      <c r="CF69" s="326"/>
      <c r="CG69" s="326"/>
      <c r="CH69" s="326"/>
      <c r="CI69" s="326"/>
      <c r="CJ69" s="326"/>
      <c r="CK69" s="326"/>
      <c r="CL69" s="326"/>
      <c r="CM69" s="326"/>
      <c r="CN69" s="326"/>
      <c r="CO69" s="326"/>
      <c r="CP69" s="326"/>
      <c r="CQ69" s="326"/>
      <c r="CR69" s="326"/>
      <c r="CS69" s="326"/>
      <c r="CT69" s="326"/>
      <c r="CU69" s="326"/>
      <c r="CV69" s="326"/>
      <c r="CW69" s="326"/>
      <c r="CX69" s="326"/>
      <c r="CY69" s="326"/>
      <c r="CZ69" s="326"/>
      <c r="DA69" s="326"/>
      <c r="DB69" s="326"/>
      <c r="DC69" s="326"/>
      <c r="DD69" s="326"/>
      <c r="DE69" s="326"/>
      <c r="DF69" s="326"/>
      <c r="DG69" s="326"/>
      <c r="DH69" s="326"/>
      <c r="DI69" s="326"/>
      <c r="DJ69" s="326"/>
      <c r="DK69" s="326"/>
      <c r="DL69" s="326"/>
      <c r="DM69" s="326"/>
      <c r="DN69" s="326"/>
      <c r="DO69" s="326"/>
      <c r="DP69" s="326"/>
      <c r="DQ69" s="326"/>
      <c r="DR69" s="326"/>
      <c r="DS69" s="326"/>
      <c r="DT69" s="326"/>
      <c r="DU69" s="326"/>
      <c r="DV69" s="326"/>
      <c r="DW69" s="326"/>
      <c r="DX69" s="326"/>
      <c r="DY69" s="326"/>
      <c r="DZ69" s="326"/>
      <c r="EA69" s="326"/>
      <c r="EB69" s="326"/>
      <c r="EC69" s="326"/>
      <c r="ED69" s="326"/>
      <c r="EE69" s="326"/>
      <c r="EF69" s="326"/>
      <c r="EG69" s="326"/>
      <c r="EH69" s="326"/>
      <c r="EI69" s="326"/>
      <c r="EJ69" s="326"/>
      <c r="EK69" s="326"/>
      <c r="EL69" s="326"/>
      <c r="EM69" s="326"/>
      <c r="EN69" s="326"/>
      <c r="EO69" s="326"/>
      <c r="EP69" s="326"/>
      <c r="EQ69" s="326"/>
      <c r="ER69" s="326"/>
      <c r="ES69" s="326"/>
      <c r="ET69" s="326"/>
      <c r="EU69" s="326"/>
      <c r="EV69" s="326"/>
      <c r="EW69" s="326"/>
      <c r="EX69" s="326"/>
      <c r="EY69" s="326"/>
      <c r="EZ69" s="326"/>
      <c r="FA69" s="326"/>
      <c r="FB69" s="326"/>
      <c r="FC69" s="326"/>
      <c r="FD69" s="326"/>
      <c r="FE69" s="326"/>
      <c r="FF69" s="326"/>
      <c r="FG69" s="326"/>
      <c r="FH69" s="326"/>
      <c r="FI69" s="326"/>
      <c r="FJ69" s="326"/>
      <c r="FK69" s="326"/>
      <c r="FL69" s="326"/>
      <c r="FM69" s="326"/>
      <c r="FN69" s="326"/>
      <c r="FO69" s="326"/>
      <c r="FP69" s="326"/>
      <c r="FQ69" s="326"/>
      <c r="FR69" s="326"/>
      <c r="FS69" s="326"/>
      <c r="FT69" s="326"/>
      <c r="FU69" s="326"/>
      <c r="FV69" s="326"/>
      <c r="FW69" s="326"/>
      <c r="FX69" s="326"/>
      <c r="FY69" s="326"/>
      <c r="FZ69" s="326"/>
      <c r="GA69" s="326"/>
      <c r="GB69" s="326"/>
      <c r="GC69" s="326"/>
      <c r="GD69" s="326"/>
      <c r="GE69" s="326"/>
      <c r="GF69" s="326"/>
      <c r="GG69" s="326"/>
      <c r="GH69" s="326"/>
      <c r="GI69" s="326"/>
      <c r="GJ69" s="326"/>
      <c r="GK69" s="326"/>
      <c r="GL69" s="326"/>
      <c r="GM69" s="326"/>
      <c r="GN69" s="326"/>
      <c r="GO69" s="326"/>
      <c r="GP69" s="326"/>
      <c r="GQ69" s="326"/>
      <c r="GR69" s="326"/>
      <c r="GS69" s="326"/>
      <c r="GT69" s="326"/>
      <c r="GU69" s="326"/>
      <c r="GV69" s="326"/>
      <c r="GW69" s="326"/>
      <c r="GX69" s="326"/>
      <c r="GY69" s="326"/>
      <c r="GZ69" s="326"/>
      <c r="HA69" s="326"/>
      <c r="HB69" s="326"/>
      <c r="HC69" s="326"/>
      <c r="HD69" s="326"/>
      <c r="HE69" s="326"/>
      <c r="HF69" s="326"/>
      <c r="HG69" s="326"/>
      <c r="HH69" s="326"/>
      <c r="HI69" s="326"/>
      <c r="HJ69" s="326"/>
      <c r="HK69" s="326"/>
      <c r="HL69" s="326"/>
      <c r="HM69" s="326"/>
      <c r="HN69" s="326"/>
      <c r="HO69" s="326"/>
      <c r="HP69" s="326"/>
      <c r="HQ69" s="326"/>
      <c r="HR69" s="326"/>
      <c r="HS69" s="326"/>
      <c r="HT69" s="326"/>
      <c r="HU69" s="326"/>
      <c r="HV69" s="326"/>
      <c r="HW69" s="326"/>
      <c r="HX69" s="326"/>
      <c r="HY69" s="326"/>
      <c r="HZ69" s="326"/>
      <c r="IA69" s="326"/>
      <c r="IB69" s="326"/>
      <c r="IC69" s="326"/>
      <c r="ID69" s="326"/>
      <c r="IE69" s="326"/>
      <c r="IF69" s="326"/>
      <c r="IG69" s="326"/>
      <c r="IH69" s="326"/>
      <c r="II69" s="326"/>
      <c r="IJ69" s="326"/>
      <c r="IK69" s="326"/>
      <c r="IL69" s="326"/>
      <c r="IM69" s="326"/>
      <c r="IN69" s="326"/>
      <c r="IO69" s="326"/>
      <c r="IP69" s="326"/>
      <c r="IQ69" s="326"/>
      <c r="IR69" s="326"/>
      <c r="IS69" s="326"/>
      <c r="IT69" s="326"/>
      <c r="IU69" s="326"/>
      <c r="IV69" s="326"/>
    </row>
    <row r="70" spans="1:256" s="555" customFormat="1" ht="18" customHeight="1">
      <c r="A70" s="569">
        <v>61</v>
      </c>
      <c r="B70" s="563"/>
      <c r="C70" s="327"/>
      <c r="D70" s="1090" t="s">
        <v>893</v>
      </c>
      <c r="E70" s="335"/>
      <c r="F70" s="559"/>
      <c r="G70" s="336"/>
      <c r="H70" s="766"/>
      <c r="I70" s="764"/>
      <c r="J70" s="757"/>
      <c r="K70" s="1186">
        <v>102</v>
      </c>
      <c r="L70" s="1186"/>
      <c r="M70" s="1186">
        <v>0</v>
      </c>
      <c r="N70" s="1186"/>
      <c r="O70" s="1723">
        <f>SUM(I70:N70)</f>
        <v>102</v>
      </c>
      <c r="P70" s="560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  <c r="CX70" s="326"/>
      <c r="CY70" s="326"/>
      <c r="CZ70" s="326"/>
      <c r="DA70" s="326"/>
      <c r="DB70" s="326"/>
      <c r="DC70" s="326"/>
      <c r="DD70" s="326"/>
      <c r="DE70" s="326"/>
      <c r="DF70" s="326"/>
      <c r="DG70" s="326"/>
      <c r="DH70" s="326"/>
      <c r="DI70" s="326"/>
      <c r="DJ70" s="326"/>
      <c r="DK70" s="326"/>
      <c r="DL70" s="326"/>
      <c r="DM70" s="326"/>
      <c r="DN70" s="326"/>
      <c r="DO70" s="326"/>
      <c r="DP70" s="326"/>
      <c r="DQ70" s="326"/>
      <c r="DR70" s="326"/>
      <c r="DS70" s="326"/>
      <c r="DT70" s="326"/>
      <c r="DU70" s="326"/>
      <c r="DV70" s="326"/>
      <c r="DW70" s="326"/>
      <c r="DX70" s="326"/>
      <c r="DY70" s="326"/>
      <c r="DZ70" s="326"/>
      <c r="EA70" s="326"/>
      <c r="EB70" s="326"/>
      <c r="EC70" s="326"/>
      <c r="ED70" s="326"/>
      <c r="EE70" s="326"/>
      <c r="EF70" s="326"/>
      <c r="EG70" s="326"/>
      <c r="EH70" s="326"/>
      <c r="EI70" s="326"/>
      <c r="EJ70" s="326"/>
      <c r="EK70" s="326"/>
      <c r="EL70" s="326"/>
      <c r="EM70" s="326"/>
      <c r="EN70" s="326"/>
      <c r="EO70" s="326"/>
      <c r="EP70" s="326"/>
      <c r="EQ70" s="326"/>
      <c r="ER70" s="326"/>
      <c r="ES70" s="326"/>
      <c r="ET70" s="326"/>
      <c r="EU70" s="326"/>
      <c r="EV70" s="326"/>
      <c r="EW70" s="326"/>
      <c r="EX70" s="326"/>
      <c r="EY70" s="326"/>
      <c r="EZ70" s="326"/>
      <c r="FA70" s="326"/>
      <c r="FB70" s="326"/>
      <c r="FC70" s="326"/>
      <c r="FD70" s="326"/>
      <c r="FE70" s="326"/>
      <c r="FF70" s="326"/>
      <c r="FG70" s="326"/>
      <c r="FH70" s="326"/>
      <c r="FI70" s="326"/>
      <c r="FJ70" s="326"/>
      <c r="FK70" s="326"/>
      <c r="FL70" s="326"/>
      <c r="FM70" s="326"/>
      <c r="FN70" s="326"/>
      <c r="FO70" s="326"/>
      <c r="FP70" s="326"/>
      <c r="FQ70" s="326"/>
      <c r="FR70" s="326"/>
      <c r="FS70" s="326"/>
      <c r="FT70" s="326"/>
      <c r="FU70" s="326"/>
      <c r="FV70" s="326"/>
      <c r="FW70" s="326"/>
      <c r="FX70" s="326"/>
      <c r="FY70" s="326"/>
      <c r="FZ70" s="326"/>
      <c r="GA70" s="326"/>
      <c r="GB70" s="326"/>
      <c r="GC70" s="326"/>
      <c r="GD70" s="326"/>
      <c r="GE70" s="326"/>
      <c r="GF70" s="326"/>
      <c r="GG70" s="326"/>
      <c r="GH70" s="326"/>
      <c r="GI70" s="326"/>
      <c r="GJ70" s="326"/>
      <c r="GK70" s="326"/>
      <c r="GL70" s="326"/>
      <c r="GM70" s="326"/>
      <c r="GN70" s="326"/>
      <c r="GO70" s="326"/>
      <c r="GP70" s="326"/>
      <c r="GQ70" s="326"/>
      <c r="GR70" s="326"/>
      <c r="GS70" s="326"/>
      <c r="GT70" s="326"/>
      <c r="GU70" s="326"/>
      <c r="GV70" s="326"/>
      <c r="GW70" s="326"/>
      <c r="GX70" s="326"/>
      <c r="GY70" s="326"/>
      <c r="GZ70" s="326"/>
      <c r="HA70" s="326"/>
      <c r="HB70" s="326"/>
      <c r="HC70" s="326"/>
      <c r="HD70" s="326"/>
      <c r="HE70" s="326"/>
      <c r="HF70" s="326"/>
      <c r="HG70" s="326"/>
      <c r="HH70" s="326"/>
      <c r="HI70" s="326"/>
      <c r="HJ70" s="326"/>
      <c r="HK70" s="326"/>
      <c r="HL70" s="326"/>
      <c r="HM70" s="326"/>
      <c r="HN70" s="326"/>
      <c r="HO70" s="326"/>
      <c r="HP70" s="326"/>
      <c r="HQ70" s="326"/>
      <c r="HR70" s="326"/>
      <c r="HS70" s="326"/>
      <c r="HT70" s="326"/>
      <c r="HU70" s="326"/>
      <c r="HV70" s="326"/>
      <c r="HW70" s="326"/>
      <c r="HX70" s="326"/>
      <c r="HY70" s="326"/>
      <c r="HZ70" s="326"/>
      <c r="IA70" s="326"/>
      <c r="IB70" s="326"/>
      <c r="IC70" s="326"/>
      <c r="ID70" s="326"/>
      <c r="IE70" s="326"/>
      <c r="IF70" s="326"/>
      <c r="IG70" s="326"/>
      <c r="IH70" s="326"/>
      <c r="II70" s="326"/>
      <c r="IJ70" s="326"/>
      <c r="IK70" s="326"/>
      <c r="IL70" s="326"/>
      <c r="IM70" s="326"/>
      <c r="IN70" s="326"/>
      <c r="IO70" s="326"/>
      <c r="IP70" s="326"/>
      <c r="IQ70" s="326"/>
      <c r="IR70" s="326"/>
      <c r="IS70" s="326"/>
      <c r="IT70" s="326"/>
      <c r="IU70" s="326"/>
      <c r="IV70" s="326"/>
    </row>
    <row r="71" spans="1:16" ht="54" customHeight="1">
      <c r="A71" s="569">
        <v>62</v>
      </c>
      <c r="B71" s="462"/>
      <c r="C71" s="327">
        <v>16</v>
      </c>
      <c r="D71" s="329" t="s">
        <v>443</v>
      </c>
      <c r="E71" s="335"/>
      <c r="F71" s="559"/>
      <c r="G71" s="336"/>
      <c r="H71" s="766" t="s">
        <v>23</v>
      </c>
      <c r="I71" s="764"/>
      <c r="J71" s="757"/>
      <c r="K71" s="757"/>
      <c r="L71" s="757"/>
      <c r="M71" s="757"/>
      <c r="N71" s="777"/>
      <c r="O71" s="751"/>
      <c r="P71" s="560"/>
    </row>
    <row r="72" spans="1:256" s="555" customFormat="1" ht="18" customHeight="1">
      <c r="A72" s="569">
        <v>63</v>
      </c>
      <c r="B72" s="563"/>
      <c r="C72" s="366"/>
      <c r="D72" s="1194" t="s">
        <v>283</v>
      </c>
      <c r="E72" s="335">
        <f>F72+G72+O73+P72</f>
        <v>555126</v>
      </c>
      <c r="F72" s="559">
        <f>4379+12827</f>
        <v>17206</v>
      </c>
      <c r="G72" s="336">
        <v>0</v>
      </c>
      <c r="H72" s="766"/>
      <c r="I72" s="764"/>
      <c r="J72" s="757"/>
      <c r="K72" s="757">
        <v>3667</v>
      </c>
      <c r="L72" s="757"/>
      <c r="M72" s="757">
        <v>534253</v>
      </c>
      <c r="N72" s="777"/>
      <c r="O72" s="751">
        <f>SUM(I72:N72)</f>
        <v>537920</v>
      </c>
      <c r="P72" s="560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6"/>
      <c r="BE72" s="326"/>
      <c r="BF72" s="326"/>
      <c r="BG72" s="326"/>
      <c r="BH72" s="326"/>
      <c r="BI72" s="326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6"/>
      <c r="BW72" s="326"/>
      <c r="BX72" s="326"/>
      <c r="BY72" s="326"/>
      <c r="BZ72" s="326"/>
      <c r="CA72" s="326"/>
      <c r="CB72" s="326"/>
      <c r="CC72" s="326"/>
      <c r="CD72" s="326"/>
      <c r="CE72" s="326"/>
      <c r="CF72" s="326"/>
      <c r="CG72" s="326"/>
      <c r="CH72" s="326"/>
      <c r="CI72" s="326"/>
      <c r="CJ72" s="326"/>
      <c r="CK72" s="326"/>
      <c r="CL72" s="326"/>
      <c r="CM72" s="326"/>
      <c r="CN72" s="326"/>
      <c r="CO72" s="326"/>
      <c r="CP72" s="326"/>
      <c r="CQ72" s="326"/>
      <c r="CR72" s="326"/>
      <c r="CS72" s="326"/>
      <c r="CT72" s="326"/>
      <c r="CU72" s="326"/>
      <c r="CV72" s="326"/>
      <c r="CW72" s="326"/>
      <c r="CX72" s="326"/>
      <c r="CY72" s="326"/>
      <c r="CZ72" s="326"/>
      <c r="DA72" s="326"/>
      <c r="DB72" s="326"/>
      <c r="DC72" s="326"/>
      <c r="DD72" s="326"/>
      <c r="DE72" s="326"/>
      <c r="DF72" s="326"/>
      <c r="DG72" s="326"/>
      <c r="DH72" s="326"/>
      <c r="DI72" s="326"/>
      <c r="DJ72" s="326"/>
      <c r="DK72" s="326"/>
      <c r="DL72" s="326"/>
      <c r="DM72" s="326"/>
      <c r="DN72" s="326"/>
      <c r="DO72" s="326"/>
      <c r="DP72" s="326"/>
      <c r="DQ72" s="326"/>
      <c r="DR72" s="326"/>
      <c r="DS72" s="326"/>
      <c r="DT72" s="326"/>
      <c r="DU72" s="326"/>
      <c r="DV72" s="326"/>
      <c r="DW72" s="326"/>
      <c r="DX72" s="326"/>
      <c r="DY72" s="326"/>
      <c r="DZ72" s="326"/>
      <c r="EA72" s="326"/>
      <c r="EB72" s="326"/>
      <c r="EC72" s="326"/>
      <c r="ED72" s="326"/>
      <c r="EE72" s="326"/>
      <c r="EF72" s="326"/>
      <c r="EG72" s="326"/>
      <c r="EH72" s="326"/>
      <c r="EI72" s="326"/>
      <c r="EJ72" s="326"/>
      <c r="EK72" s="326"/>
      <c r="EL72" s="326"/>
      <c r="EM72" s="326"/>
      <c r="EN72" s="326"/>
      <c r="EO72" s="326"/>
      <c r="EP72" s="326"/>
      <c r="EQ72" s="326"/>
      <c r="ER72" s="326"/>
      <c r="ES72" s="326"/>
      <c r="ET72" s="326"/>
      <c r="EU72" s="326"/>
      <c r="EV72" s="326"/>
      <c r="EW72" s="326"/>
      <c r="EX72" s="326"/>
      <c r="EY72" s="326"/>
      <c r="EZ72" s="326"/>
      <c r="FA72" s="326"/>
      <c r="FB72" s="326"/>
      <c r="FC72" s="326"/>
      <c r="FD72" s="326"/>
      <c r="FE72" s="326"/>
      <c r="FF72" s="326"/>
      <c r="FG72" s="326"/>
      <c r="FH72" s="326"/>
      <c r="FI72" s="326"/>
      <c r="FJ72" s="326"/>
      <c r="FK72" s="326"/>
      <c r="FL72" s="326"/>
      <c r="FM72" s="326"/>
      <c r="FN72" s="326"/>
      <c r="FO72" s="326"/>
      <c r="FP72" s="326"/>
      <c r="FQ72" s="326"/>
      <c r="FR72" s="326"/>
      <c r="FS72" s="326"/>
      <c r="FT72" s="326"/>
      <c r="FU72" s="326"/>
      <c r="FV72" s="326"/>
      <c r="FW72" s="326"/>
      <c r="FX72" s="326"/>
      <c r="FY72" s="326"/>
      <c r="FZ72" s="326"/>
      <c r="GA72" s="326"/>
      <c r="GB72" s="326"/>
      <c r="GC72" s="326"/>
      <c r="GD72" s="326"/>
      <c r="GE72" s="326"/>
      <c r="GF72" s="326"/>
      <c r="GG72" s="326"/>
      <c r="GH72" s="326"/>
      <c r="GI72" s="326"/>
      <c r="GJ72" s="326"/>
      <c r="GK72" s="326"/>
      <c r="GL72" s="326"/>
      <c r="GM72" s="326"/>
      <c r="GN72" s="326"/>
      <c r="GO72" s="326"/>
      <c r="GP72" s="326"/>
      <c r="GQ72" s="326"/>
      <c r="GR72" s="326"/>
      <c r="GS72" s="326"/>
      <c r="GT72" s="326"/>
      <c r="GU72" s="326"/>
      <c r="GV72" s="326"/>
      <c r="GW72" s="326"/>
      <c r="GX72" s="326"/>
      <c r="GY72" s="326"/>
      <c r="GZ72" s="326"/>
      <c r="HA72" s="326"/>
      <c r="HB72" s="326"/>
      <c r="HC72" s="326"/>
      <c r="HD72" s="326"/>
      <c r="HE72" s="326"/>
      <c r="HF72" s="326"/>
      <c r="HG72" s="326"/>
      <c r="HH72" s="326"/>
      <c r="HI72" s="326"/>
      <c r="HJ72" s="326"/>
      <c r="HK72" s="326"/>
      <c r="HL72" s="326"/>
      <c r="HM72" s="326"/>
      <c r="HN72" s="326"/>
      <c r="HO72" s="326"/>
      <c r="HP72" s="326"/>
      <c r="HQ72" s="326"/>
      <c r="HR72" s="326"/>
      <c r="HS72" s="326"/>
      <c r="HT72" s="326"/>
      <c r="HU72" s="326"/>
      <c r="HV72" s="326"/>
      <c r="HW72" s="326"/>
      <c r="HX72" s="326"/>
      <c r="HY72" s="326"/>
      <c r="HZ72" s="326"/>
      <c r="IA72" s="326"/>
      <c r="IB72" s="326"/>
      <c r="IC72" s="326"/>
      <c r="ID72" s="326"/>
      <c r="IE72" s="326"/>
      <c r="IF72" s="326"/>
      <c r="IG72" s="326"/>
      <c r="IH72" s="326"/>
      <c r="II72" s="326"/>
      <c r="IJ72" s="326"/>
      <c r="IK72" s="326"/>
      <c r="IL72" s="326"/>
      <c r="IM72" s="326"/>
      <c r="IN72" s="326"/>
      <c r="IO72" s="326"/>
      <c r="IP72" s="326"/>
      <c r="IQ72" s="326"/>
      <c r="IR72" s="326"/>
      <c r="IS72" s="326"/>
      <c r="IT72" s="326"/>
      <c r="IU72" s="326"/>
      <c r="IV72" s="326"/>
    </row>
    <row r="73" spans="1:256" s="555" customFormat="1" ht="18" customHeight="1">
      <c r="A73" s="569">
        <v>64</v>
      </c>
      <c r="B73" s="563"/>
      <c r="C73" s="366"/>
      <c r="D73" s="478" t="s">
        <v>757</v>
      </c>
      <c r="E73" s="335"/>
      <c r="F73" s="559"/>
      <c r="G73" s="336"/>
      <c r="H73" s="766"/>
      <c r="I73" s="764"/>
      <c r="J73" s="757"/>
      <c r="K73" s="1188">
        <v>3667</v>
      </c>
      <c r="L73" s="1188"/>
      <c r="M73" s="1188">
        <v>534253</v>
      </c>
      <c r="N73" s="777"/>
      <c r="O73" s="564">
        <f>SUM(I73:N73)</f>
        <v>537920</v>
      </c>
      <c r="P73" s="560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6"/>
      <c r="BE73" s="326"/>
      <c r="BF73" s="326"/>
      <c r="BG73" s="326"/>
      <c r="BH73" s="326"/>
      <c r="BI73" s="326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6"/>
      <c r="CA73" s="326"/>
      <c r="CB73" s="326"/>
      <c r="CC73" s="326"/>
      <c r="CD73" s="326"/>
      <c r="CE73" s="326"/>
      <c r="CF73" s="326"/>
      <c r="CG73" s="326"/>
      <c r="CH73" s="326"/>
      <c r="CI73" s="326"/>
      <c r="CJ73" s="326"/>
      <c r="CK73" s="326"/>
      <c r="CL73" s="326"/>
      <c r="CM73" s="326"/>
      <c r="CN73" s="326"/>
      <c r="CO73" s="326"/>
      <c r="CP73" s="326"/>
      <c r="CQ73" s="326"/>
      <c r="CR73" s="326"/>
      <c r="CS73" s="326"/>
      <c r="CT73" s="326"/>
      <c r="CU73" s="326"/>
      <c r="CV73" s="326"/>
      <c r="CW73" s="326"/>
      <c r="CX73" s="326"/>
      <c r="CY73" s="326"/>
      <c r="CZ73" s="326"/>
      <c r="DA73" s="326"/>
      <c r="DB73" s="326"/>
      <c r="DC73" s="326"/>
      <c r="DD73" s="326"/>
      <c r="DE73" s="326"/>
      <c r="DF73" s="326"/>
      <c r="DG73" s="326"/>
      <c r="DH73" s="326"/>
      <c r="DI73" s="326"/>
      <c r="DJ73" s="326"/>
      <c r="DK73" s="326"/>
      <c r="DL73" s="326"/>
      <c r="DM73" s="326"/>
      <c r="DN73" s="326"/>
      <c r="DO73" s="326"/>
      <c r="DP73" s="326"/>
      <c r="DQ73" s="326"/>
      <c r="DR73" s="326"/>
      <c r="DS73" s="326"/>
      <c r="DT73" s="326"/>
      <c r="DU73" s="326"/>
      <c r="DV73" s="326"/>
      <c r="DW73" s="326"/>
      <c r="DX73" s="326"/>
      <c r="DY73" s="326"/>
      <c r="DZ73" s="326"/>
      <c r="EA73" s="326"/>
      <c r="EB73" s="326"/>
      <c r="EC73" s="326"/>
      <c r="ED73" s="326"/>
      <c r="EE73" s="326"/>
      <c r="EF73" s="326"/>
      <c r="EG73" s="326"/>
      <c r="EH73" s="326"/>
      <c r="EI73" s="326"/>
      <c r="EJ73" s="326"/>
      <c r="EK73" s="326"/>
      <c r="EL73" s="326"/>
      <c r="EM73" s="326"/>
      <c r="EN73" s="326"/>
      <c r="EO73" s="326"/>
      <c r="EP73" s="326"/>
      <c r="EQ73" s="326"/>
      <c r="ER73" s="326"/>
      <c r="ES73" s="326"/>
      <c r="ET73" s="326"/>
      <c r="EU73" s="326"/>
      <c r="EV73" s="326"/>
      <c r="EW73" s="326"/>
      <c r="EX73" s="326"/>
      <c r="EY73" s="326"/>
      <c r="EZ73" s="326"/>
      <c r="FA73" s="326"/>
      <c r="FB73" s="326"/>
      <c r="FC73" s="326"/>
      <c r="FD73" s="326"/>
      <c r="FE73" s="326"/>
      <c r="FF73" s="326"/>
      <c r="FG73" s="326"/>
      <c r="FH73" s="326"/>
      <c r="FI73" s="326"/>
      <c r="FJ73" s="326"/>
      <c r="FK73" s="326"/>
      <c r="FL73" s="326"/>
      <c r="FM73" s="326"/>
      <c r="FN73" s="326"/>
      <c r="FO73" s="326"/>
      <c r="FP73" s="326"/>
      <c r="FQ73" s="326"/>
      <c r="FR73" s="326"/>
      <c r="FS73" s="326"/>
      <c r="FT73" s="326"/>
      <c r="FU73" s="326"/>
      <c r="FV73" s="326"/>
      <c r="FW73" s="326"/>
      <c r="FX73" s="326"/>
      <c r="FY73" s="326"/>
      <c r="FZ73" s="326"/>
      <c r="GA73" s="326"/>
      <c r="GB73" s="326"/>
      <c r="GC73" s="326"/>
      <c r="GD73" s="326"/>
      <c r="GE73" s="326"/>
      <c r="GF73" s="326"/>
      <c r="GG73" s="326"/>
      <c r="GH73" s="326"/>
      <c r="GI73" s="326"/>
      <c r="GJ73" s="326"/>
      <c r="GK73" s="326"/>
      <c r="GL73" s="326"/>
      <c r="GM73" s="326"/>
      <c r="GN73" s="326"/>
      <c r="GO73" s="326"/>
      <c r="GP73" s="326"/>
      <c r="GQ73" s="326"/>
      <c r="GR73" s="326"/>
      <c r="GS73" s="326"/>
      <c r="GT73" s="326"/>
      <c r="GU73" s="326"/>
      <c r="GV73" s="326"/>
      <c r="GW73" s="326"/>
      <c r="GX73" s="326"/>
      <c r="GY73" s="326"/>
      <c r="GZ73" s="326"/>
      <c r="HA73" s="326"/>
      <c r="HB73" s="326"/>
      <c r="HC73" s="326"/>
      <c r="HD73" s="326"/>
      <c r="HE73" s="326"/>
      <c r="HF73" s="326"/>
      <c r="HG73" s="326"/>
      <c r="HH73" s="326"/>
      <c r="HI73" s="326"/>
      <c r="HJ73" s="326"/>
      <c r="HK73" s="326"/>
      <c r="HL73" s="326"/>
      <c r="HM73" s="326"/>
      <c r="HN73" s="326"/>
      <c r="HO73" s="326"/>
      <c r="HP73" s="326"/>
      <c r="HQ73" s="326"/>
      <c r="HR73" s="326"/>
      <c r="HS73" s="326"/>
      <c r="HT73" s="326"/>
      <c r="HU73" s="326"/>
      <c r="HV73" s="326"/>
      <c r="HW73" s="326"/>
      <c r="HX73" s="326"/>
      <c r="HY73" s="326"/>
      <c r="HZ73" s="326"/>
      <c r="IA73" s="326"/>
      <c r="IB73" s="326"/>
      <c r="IC73" s="326"/>
      <c r="ID73" s="326"/>
      <c r="IE73" s="326"/>
      <c r="IF73" s="326"/>
      <c r="IG73" s="326"/>
      <c r="IH73" s="326"/>
      <c r="II73" s="326"/>
      <c r="IJ73" s="326"/>
      <c r="IK73" s="326"/>
      <c r="IL73" s="326"/>
      <c r="IM73" s="326"/>
      <c r="IN73" s="326"/>
      <c r="IO73" s="326"/>
      <c r="IP73" s="326"/>
      <c r="IQ73" s="326"/>
      <c r="IR73" s="326"/>
      <c r="IS73" s="326"/>
      <c r="IT73" s="326"/>
      <c r="IU73" s="326"/>
      <c r="IV73" s="326"/>
    </row>
    <row r="74" spans="1:256" s="555" customFormat="1" ht="18" customHeight="1">
      <c r="A74" s="569">
        <v>65</v>
      </c>
      <c r="B74" s="563"/>
      <c r="C74" s="366"/>
      <c r="D74" s="1090" t="s">
        <v>893</v>
      </c>
      <c r="E74" s="335"/>
      <c r="F74" s="559"/>
      <c r="G74" s="336"/>
      <c r="H74" s="766"/>
      <c r="I74" s="764"/>
      <c r="J74" s="757"/>
      <c r="K74" s="1186">
        <v>0</v>
      </c>
      <c r="L74" s="1186"/>
      <c r="M74" s="1186">
        <v>0</v>
      </c>
      <c r="N74" s="1186"/>
      <c r="O74" s="1723">
        <f>SUM(I74:N74)</f>
        <v>0</v>
      </c>
      <c r="P74" s="560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326"/>
      <c r="BE74" s="326"/>
      <c r="BF74" s="326"/>
      <c r="BG74" s="326"/>
      <c r="BH74" s="326"/>
      <c r="BI74" s="326"/>
      <c r="BJ74" s="326"/>
      <c r="BK74" s="326"/>
      <c r="BL74" s="326"/>
      <c r="BM74" s="326"/>
      <c r="BN74" s="326"/>
      <c r="BO74" s="326"/>
      <c r="BP74" s="326"/>
      <c r="BQ74" s="326"/>
      <c r="BR74" s="326"/>
      <c r="BS74" s="326"/>
      <c r="BT74" s="326"/>
      <c r="BU74" s="326"/>
      <c r="BV74" s="326"/>
      <c r="BW74" s="326"/>
      <c r="BX74" s="326"/>
      <c r="BY74" s="326"/>
      <c r="BZ74" s="326"/>
      <c r="CA74" s="326"/>
      <c r="CB74" s="326"/>
      <c r="CC74" s="326"/>
      <c r="CD74" s="326"/>
      <c r="CE74" s="326"/>
      <c r="CF74" s="326"/>
      <c r="CG74" s="326"/>
      <c r="CH74" s="326"/>
      <c r="CI74" s="326"/>
      <c r="CJ74" s="326"/>
      <c r="CK74" s="326"/>
      <c r="CL74" s="326"/>
      <c r="CM74" s="326"/>
      <c r="CN74" s="326"/>
      <c r="CO74" s="326"/>
      <c r="CP74" s="326"/>
      <c r="CQ74" s="326"/>
      <c r="CR74" s="326"/>
      <c r="CS74" s="326"/>
      <c r="CT74" s="326"/>
      <c r="CU74" s="326"/>
      <c r="CV74" s="326"/>
      <c r="CW74" s="326"/>
      <c r="CX74" s="326"/>
      <c r="CY74" s="326"/>
      <c r="CZ74" s="326"/>
      <c r="DA74" s="326"/>
      <c r="DB74" s="326"/>
      <c r="DC74" s="326"/>
      <c r="DD74" s="326"/>
      <c r="DE74" s="326"/>
      <c r="DF74" s="326"/>
      <c r="DG74" s="326"/>
      <c r="DH74" s="326"/>
      <c r="DI74" s="326"/>
      <c r="DJ74" s="326"/>
      <c r="DK74" s="326"/>
      <c r="DL74" s="326"/>
      <c r="DM74" s="326"/>
      <c r="DN74" s="326"/>
      <c r="DO74" s="326"/>
      <c r="DP74" s="326"/>
      <c r="DQ74" s="326"/>
      <c r="DR74" s="326"/>
      <c r="DS74" s="326"/>
      <c r="DT74" s="326"/>
      <c r="DU74" s="326"/>
      <c r="DV74" s="326"/>
      <c r="DW74" s="326"/>
      <c r="DX74" s="326"/>
      <c r="DY74" s="326"/>
      <c r="DZ74" s="326"/>
      <c r="EA74" s="326"/>
      <c r="EB74" s="326"/>
      <c r="EC74" s="326"/>
      <c r="ED74" s="326"/>
      <c r="EE74" s="326"/>
      <c r="EF74" s="326"/>
      <c r="EG74" s="326"/>
      <c r="EH74" s="326"/>
      <c r="EI74" s="326"/>
      <c r="EJ74" s="326"/>
      <c r="EK74" s="326"/>
      <c r="EL74" s="326"/>
      <c r="EM74" s="326"/>
      <c r="EN74" s="326"/>
      <c r="EO74" s="326"/>
      <c r="EP74" s="326"/>
      <c r="EQ74" s="326"/>
      <c r="ER74" s="326"/>
      <c r="ES74" s="326"/>
      <c r="ET74" s="326"/>
      <c r="EU74" s="326"/>
      <c r="EV74" s="326"/>
      <c r="EW74" s="326"/>
      <c r="EX74" s="326"/>
      <c r="EY74" s="326"/>
      <c r="EZ74" s="326"/>
      <c r="FA74" s="326"/>
      <c r="FB74" s="326"/>
      <c r="FC74" s="326"/>
      <c r="FD74" s="326"/>
      <c r="FE74" s="326"/>
      <c r="FF74" s="326"/>
      <c r="FG74" s="326"/>
      <c r="FH74" s="326"/>
      <c r="FI74" s="326"/>
      <c r="FJ74" s="326"/>
      <c r="FK74" s="326"/>
      <c r="FL74" s="326"/>
      <c r="FM74" s="326"/>
      <c r="FN74" s="326"/>
      <c r="FO74" s="326"/>
      <c r="FP74" s="326"/>
      <c r="FQ74" s="326"/>
      <c r="FR74" s="326"/>
      <c r="FS74" s="326"/>
      <c r="FT74" s="326"/>
      <c r="FU74" s="326"/>
      <c r="FV74" s="326"/>
      <c r="FW74" s="326"/>
      <c r="FX74" s="326"/>
      <c r="FY74" s="326"/>
      <c r="FZ74" s="326"/>
      <c r="GA74" s="326"/>
      <c r="GB74" s="326"/>
      <c r="GC74" s="326"/>
      <c r="GD74" s="326"/>
      <c r="GE74" s="326"/>
      <c r="GF74" s="326"/>
      <c r="GG74" s="326"/>
      <c r="GH74" s="326"/>
      <c r="GI74" s="326"/>
      <c r="GJ74" s="326"/>
      <c r="GK74" s="326"/>
      <c r="GL74" s="326"/>
      <c r="GM74" s="326"/>
      <c r="GN74" s="326"/>
      <c r="GO74" s="326"/>
      <c r="GP74" s="326"/>
      <c r="GQ74" s="326"/>
      <c r="GR74" s="326"/>
      <c r="GS74" s="326"/>
      <c r="GT74" s="326"/>
      <c r="GU74" s="326"/>
      <c r="GV74" s="326"/>
      <c r="GW74" s="326"/>
      <c r="GX74" s="326"/>
      <c r="GY74" s="326"/>
      <c r="GZ74" s="326"/>
      <c r="HA74" s="326"/>
      <c r="HB74" s="326"/>
      <c r="HC74" s="326"/>
      <c r="HD74" s="326"/>
      <c r="HE74" s="326"/>
      <c r="HF74" s="326"/>
      <c r="HG74" s="326"/>
      <c r="HH74" s="326"/>
      <c r="HI74" s="326"/>
      <c r="HJ74" s="326"/>
      <c r="HK74" s="326"/>
      <c r="HL74" s="326"/>
      <c r="HM74" s="326"/>
      <c r="HN74" s="326"/>
      <c r="HO74" s="326"/>
      <c r="HP74" s="326"/>
      <c r="HQ74" s="326"/>
      <c r="HR74" s="326"/>
      <c r="HS74" s="326"/>
      <c r="HT74" s="326"/>
      <c r="HU74" s="326"/>
      <c r="HV74" s="326"/>
      <c r="HW74" s="326"/>
      <c r="HX74" s="326"/>
      <c r="HY74" s="326"/>
      <c r="HZ74" s="326"/>
      <c r="IA74" s="326"/>
      <c r="IB74" s="326"/>
      <c r="IC74" s="326"/>
      <c r="ID74" s="326"/>
      <c r="IE74" s="326"/>
      <c r="IF74" s="326"/>
      <c r="IG74" s="326"/>
      <c r="IH74" s="326"/>
      <c r="II74" s="326"/>
      <c r="IJ74" s="326"/>
      <c r="IK74" s="326"/>
      <c r="IL74" s="326"/>
      <c r="IM74" s="326"/>
      <c r="IN74" s="326"/>
      <c r="IO74" s="326"/>
      <c r="IP74" s="326"/>
      <c r="IQ74" s="326"/>
      <c r="IR74" s="326"/>
      <c r="IS74" s="326"/>
      <c r="IT74" s="326"/>
      <c r="IU74" s="326"/>
      <c r="IV74" s="326"/>
    </row>
    <row r="75" spans="1:16" ht="36.75" customHeight="1">
      <c r="A75" s="569">
        <v>66</v>
      </c>
      <c r="B75" s="462"/>
      <c r="C75" s="327">
        <v>17</v>
      </c>
      <c r="D75" s="329" t="s">
        <v>510</v>
      </c>
      <c r="E75" s="335"/>
      <c r="F75" s="559"/>
      <c r="G75" s="336"/>
      <c r="H75" s="766" t="s">
        <v>23</v>
      </c>
      <c r="I75" s="764"/>
      <c r="J75" s="757"/>
      <c r="K75" s="757"/>
      <c r="L75" s="757"/>
      <c r="M75" s="757"/>
      <c r="N75" s="777"/>
      <c r="O75" s="751"/>
      <c r="P75" s="560"/>
    </row>
    <row r="76" spans="1:256" s="555" customFormat="1" ht="18" customHeight="1">
      <c r="A76" s="569">
        <v>67</v>
      </c>
      <c r="B76" s="563"/>
      <c r="C76" s="327"/>
      <c r="D76" s="1194" t="s">
        <v>283</v>
      </c>
      <c r="E76" s="335">
        <f>F76+G76+O77+P76+75640+49690</f>
        <v>184000</v>
      </c>
      <c r="F76" s="559">
        <f>9200+10675</f>
        <v>19875</v>
      </c>
      <c r="G76" s="336">
        <v>19540</v>
      </c>
      <c r="H76" s="766"/>
      <c r="I76" s="764"/>
      <c r="J76" s="757"/>
      <c r="K76" s="757">
        <v>19255</v>
      </c>
      <c r="L76" s="757"/>
      <c r="M76" s="757"/>
      <c r="N76" s="777"/>
      <c r="O76" s="751">
        <f>SUM(I76:N76)</f>
        <v>19255</v>
      </c>
      <c r="P76" s="560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6"/>
      <c r="BW76" s="326"/>
      <c r="BX76" s="326"/>
      <c r="BY76" s="326"/>
      <c r="BZ76" s="326"/>
      <c r="CA76" s="326"/>
      <c r="CB76" s="326"/>
      <c r="CC76" s="326"/>
      <c r="CD76" s="326"/>
      <c r="CE76" s="326"/>
      <c r="CF76" s="326"/>
      <c r="CG76" s="326"/>
      <c r="CH76" s="326"/>
      <c r="CI76" s="326"/>
      <c r="CJ76" s="326"/>
      <c r="CK76" s="326"/>
      <c r="CL76" s="326"/>
      <c r="CM76" s="326"/>
      <c r="CN76" s="326"/>
      <c r="CO76" s="326"/>
      <c r="CP76" s="326"/>
      <c r="CQ76" s="326"/>
      <c r="CR76" s="326"/>
      <c r="CS76" s="326"/>
      <c r="CT76" s="326"/>
      <c r="CU76" s="326"/>
      <c r="CV76" s="326"/>
      <c r="CW76" s="326"/>
      <c r="CX76" s="326"/>
      <c r="CY76" s="326"/>
      <c r="CZ76" s="326"/>
      <c r="DA76" s="326"/>
      <c r="DB76" s="326"/>
      <c r="DC76" s="326"/>
      <c r="DD76" s="326"/>
      <c r="DE76" s="326"/>
      <c r="DF76" s="326"/>
      <c r="DG76" s="326"/>
      <c r="DH76" s="326"/>
      <c r="DI76" s="326"/>
      <c r="DJ76" s="326"/>
      <c r="DK76" s="326"/>
      <c r="DL76" s="326"/>
      <c r="DM76" s="326"/>
      <c r="DN76" s="326"/>
      <c r="DO76" s="326"/>
      <c r="DP76" s="326"/>
      <c r="DQ76" s="326"/>
      <c r="DR76" s="326"/>
      <c r="DS76" s="326"/>
      <c r="DT76" s="326"/>
      <c r="DU76" s="326"/>
      <c r="DV76" s="326"/>
      <c r="DW76" s="326"/>
      <c r="DX76" s="326"/>
      <c r="DY76" s="326"/>
      <c r="DZ76" s="326"/>
      <c r="EA76" s="326"/>
      <c r="EB76" s="326"/>
      <c r="EC76" s="326"/>
      <c r="ED76" s="326"/>
      <c r="EE76" s="326"/>
      <c r="EF76" s="326"/>
      <c r="EG76" s="326"/>
      <c r="EH76" s="326"/>
      <c r="EI76" s="326"/>
      <c r="EJ76" s="326"/>
      <c r="EK76" s="326"/>
      <c r="EL76" s="326"/>
      <c r="EM76" s="326"/>
      <c r="EN76" s="326"/>
      <c r="EO76" s="326"/>
      <c r="EP76" s="326"/>
      <c r="EQ76" s="326"/>
      <c r="ER76" s="326"/>
      <c r="ES76" s="326"/>
      <c r="ET76" s="326"/>
      <c r="EU76" s="326"/>
      <c r="EV76" s="326"/>
      <c r="EW76" s="326"/>
      <c r="EX76" s="326"/>
      <c r="EY76" s="326"/>
      <c r="EZ76" s="326"/>
      <c r="FA76" s="326"/>
      <c r="FB76" s="326"/>
      <c r="FC76" s="326"/>
      <c r="FD76" s="326"/>
      <c r="FE76" s="326"/>
      <c r="FF76" s="326"/>
      <c r="FG76" s="326"/>
      <c r="FH76" s="326"/>
      <c r="FI76" s="326"/>
      <c r="FJ76" s="326"/>
      <c r="FK76" s="326"/>
      <c r="FL76" s="326"/>
      <c r="FM76" s="326"/>
      <c r="FN76" s="326"/>
      <c r="FO76" s="326"/>
      <c r="FP76" s="326"/>
      <c r="FQ76" s="326"/>
      <c r="FR76" s="326"/>
      <c r="FS76" s="326"/>
      <c r="FT76" s="326"/>
      <c r="FU76" s="326"/>
      <c r="FV76" s="326"/>
      <c r="FW76" s="326"/>
      <c r="FX76" s="326"/>
      <c r="FY76" s="326"/>
      <c r="FZ76" s="326"/>
      <c r="GA76" s="326"/>
      <c r="GB76" s="326"/>
      <c r="GC76" s="326"/>
      <c r="GD76" s="326"/>
      <c r="GE76" s="326"/>
      <c r="GF76" s="326"/>
      <c r="GG76" s="326"/>
      <c r="GH76" s="326"/>
      <c r="GI76" s="326"/>
      <c r="GJ76" s="326"/>
      <c r="GK76" s="326"/>
      <c r="GL76" s="326"/>
      <c r="GM76" s="326"/>
      <c r="GN76" s="326"/>
      <c r="GO76" s="326"/>
      <c r="GP76" s="326"/>
      <c r="GQ76" s="326"/>
      <c r="GR76" s="326"/>
      <c r="GS76" s="326"/>
      <c r="GT76" s="326"/>
      <c r="GU76" s="326"/>
      <c r="GV76" s="326"/>
      <c r="GW76" s="326"/>
      <c r="GX76" s="326"/>
      <c r="GY76" s="326"/>
      <c r="GZ76" s="326"/>
      <c r="HA76" s="326"/>
      <c r="HB76" s="326"/>
      <c r="HC76" s="326"/>
      <c r="HD76" s="326"/>
      <c r="HE76" s="326"/>
      <c r="HF76" s="326"/>
      <c r="HG76" s="326"/>
      <c r="HH76" s="326"/>
      <c r="HI76" s="326"/>
      <c r="HJ76" s="326"/>
      <c r="HK76" s="326"/>
      <c r="HL76" s="326"/>
      <c r="HM76" s="326"/>
      <c r="HN76" s="326"/>
      <c r="HO76" s="326"/>
      <c r="HP76" s="326"/>
      <c r="HQ76" s="326"/>
      <c r="HR76" s="326"/>
      <c r="HS76" s="326"/>
      <c r="HT76" s="326"/>
      <c r="HU76" s="326"/>
      <c r="HV76" s="326"/>
      <c r="HW76" s="326"/>
      <c r="HX76" s="326"/>
      <c r="HY76" s="326"/>
      <c r="HZ76" s="326"/>
      <c r="IA76" s="326"/>
      <c r="IB76" s="326"/>
      <c r="IC76" s="326"/>
      <c r="ID76" s="326"/>
      <c r="IE76" s="326"/>
      <c r="IF76" s="326"/>
      <c r="IG76" s="326"/>
      <c r="IH76" s="326"/>
      <c r="II76" s="326"/>
      <c r="IJ76" s="326"/>
      <c r="IK76" s="326"/>
      <c r="IL76" s="326"/>
      <c r="IM76" s="326"/>
      <c r="IN76" s="326"/>
      <c r="IO76" s="326"/>
      <c r="IP76" s="326"/>
      <c r="IQ76" s="326"/>
      <c r="IR76" s="326"/>
      <c r="IS76" s="326"/>
      <c r="IT76" s="326"/>
      <c r="IU76" s="326"/>
      <c r="IV76" s="326"/>
    </row>
    <row r="77" spans="1:256" s="555" customFormat="1" ht="18" customHeight="1">
      <c r="A77" s="569">
        <v>68</v>
      </c>
      <c r="B77" s="563"/>
      <c r="C77" s="327"/>
      <c r="D77" s="478" t="s">
        <v>757</v>
      </c>
      <c r="E77" s="335"/>
      <c r="F77" s="559"/>
      <c r="G77" s="336"/>
      <c r="H77" s="766"/>
      <c r="I77" s="764"/>
      <c r="J77" s="757"/>
      <c r="K77" s="1188">
        <v>19255</v>
      </c>
      <c r="L77" s="757"/>
      <c r="M77" s="757"/>
      <c r="N77" s="777"/>
      <c r="O77" s="564">
        <f>SUM(I77:N77)</f>
        <v>19255</v>
      </c>
      <c r="P77" s="560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  <c r="BC77" s="326"/>
      <c r="BD77" s="326"/>
      <c r="BE77" s="326"/>
      <c r="BF77" s="326"/>
      <c r="BG77" s="326"/>
      <c r="BH77" s="326"/>
      <c r="BI77" s="326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6"/>
      <c r="BZ77" s="326"/>
      <c r="CA77" s="326"/>
      <c r="CB77" s="326"/>
      <c r="CC77" s="326"/>
      <c r="CD77" s="326"/>
      <c r="CE77" s="326"/>
      <c r="CF77" s="326"/>
      <c r="CG77" s="326"/>
      <c r="CH77" s="326"/>
      <c r="CI77" s="326"/>
      <c r="CJ77" s="326"/>
      <c r="CK77" s="326"/>
      <c r="CL77" s="326"/>
      <c r="CM77" s="326"/>
      <c r="CN77" s="326"/>
      <c r="CO77" s="326"/>
      <c r="CP77" s="326"/>
      <c r="CQ77" s="326"/>
      <c r="CR77" s="326"/>
      <c r="CS77" s="326"/>
      <c r="CT77" s="326"/>
      <c r="CU77" s="326"/>
      <c r="CV77" s="326"/>
      <c r="CW77" s="326"/>
      <c r="CX77" s="326"/>
      <c r="CY77" s="326"/>
      <c r="CZ77" s="326"/>
      <c r="DA77" s="326"/>
      <c r="DB77" s="326"/>
      <c r="DC77" s="326"/>
      <c r="DD77" s="326"/>
      <c r="DE77" s="326"/>
      <c r="DF77" s="326"/>
      <c r="DG77" s="326"/>
      <c r="DH77" s="326"/>
      <c r="DI77" s="326"/>
      <c r="DJ77" s="326"/>
      <c r="DK77" s="326"/>
      <c r="DL77" s="326"/>
      <c r="DM77" s="326"/>
      <c r="DN77" s="326"/>
      <c r="DO77" s="326"/>
      <c r="DP77" s="326"/>
      <c r="DQ77" s="326"/>
      <c r="DR77" s="326"/>
      <c r="DS77" s="326"/>
      <c r="DT77" s="326"/>
      <c r="DU77" s="326"/>
      <c r="DV77" s="326"/>
      <c r="DW77" s="326"/>
      <c r="DX77" s="326"/>
      <c r="DY77" s="326"/>
      <c r="DZ77" s="326"/>
      <c r="EA77" s="326"/>
      <c r="EB77" s="326"/>
      <c r="EC77" s="326"/>
      <c r="ED77" s="326"/>
      <c r="EE77" s="326"/>
      <c r="EF77" s="326"/>
      <c r="EG77" s="326"/>
      <c r="EH77" s="326"/>
      <c r="EI77" s="326"/>
      <c r="EJ77" s="326"/>
      <c r="EK77" s="326"/>
      <c r="EL77" s="326"/>
      <c r="EM77" s="326"/>
      <c r="EN77" s="326"/>
      <c r="EO77" s="326"/>
      <c r="EP77" s="326"/>
      <c r="EQ77" s="326"/>
      <c r="ER77" s="326"/>
      <c r="ES77" s="326"/>
      <c r="ET77" s="326"/>
      <c r="EU77" s="326"/>
      <c r="EV77" s="326"/>
      <c r="EW77" s="326"/>
      <c r="EX77" s="326"/>
      <c r="EY77" s="326"/>
      <c r="EZ77" s="326"/>
      <c r="FA77" s="326"/>
      <c r="FB77" s="326"/>
      <c r="FC77" s="326"/>
      <c r="FD77" s="326"/>
      <c r="FE77" s="326"/>
      <c r="FF77" s="326"/>
      <c r="FG77" s="326"/>
      <c r="FH77" s="326"/>
      <c r="FI77" s="326"/>
      <c r="FJ77" s="326"/>
      <c r="FK77" s="326"/>
      <c r="FL77" s="326"/>
      <c r="FM77" s="326"/>
      <c r="FN77" s="326"/>
      <c r="FO77" s="326"/>
      <c r="FP77" s="326"/>
      <c r="FQ77" s="326"/>
      <c r="FR77" s="326"/>
      <c r="FS77" s="326"/>
      <c r="FT77" s="326"/>
      <c r="FU77" s="326"/>
      <c r="FV77" s="326"/>
      <c r="FW77" s="326"/>
      <c r="FX77" s="326"/>
      <c r="FY77" s="326"/>
      <c r="FZ77" s="326"/>
      <c r="GA77" s="326"/>
      <c r="GB77" s="326"/>
      <c r="GC77" s="326"/>
      <c r="GD77" s="326"/>
      <c r="GE77" s="326"/>
      <c r="GF77" s="326"/>
      <c r="GG77" s="326"/>
      <c r="GH77" s="326"/>
      <c r="GI77" s="326"/>
      <c r="GJ77" s="326"/>
      <c r="GK77" s="326"/>
      <c r="GL77" s="326"/>
      <c r="GM77" s="326"/>
      <c r="GN77" s="326"/>
      <c r="GO77" s="326"/>
      <c r="GP77" s="326"/>
      <c r="GQ77" s="326"/>
      <c r="GR77" s="326"/>
      <c r="GS77" s="326"/>
      <c r="GT77" s="326"/>
      <c r="GU77" s="326"/>
      <c r="GV77" s="326"/>
      <c r="GW77" s="326"/>
      <c r="GX77" s="326"/>
      <c r="GY77" s="326"/>
      <c r="GZ77" s="326"/>
      <c r="HA77" s="326"/>
      <c r="HB77" s="326"/>
      <c r="HC77" s="326"/>
      <c r="HD77" s="326"/>
      <c r="HE77" s="326"/>
      <c r="HF77" s="326"/>
      <c r="HG77" s="326"/>
      <c r="HH77" s="326"/>
      <c r="HI77" s="326"/>
      <c r="HJ77" s="326"/>
      <c r="HK77" s="326"/>
      <c r="HL77" s="326"/>
      <c r="HM77" s="326"/>
      <c r="HN77" s="326"/>
      <c r="HO77" s="326"/>
      <c r="HP77" s="326"/>
      <c r="HQ77" s="326"/>
      <c r="HR77" s="326"/>
      <c r="HS77" s="326"/>
      <c r="HT77" s="326"/>
      <c r="HU77" s="326"/>
      <c r="HV77" s="326"/>
      <c r="HW77" s="326"/>
      <c r="HX77" s="326"/>
      <c r="HY77" s="326"/>
      <c r="HZ77" s="326"/>
      <c r="IA77" s="326"/>
      <c r="IB77" s="326"/>
      <c r="IC77" s="326"/>
      <c r="ID77" s="326"/>
      <c r="IE77" s="326"/>
      <c r="IF77" s="326"/>
      <c r="IG77" s="326"/>
      <c r="IH77" s="326"/>
      <c r="II77" s="326"/>
      <c r="IJ77" s="326"/>
      <c r="IK77" s="326"/>
      <c r="IL77" s="326"/>
      <c r="IM77" s="326"/>
      <c r="IN77" s="326"/>
      <c r="IO77" s="326"/>
      <c r="IP77" s="326"/>
      <c r="IQ77" s="326"/>
      <c r="IR77" s="326"/>
      <c r="IS77" s="326"/>
      <c r="IT77" s="326"/>
      <c r="IU77" s="326"/>
      <c r="IV77" s="326"/>
    </row>
    <row r="78" spans="1:256" s="555" customFormat="1" ht="18" customHeight="1">
      <c r="A78" s="569">
        <v>69</v>
      </c>
      <c r="B78" s="563"/>
      <c r="C78" s="327"/>
      <c r="D78" s="1090" t="s">
        <v>893</v>
      </c>
      <c r="E78" s="335"/>
      <c r="F78" s="559"/>
      <c r="G78" s="336"/>
      <c r="H78" s="766"/>
      <c r="I78" s="764"/>
      <c r="J78" s="757"/>
      <c r="K78" s="1186">
        <v>0</v>
      </c>
      <c r="L78" s="1186"/>
      <c r="M78" s="1186"/>
      <c r="N78" s="1186"/>
      <c r="O78" s="1723">
        <f>SUM(I78:N78)</f>
        <v>0</v>
      </c>
      <c r="P78" s="560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  <c r="BC78" s="326"/>
      <c r="BD78" s="326"/>
      <c r="BE78" s="326"/>
      <c r="BF78" s="326"/>
      <c r="BG78" s="326"/>
      <c r="BH78" s="326"/>
      <c r="BI78" s="326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6"/>
      <c r="BW78" s="326"/>
      <c r="BX78" s="326"/>
      <c r="BY78" s="326"/>
      <c r="BZ78" s="326"/>
      <c r="CA78" s="326"/>
      <c r="CB78" s="326"/>
      <c r="CC78" s="326"/>
      <c r="CD78" s="326"/>
      <c r="CE78" s="326"/>
      <c r="CF78" s="326"/>
      <c r="CG78" s="326"/>
      <c r="CH78" s="326"/>
      <c r="CI78" s="326"/>
      <c r="CJ78" s="326"/>
      <c r="CK78" s="326"/>
      <c r="CL78" s="326"/>
      <c r="CM78" s="326"/>
      <c r="CN78" s="326"/>
      <c r="CO78" s="326"/>
      <c r="CP78" s="326"/>
      <c r="CQ78" s="326"/>
      <c r="CR78" s="326"/>
      <c r="CS78" s="326"/>
      <c r="CT78" s="326"/>
      <c r="CU78" s="326"/>
      <c r="CV78" s="326"/>
      <c r="CW78" s="326"/>
      <c r="CX78" s="326"/>
      <c r="CY78" s="326"/>
      <c r="CZ78" s="326"/>
      <c r="DA78" s="326"/>
      <c r="DB78" s="326"/>
      <c r="DC78" s="326"/>
      <c r="DD78" s="326"/>
      <c r="DE78" s="326"/>
      <c r="DF78" s="326"/>
      <c r="DG78" s="326"/>
      <c r="DH78" s="326"/>
      <c r="DI78" s="326"/>
      <c r="DJ78" s="326"/>
      <c r="DK78" s="326"/>
      <c r="DL78" s="326"/>
      <c r="DM78" s="326"/>
      <c r="DN78" s="326"/>
      <c r="DO78" s="326"/>
      <c r="DP78" s="326"/>
      <c r="DQ78" s="326"/>
      <c r="DR78" s="326"/>
      <c r="DS78" s="326"/>
      <c r="DT78" s="326"/>
      <c r="DU78" s="326"/>
      <c r="DV78" s="326"/>
      <c r="DW78" s="326"/>
      <c r="DX78" s="326"/>
      <c r="DY78" s="326"/>
      <c r="DZ78" s="326"/>
      <c r="EA78" s="326"/>
      <c r="EB78" s="326"/>
      <c r="EC78" s="326"/>
      <c r="ED78" s="326"/>
      <c r="EE78" s="326"/>
      <c r="EF78" s="326"/>
      <c r="EG78" s="326"/>
      <c r="EH78" s="326"/>
      <c r="EI78" s="326"/>
      <c r="EJ78" s="326"/>
      <c r="EK78" s="326"/>
      <c r="EL78" s="326"/>
      <c r="EM78" s="326"/>
      <c r="EN78" s="326"/>
      <c r="EO78" s="326"/>
      <c r="EP78" s="326"/>
      <c r="EQ78" s="326"/>
      <c r="ER78" s="326"/>
      <c r="ES78" s="326"/>
      <c r="ET78" s="326"/>
      <c r="EU78" s="326"/>
      <c r="EV78" s="326"/>
      <c r="EW78" s="326"/>
      <c r="EX78" s="326"/>
      <c r="EY78" s="326"/>
      <c r="EZ78" s="326"/>
      <c r="FA78" s="326"/>
      <c r="FB78" s="326"/>
      <c r="FC78" s="326"/>
      <c r="FD78" s="326"/>
      <c r="FE78" s="326"/>
      <c r="FF78" s="326"/>
      <c r="FG78" s="326"/>
      <c r="FH78" s="326"/>
      <c r="FI78" s="326"/>
      <c r="FJ78" s="326"/>
      <c r="FK78" s="326"/>
      <c r="FL78" s="326"/>
      <c r="FM78" s="326"/>
      <c r="FN78" s="326"/>
      <c r="FO78" s="326"/>
      <c r="FP78" s="326"/>
      <c r="FQ78" s="326"/>
      <c r="FR78" s="326"/>
      <c r="FS78" s="326"/>
      <c r="FT78" s="326"/>
      <c r="FU78" s="326"/>
      <c r="FV78" s="326"/>
      <c r="FW78" s="326"/>
      <c r="FX78" s="326"/>
      <c r="FY78" s="326"/>
      <c r="FZ78" s="326"/>
      <c r="GA78" s="326"/>
      <c r="GB78" s="326"/>
      <c r="GC78" s="326"/>
      <c r="GD78" s="326"/>
      <c r="GE78" s="326"/>
      <c r="GF78" s="326"/>
      <c r="GG78" s="326"/>
      <c r="GH78" s="326"/>
      <c r="GI78" s="326"/>
      <c r="GJ78" s="326"/>
      <c r="GK78" s="326"/>
      <c r="GL78" s="326"/>
      <c r="GM78" s="326"/>
      <c r="GN78" s="326"/>
      <c r="GO78" s="326"/>
      <c r="GP78" s="326"/>
      <c r="GQ78" s="326"/>
      <c r="GR78" s="326"/>
      <c r="GS78" s="326"/>
      <c r="GT78" s="326"/>
      <c r="GU78" s="326"/>
      <c r="GV78" s="326"/>
      <c r="GW78" s="326"/>
      <c r="GX78" s="326"/>
      <c r="GY78" s="326"/>
      <c r="GZ78" s="326"/>
      <c r="HA78" s="326"/>
      <c r="HB78" s="326"/>
      <c r="HC78" s="326"/>
      <c r="HD78" s="326"/>
      <c r="HE78" s="326"/>
      <c r="HF78" s="326"/>
      <c r="HG78" s="326"/>
      <c r="HH78" s="326"/>
      <c r="HI78" s="326"/>
      <c r="HJ78" s="326"/>
      <c r="HK78" s="326"/>
      <c r="HL78" s="326"/>
      <c r="HM78" s="326"/>
      <c r="HN78" s="326"/>
      <c r="HO78" s="326"/>
      <c r="HP78" s="326"/>
      <c r="HQ78" s="326"/>
      <c r="HR78" s="326"/>
      <c r="HS78" s="326"/>
      <c r="HT78" s="326"/>
      <c r="HU78" s="326"/>
      <c r="HV78" s="326"/>
      <c r="HW78" s="326"/>
      <c r="HX78" s="326"/>
      <c r="HY78" s="326"/>
      <c r="HZ78" s="326"/>
      <c r="IA78" s="326"/>
      <c r="IB78" s="326"/>
      <c r="IC78" s="326"/>
      <c r="ID78" s="326"/>
      <c r="IE78" s="326"/>
      <c r="IF78" s="326"/>
      <c r="IG78" s="326"/>
      <c r="IH78" s="326"/>
      <c r="II78" s="326"/>
      <c r="IJ78" s="326"/>
      <c r="IK78" s="326"/>
      <c r="IL78" s="326"/>
      <c r="IM78" s="326"/>
      <c r="IN78" s="326"/>
      <c r="IO78" s="326"/>
      <c r="IP78" s="326"/>
      <c r="IQ78" s="326"/>
      <c r="IR78" s="326"/>
      <c r="IS78" s="326"/>
      <c r="IT78" s="326"/>
      <c r="IU78" s="326"/>
      <c r="IV78" s="326"/>
    </row>
    <row r="79" spans="1:16" ht="36" customHeight="1">
      <c r="A79" s="569">
        <v>70</v>
      </c>
      <c r="B79" s="462"/>
      <c r="C79" s="327">
        <v>18</v>
      </c>
      <c r="D79" s="329" t="s">
        <v>374</v>
      </c>
      <c r="E79" s="335"/>
      <c r="F79" s="559"/>
      <c r="G79" s="336"/>
      <c r="H79" s="766" t="s">
        <v>23</v>
      </c>
      <c r="I79" s="764"/>
      <c r="J79" s="757"/>
      <c r="K79" s="757"/>
      <c r="L79" s="757"/>
      <c r="M79" s="757"/>
      <c r="N79" s="777"/>
      <c r="O79" s="751"/>
      <c r="P79" s="560"/>
    </row>
    <row r="80" spans="1:256" s="555" customFormat="1" ht="18" customHeight="1">
      <c r="A80" s="569">
        <v>71</v>
      </c>
      <c r="B80" s="563"/>
      <c r="C80" s="327"/>
      <c r="D80" s="1194" t="s">
        <v>283</v>
      </c>
      <c r="E80" s="335">
        <f>F80+G80+O81+P80</f>
        <v>51055</v>
      </c>
      <c r="F80" s="559">
        <f>1176+23808</f>
        <v>24984</v>
      </c>
      <c r="G80" s="336">
        <v>8922</v>
      </c>
      <c r="H80" s="766"/>
      <c r="I80" s="764"/>
      <c r="J80" s="757"/>
      <c r="K80" s="757"/>
      <c r="L80" s="757">
        <v>17149</v>
      </c>
      <c r="M80" s="757"/>
      <c r="N80" s="777"/>
      <c r="O80" s="751">
        <f>SUM(I80:N80)</f>
        <v>17149</v>
      </c>
      <c r="P80" s="560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  <c r="BC80" s="326"/>
      <c r="BD80" s="326"/>
      <c r="BE80" s="326"/>
      <c r="BF80" s="326"/>
      <c r="BG80" s="326"/>
      <c r="BH80" s="326"/>
      <c r="BI80" s="326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6"/>
      <c r="BW80" s="326"/>
      <c r="BX80" s="326"/>
      <c r="BY80" s="326"/>
      <c r="BZ80" s="326"/>
      <c r="CA80" s="326"/>
      <c r="CB80" s="326"/>
      <c r="CC80" s="326"/>
      <c r="CD80" s="326"/>
      <c r="CE80" s="326"/>
      <c r="CF80" s="326"/>
      <c r="CG80" s="326"/>
      <c r="CH80" s="326"/>
      <c r="CI80" s="326"/>
      <c r="CJ80" s="326"/>
      <c r="CK80" s="326"/>
      <c r="CL80" s="326"/>
      <c r="CM80" s="326"/>
      <c r="CN80" s="326"/>
      <c r="CO80" s="326"/>
      <c r="CP80" s="326"/>
      <c r="CQ80" s="326"/>
      <c r="CR80" s="326"/>
      <c r="CS80" s="326"/>
      <c r="CT80" s="326"/>
      <c r="CU80" s="326"/>
      <c r="CV80" s="326"/>
      <c r="CW80" s="326"/>
      <c r="CX80" s="326"/>
      <c r="CY80" s="326"/>
      <c r="CZ80" s="326"/>
      <c r="DA80" s="326"/>
      <c r="DB80" s="326"/>
      <c r="DC80" s="326"/>
      <c r="DD80" s="326"/>
      <c r="DE80" s="326"/>
      <c r="DF80" s="326"/>
      <c r="DG80" s="326"/>
      <c r="DH80" s="326"/>
      <c r="DI80" s="326"/>
      <c r="DJ80" s="326"/>
      <c r="DK80" s="326"/>
      <c r="DL80" s="326"/>
      <c r="DM80" s="326"/>
      <c r="DN80" s="326"/>
      <c r="DO80" s="326"/>
      <c r="DP80" s="326"/>
      <c r="DQ80" s="326"/>
      <c r="DR80" s="326"/>
      <c r="DS80" s="326"/>
      <c r="DT80" s="326"/>
      <c r="DU80" s="326"/>
      <c r="DV80" s="326"/>
      <c r="DW80" s="326"/>
      <c r="DX80" s="326"/>
      <c r="DY80" s="326"/>
      <c r="DZ80" s="326"/>
      <c r="EA80" s="326"/>
      <c r="EB80" s="326"/>
      <c r="EC80" s="326"/>
      <c r="ED80" s="326"/>
      <c r="EE80" s="326"/>
      <c r="EF80" s="326"/>
      <c r="EG80" s="326"/>
      <c r="EH80" s="326"/>
      <c r="EI80" s="326"/>
      <c r="EJ80" s="326"/>
      <c r="EK80" s="326"/>
      <c r="EL80" s="326"/>
      <c r="EM80" s="326"/>
      <c r="EN80" s="326"/>
      <c r="EO80" s="326"/>
      <c r="EP80" s="326"/>
      <c r="EQ80" s="326"/>
      <c r="ER80" s="326"/>
      <c r="ES80" s="326"/>
      <c r="ET80" s="326"/>
      <c r="EU80" s="326"/>
      <c r="EV80" s="326"/>
      <c r="EW80" s="326"/>
      <c r="EX80" s="326"/>
      <c r="EY80" s="326"/>
      <c r="EZ80" s="326"/>
      <c r="FA80" s="326"/>
      <c r="FB80" s="326"/>
      <c r="FC80" s="326"/>
      <c r="FD80" s="326"/>
      <c r="FE80" s="326"/>
      <c r="FF80" s="326"/>
      <c r="FG80" s="326"/>
      <c r="FH80" s="326"/>
      <c r="FI80" s="326"/>
      <c r="FJ80" s="326"/>
      <c r="FK80" s="326"/>
      <c r="FL80" s="326"/>
      <c r="FM80" s="326"/>
      <c r="FN80" s="326"/>
      <c r="FO80" s="326"/>
      <c r="FP80" s="326"/>
      <c r="FQ80" s="326"/>
      <c r="FR80" s="326"/>
      <c r="FS80" s="326"/>
      <c r="FT80" s="326"/>
      <c r="FU80" s="326"/>
      <c r="FV80" s="326"/>
      <c r="FW80" s="326"/>
      <c r="FX80" s="326"/>
      <c r="FY80" s="326"/>
      <c r="FZ80" s="326"/>
      <c r="GA80" s="326"/>
      <c r="GB80" s="326"/>
      <c r="GC80" s="326"/>
      <c r="GD80" s="326"/>
      <c r="GE80" s="326"/>
      <c r="GF80" s="326"/>
      <c r="GG80" s="326"/>
      <c r="GH80" s="326"/>
      <c r="GI80" s="326"/>
      <c r="GJ80" s="326"/>
      <c r="GK80" s="326"/>
      <c r="GL80" s="326"/>
      <c r="GM80" s="326"/>
      <c r="GN80" s="326"/>
      <c r="GO80" s="326"/>
      <c r="GP80" s="326"/>
      <c r="GQ80" s="326"/>
      <c r="GR80" s="326"/>
      <c r="GS80" s="326"/>
      <c r="GT80" s="326"/>
      <c r="GU80" s="326"/>
      <c r="GV80" s="326"/>
      <c r="GW80" s="326"/>
      <c r="GX80" s="326"/>
      <c r="GY80" s="326"/>
      <c r="GZ80" s="326"/>
      <c r="HA80" s="326"/>
      <c r="HB80" s="326"/>
      <c r="HC80" s="326"/>
      <c r="HD80" s="326"/>
      <c r="HE80" s="326"/>
      <c r="HF80" s="326"/>
      <c r="HG80" s="326"/>
      <c r="HH80" s="326"/>
      <c r="HI80" s="326"/>
      <c r="HJ80" s="326"/>
      <c r="HK80" s="326"/>
      <c r="HL80" s="326"/>
      <c r="HM80" s="326"/>
      <c r="HN80" s="326"/>
      <c r="HO80" s="326"/>
      <c r="HP80" s="326"/>
      <c r="HQ80" s="326"/>
      <c r="HR80" s="326"/>
      <c r="HS80" s="326"/>
      <c r="HT80" s="326"/>
      <c r="HU80" s="326"/>
      <c r="HV80" s="326"/>
      <c r="HW80" s="326"/>
      <c r="HX80" s="326"/>
      <c r="HY80" s="326"/>
      <c r="HZ80" s="326"/>
      <c r="IA80" s="326"/>
      <c r="IB80" s="326"/>
      <c r="IC80" s="326"/>
      <c r="ID80" s="326"/>
      <c r="IE80" s="326"/>
      <c r="IF80" s="326"/>
      <c r="IG80" s="326"/>
      <c r="IH80" s="326"/>
      <c r="II80" s="326"/>
      <c r="IJ80" s="326"/>
      <c r="IK80" s="326"/>
      <c r="IL80" s="326"/>
      <c r="IM80" s="326"/>
      <c r="IN80" s="326"/>
      <c r="IO80" s="326"/>
      <c r="IP80" s="326"/>
      <c r="IQ80" s="326"/>
      <c r="IR80" s="326"/>
      <c r="IS80" s="326"/>
      <c r="IT80" s="326"/>
      <c r="IU80" s="326"/>
      <c r="IV80" s="326"/>
    </row>
    <row r="81" spans="1:256" s="555" customFormat="1" ht="18" customHeight="1">
      <c r="A81" s="569">
        <v>72</v>
      </c>
      <c r="B81" s="563"/>
      <c r="C81" s="327"/>
      <c r="D81" s="478" t="s">
        <v>757</v>
      </c>
      <c r="E81" s="335"/>
      <c r="F81" s="559"/>
      <c r="G81" s="336"/>
      <c r="H81" s="766"/>
      <c r="I81" s="764"/>
      <c r="J81" s="757"/>
      <c r="K81" s="757"/>
      <c r="L81" s="1188">
        <v>17149</v>
      </c>
      <c r="M81" s="1188"/>
      <c r="N81" s="556"/>
      <c r="O81" s="564">
        <f>SUM(I81:N81)</f>
        <v>17149</v>
      </c>
      <c r="P81" s="560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  <c r="AZ81" s="326"/>
      <c r="BA81" s="326"/>
      <c r="BB81" s="326"/>
      <c r="BC81" s="326"/>
      <c r="BD81" s="326"/>
      <c r="BE81" s="326"/>
      <c r="BF81" s="326"/>
      <c r="BG81" s="326"/>
      <c r="BH81" s="326"/>
      <c r="BI81" s="326"/>
      <c r="BJ81" s="326"/>
      <c r="BK81" s="326"/>
      <c r="BL81" s="326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  <c r="BW81" s="326"/>
      <c r="BX81" s="326"/>
      <c r="BY81" s="326"/>
      <c r="BZ81" s="326"/>
      <c r="CA81" s="326"/>
      <c r="CB81" s="326"/>
      <c r="CC81" s="326"/>
      <c r="CD81" s="326"/>
      <c r="CE81" s="326"/>
      <c r="CF81" s="326"/>
      <c r="CG81" s="326"/>
      <c r="CH81" s="326"/>
      <c r="CI81" s="326"/>
      <c r="CJ81" s="326"/>
      <c r="CK81" s="326"/>
      <c r="CL81" s="326"/>
      <c r="CM81" s="326"/>
      <c r="CN81" s="326"/>
      <c r="CO81" s="326"/>
      <c r="CP81" s="326"/>
      <c r="CQ81" s="326"/>
      <c r="CR81" s="326"/>
      <c r="CS81" s="326"/>
      <c r="CT81" s="326"/>
      <c r="CU81" s="326"/>
      <c r="CV81" s="326"/>
      <c r="CW81" s="326"/>
      <c r="CX81" s="326"/>
      <c r="CY81" s="326"/>
      <c r="CZ81" s="326"/>
      <c r="DA81" s="326"/>
      <c r="DB81" s="326"/>
      <c r="DC81" s="326"/>
      <c r="DD81" s="326"/>
      <c r="DE81" s="326"/>
      <c r="DF81" s="326"/>
      <c r="DG81" s="326"/>
      <c r="DH81" s="326"/>
      <c r="DI81" s="326"/>
      <c r="DJ81" s="326"/>
      <c r="DK81" s="326"/>
      <c r="DL81" s="326"/>
      <c r="DM81" s="326"/>
      <c r="DN81" s="326"/>
      <c r="DO81" s="326"/>
      <c r="DP81" s="326"/>
      <c r="DQ81" s="326"/>
      <c r="DR81" s="326"/>
      <c r="DS81" s="326"/>
      <c r="DT81" s="326"/>
      <c r="DU81" s="326"/>
      <c r="DV81" s="326"/>
      <c r="DW81" s="326"/>
      <c r="DX81" s="326"/>
      <c r="DY81" s="326"/>
      <c r="DZ81" s="326"/>
      <c r="EA81" s="326"/>
      <c r="EB81" s="326"/>
      <c r="EC81" s="326"/>
      <c r="ED81" s="326"/>
      <c r="EE81" s="326"/>
      <c r="EF81" s="326"/>
      <c r="EG81" s="326"/>
      <c r="EH81" s="326"/>
      <c r="EI81" s="326"/>
      <c r="EJ81" s="326"/>
      <c r="EK81" s="326"/>
      <c r="EL81" s="326"/>
      <c r="EM81" s="326"/>
      <c r="EN81" s="326"/>
      <c r="EO81" s="326"/>
      <c r="EP81" s="326"/>
      <c r="EQ81" s="326"/>
      <c r="ER81" s="326"/>
      <c r="ES81" s="326"/>
      <c r="ET81" s="326"/>
      <c r="EU81" s="326"/>
      <c r="EV81" s="326"/>
      <c r="EW81" s="326"/>
      <c r="EX81" s="326"/>
      <c r="EY81" s="326"/>
      <c r="EZ81" s="326"/>
      <c r="FA81" s="326"/>
      <c r="FB81" s="326"/>
      <c r="FC81" s="326"/>
      <c r="FD81" s="326"/>
      <c r="FE81" s="326"/>
      <c r="FF81" s="326"/>
      <c r="FG81" s="326"/>
      <c r="FH81" s="326"/>
      <c r="FI81" s="326"/>
      <c r="FJ81" s="326"/>
      <c r="FK81" s="326"/>
      <c r="FL81" s="326"/>
      <c r="FM81" s="326"/>
      <c r="FN81" s="326"/>
      <c r="FO81" s="326"/>
      <c r="FP81" s="326"/>
      <c r="FQ81" s="326"/>
      <c r="FR81" s="326"/>
      <c r="FS81" s="326"/>
      <c r="FT81" s="326"/>
      <c r="FU81" s="326"/>
      <c r="FV81" s="326"/>
      <c r="FW81" s="326"/>
      <c r="FX81" s="326"/>
      <c r="FY81" s="326"/>
      <c r="FZ81" s="326"/>
      <c r="GA81" s="326"/>
      <c r="GB81" s="326"/>
      <c r="GC81" s="326"/>
      <c r="GD81" s="326"/>
      <c r="GE81" s="326"/>
      <c r="GF81" s="326"/>
      <c r="GG81" s="326"/>
      <c r="GH81" s="326"/>
      <c r="GI81" s="326"/>
      <c r="GJ81" s="326"/>
      <c r="GK81" s="326"/>
      <c r="GL81" s="326"/>
      <c r="GM81" s="326"/>
      <c r="GN81" s="326"/>
      <c r="GO81" s="326"/>
      <c r="GP81" s="326"/>
      <c r="GQ81" s="326"/>
      <c r="GR81" s="326"/>
      <c r="GS81" s="326"/>
      <c r="GT81" s="326"/>
      <c r="GU81" s="326"/>
      <c r="GV81" s="326"/>
      <c r="GW81" s="326"/>
      <c r="GX81" s="326"/>
      <c r="GY81" s="326"/>
      <c r="GZ81" s="326"/>
      <c r="HA81" s="326"/>
      <c r="HB81" s="326"/>
      <c r="HC81" s="326"/>
      <c r="HD81" s="326"/>
      <c r="HE81" s="326"/>
      <c r="HF81" s="326"/>
      <c r="HG81" s="326"/>
      <c r="HH81" s="326"/>
      <c r="HI81" s="326"/>
      <c r="HJ81" s="326"/>
      <c r="HK81" s="326"/>
      <c r="HL81" s="326"/>
      <c r="HM81" s="326"/>
      <c r="HN81" s="326"/>
      <c r="HO81" s="326"/>
      <c r="HP81" s="326"/>
      <c r="HQ81" s="326"/>
      <c r="HR81" s="326"/>
      <c r="HS81" s="326"/>
      <c r="HT81" s="326"/>
      <c r="HU81" s="326"/>
      <c r="HV81" s="326"/>
      <c r="HW81" s="326"/>
      <c r="HX81" s="326"/>
      <c r="HY81" s="326"/>
      <c r="HZ81" s="326"/>
      <c r="IA81" s="326"/>
      <c r="IB81" s="326"/>
      <c r="IC81" s="326"/>
      <c r="ID81" s="326"/>
      <c r="IE81" s="326"/>
      <c r="IF81" s="326"/>
      <c r="IG81" s="326"/>
      <c r="IH81" s="326"/>
      <c r="II81" s="326"/>
      <c r="IJ81" s="326"/>
      <c r="IK81" s="326"/>
      <c r="IL81" s="326"/>
      <c r="IM81" s="326"/>
      <c r="IN81" s="326"/>
      <c r="IO81" s="326"/>
      <c r="IP81" s="326"/>
      <c r="IQ81" s="326"/>
      <c r="IR81" s="326"/>
      <c r="IS81" s="326"/>
      <c r="IT81" s="326"/>
      <c r="IU81" s="326"/>
      <c r="IV81" s="326"/>
    </row>
    <row r="82" spans="1:256" s="555" customFormat="1" ht="18" customHeight="1">
      <c r="A82" s="569">
        <v>73</v>
      </c>
      <c r="B82" s="563"/>
      <c r="C82" s="327"/>
      <c r="D82" s="1090" t="s">
        <v>893</v>
      </c>
      <c r="E82" s="335"/>
      <c r="F82" s="559"/>
      <c r="G82" s="336"/>
      <c r="H82" s="766"/>
      <c r="I82" s="764"/>
      <c r="J82" s="757"/>
      <c r="K82" s="757"/>
      <c r="L82" s="1186">
        <v>0</v>
      </c>
      <c r="M82" s="1186"/>
      <c r="N82" s="1186"/>
      <c r="O82" s="1723">
        <f>SUM(I82:N82)</f>
        <v>0</v>
      </c>
      <c r="P82" s="560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/>
      <c r="BU82" s="326"/>
      <c r="BV82" s="326"/>
      <c r="BW82" s="326"/>
      <c r="BX82" s="326"/>
      <c r="BY82" s="326"/>
      <c r="BZ82" s="326"/>
      <c r="CA82" s="326"/>
      <c r="CB82" s="326"/>
      <c r="CC82" s="326"/>
      <c r="CD82" s="326"/>
      <c r="CE82" s="326"/>
      <c r="CF82" s="326"/>
      <c r="CG82" s="326"/>
      <c r="CH82" s="326"/>
      <c r="CI82" s="326"/>
      <c r="CJ82" s="326"/>
      <c r="CK82" s="326"/>
      <c r="CL82" s="326"/>
      <c r="CM82" s="326"/>
      <c r="CN82" s="326"/>
      <c r="CO82" s="326"/>
      <c r="CP82" s="326"/>
      <c r="CQ82" s="326"/>
      <c r="CR82" s="326"/>
      <c r="CS82" s="326"/>
      <c r="CT82" s="326"/>
      <c r="CU82" s="326"/>
      <c r="CV82" s="326"/>
      <c r="CW82" s="326"/>
      <c r="CX82" s="326"/>
      <c r="CY82" s="326"/>
      <c r="CZ82" s="326"/>
      <c r="DA82" s="326"/>
      <c r="DB82" s="326"/>
      <c r="DC82" s="326"/>
      <c r="DD82" s="326"/>
      <c r="DE82" s="326"/>
      <c r="DF82" s="326"/>
      <c r="DG82" s="326"/>
      <c r="DH82" s="326"/>
      <c r="DI82" s="326"/>
      <c r="DJ82" s="326"/>
      <c r="DK82" s="326"/>
      <c r="DL82" s="326"/>
      <c r="DM82" s="326"/>
      <c r="DN82" s="326"/>
      <c r="DO82" s="326"/>
      <c r="DP82" s="326"/>
      <c r="DQ82" s="326"/>
      <c r="DR82" s="326"/>
      <c r="DS82" s="326"/>
      <c r="DT82" s="326"/>
      <c r="DU82" s="326"/>
      <c r="DV82" s="326"/>
      <c r="DW82" s="326"/>
      <c r="DX82" s="326"/>
      <c r="DY82" s="326"/>
      <c r="DZ82" s="326"/>
      <c r="EA82" s="326"/>
      <c r="EB82" s="326"/>
      <c r="EC82" s="326"/>
      <c r="ED82" s="326"/>
      <c r="EE82" s="326"/>
      <c r="EF82" s="326"/>
      <c r="EG82" s="326"/>
      <c r="EH82" s="326"/>
      <c r="EI82" s="326"/>
      <c r="EJ82" s="326"/>
      <c r="EK82" s="326"/>
      <c r="EL82" s="326"/>
      <c r="EM82" s="326"/>
      <c r="EN82" s="326"/>
      <c r="EO82" s="326"/>
      <c r="EP82" s="326"/>
      <c r="EQ82" s="326"/>
      <c r="ER82" s="326"/>
      <c r="ES82" s="326"/>
      <c r="ET82" s="326"/>
      <c r="EU82" s="326"/>
      <c r="EV82" s="326"/>
      <c r="EW82" s="326"/>
      <c r="EX82" s="326"/>
      <c r="EY82" s="326"/>
      <c r="EZ82" s="326"/>
      <c r="FA82" s="326"/>
      <c r="FB82" s="326"/>
      <c r="FC82" s="326"/>
      <c r="FD82" s="326"/>
      <c r="FE82" s="326"/>
      <c r="FF82" s="326"/>
      <c r="FG82" s="326"/>
      <c r="FH82" s="326"/>
      <c r="FI82" s="326"/>
      <c r="FJ82" s="326"/>
      <c r="FK82" s="326"/>
      <c r="FL82" s="326"/>
      <c r="FM82" s="326"/>
      <c r="FN82" s="326"/>
      <c r="FO82" s="326"/>
      <c r="FP82" s="326"/>
      <c r="FQ82" s="326"/>
      <c r="FR82" s="326"/>
      <c r="FS82" s="326"/>
      <c r="FT82" s="326"/>
      <c r="FU82" s="326"/>
      <c r="FV82" s="326"/>
      <c r="FW82" s="326"/>
      <c r="FX82" s="326"/>
      <c r="FY82" s="326"/>
      <c r="FZ82" s="326"/>
      <c r="GA82" s="326"/>
      <c r="GB82" s="326"/>
      <c r="GC82" s="326"/>
      <c r="GD82" s="326"/>
      <c r="GE82" s="326"/>
      <c r="GF82" s="326"/>
      <c r="GG82" s="326"/>
      <c r="GH82" s="326"/>
      <c r="GI82" s="326"/>
      <c r="GJ82" s="326"/>
      <c r="GK82" s="326"/>
      <c r="GL82" s="326"/>
      <c r="GM82" s="326"/>
      <c r="GN82" s="326"/>
      <c r="GO82" s="326"/>
      <c r="GP82" s="326"/>
      <c r="GQ82" s="326"/>
      <c r="GR82" s="326"/>
      <c r="GS82" s="326"/>
      <c r="GT82" s="326"/>
      <c r="GU82" s="326"/>
      <c r="GV82" s="326"/>
      <c r="GW82" s="326"/>
      <c r="GX82" s="326"/>
      <c r="GY82" s="326"/>
      <c r="GZ82" s="326"/>
      <c r="HA82" s="326"/>
      <c r="HB82" s="326"/>
      <c r="HC82" s="326"/>
      <c r="HD82" s="326"/>
      <c r="HE82" s="326"/>
      <c r="HF82" s="326"/>
      <c r="HG82" s="326"/>
      <c r="HH82" s="326"/>
      <c r="HI82" s="326"/>
      <c r="HJ82" s="326"/>
      <c r="HK82" s="326"/>
      <c r="HL82" s="326"/>
      <c r="HM82" s="326"/>
      <c r="HN82" s="326"/>
      <c r="HO82" s="326"/>
      <c r="HP82" s="326"/>
      <c r="HQ82" s="326"/>
      <c r="HR82" s="326"/>
      <c r="HS82" s="326"/>
      <c r="HT82" s="326"/>
      <c r="HU82" s="326"/>
      <c r="HV82" s="326"/>
      <c r="HW82" s="326"/>
      <c r="HX82" s="326"/>
      <c r="HY82" s="326"/>
      <c r="HZ82" s="326"/>
      <c r="IA82" s="326"/>
      <c r="IB82" s="326"/>
      <c r="IC82" s="326"/>
      <c r="ID82" s="326"/>
      <c r="IE82" s="326"/>
      <c r="IF82" s="326"/>
      <c r="IG82" s="326"/>
      <c r="IH82" s="326"/>
      <c r="II82" s="326"/>
      <c r="IJ82" s="326"/>
      <c r="IK82" s="326"/>
      <c r="IL82" s="326"/>
      <c r="IM82" s="326"/>
      <c r="IN82" s="326"/>
      <c r="IO82" s="326"/>
      <c r="IP82" s="326"/>
      <c r="IQ82" s="326"/>
      <c r="IR82" s="326"/>
      <c r="IS82" s="326"/>
      <c r="IT82" s="326"/>
      <c r="IU82" s="326"/>
      <c r="IV82" s="326"/>
    </row>
    <row r="83" spans="1:16" ht="22.5" customHeight="1">
      <c r="A83" s="569">
        <v>74</v>
      </c>
      <c r="B83" s="462"/>
      <c r="C83" s="366">
        <v>19</v>
      </c>
      <c r="D83" s="566" t="s">
        <v>444</v>
      </c>
      <c r="E83" s="335"/>
      <c r="F83" s="335"/>
      <c r="G83" s="336"/>
      <c r="H83" s="766" t="s">
        <v>23</v>
      </c>
      <c r="I83" s="1037"/>
      <c r="J83" s="755"/>
      <c r="K83" s="755"/>
      <c r="L83" s="755"/>
      <c r="M83" s="755"/>
      <c r="N83" s="776"/>
      <c r="O83" s="783"/>
      <c r="P83" s="560"/>
    </row>
    <row r="84" spans="1:16" ht="18" customHeight="1">
      <c r="A84" s="569">
        <v>75</v>
      </c>
      <c r="B84" s="462"/>
      <c r="C84" s="366"/>
      <c r="D84" s="1194" t="s">
        <v>283</v>
      </c>
      <c r="E84" s="335">
        <f>F84+G84+O85+P84+76</f>
        <v>23871</v>
      </c>
      <c r="F84" s="335">
        <v>8399</v>
      </c>
      <c r="G84" s="336">
        <v>7278</v>
      </c>
      <c r="H84" s="766"/>
      <c r="I84" s="1037"/>
      <c r="J84" s="755">
        <v>46</v>
      </c>
      <c r="K84" s="755">
        <v>9312</v>
      </c>
      <c r="L84" s="755"/>
      <c r="M84" s="755"/>
      <c r="N84" s="776"/>
      <c r="O84" s="751">
        <f>SUM(I84:N84)</f>
        <v>9358</v>
      </c>
      <c r="P84" s="560"/>
    </row>
    <row r="85" spans="1:16" ht="18" customHeight="1">
      <c r="A85" s="569">
        <v>76</v>
      </c>
      <c r="B85" s="462"/>
      <c r="C85" s="366"/>
      <c r="D85" s="478" t="s">
        <v>757</v>
      </c>
      <c r="E85" s="335"/>
      <c r="F85" s="335"/>
      <c r="G85" s="336"/>
      <c r="H85" s="766"/>
      <c r="I85" s="1004">
        <v>0</v>
      </c>
      <c r="J85" s="1002">
        <v>0</v>
      </c>
      <c r="K85" s="1002">
        <v>8118</v>
      </c>
      <c r="L85" s="1002"/>
      <c r="M85" s="1002"/>
      <c r="N85" s="335"/>
      <c r="O85" s="564">
        <f>SUM(I85:N85)</f>
        <v>8118</v>
      </c>
      <c r="P85" s="560"/>
    </row>
    <row r="86" spans="1:16" ht="18" customHeight="1">
      <c r="A86" s="569">
        <v>77</v>
      </c>
      <c r="B86" s="462"/>
      <c r="C86" s="366"/>
      <c r="D86" s="1090" t="s">
        <v>892</v>
      </c>
      <c r="E86" s="335"/>
      <c r="F86" s="335"/>
      <c r="G86" s="336"/>
      <c r="H86" s="766"/>
      <c r="I86" s="1725">
        <v>257</v>
      </c>
      <c r="J86" s="1724">
        <v>24</v>
      </c>
      <c r="K86" s="1724">
        <v>385</v>
      </c>
      <c r="L86" s="1002"/>
      <c r="M86" s="1002"/>
      <c r="N86" s="335"/>
      <c r="O86" s="1723">
        <f>SUM(I86:N86)</f>
        <v>666</v>
      </c>
      <c r="P86" s="560"/>
    </row>
    <row r="87" spans="1:16" ht="22.5" customHeight="1">
      <c r="A87" s="569">
        <v>78</v>
      </c>
      <c r="B87" s="462"/>
      <c r="C87" s="366">
        <v>20</v>
      </c>
      <c r="D87" s="566" t="s">
        <v>445</v>
      </c>
      <c r="E87" s="335"/>
      <c r="F87" s="335"/>
      <c r="G87" s="336"/>
      <c r="H87" s="766" t="s">
        <v>23</v>
      </c>
      <c r="I87" s="1037"/>
      <c r="J87" s="755"/>
      <c r="K87" s="755"/>
      <c r="L87" s="755"/>
      <c r="M87" s="755"/>
      <c r="N87" s="776"/>
      <c r="O87" s="783"/>
      <c r="P87" s="560"/>
    </row>
    <row r="88" spans="1:16" ht="18" customHeight="1">
      <c r="A88" s="569">
        <v>79</v>
      </c>
      <c r="B88" s="462"/>
      <c r="C88" s="366"/>
      <c r="D88" s="1194" t="s">
        <v>283</v>
      </c>
      <c r="E88" s="335">
        <f>F88+G88+O89+P88</f>
        <v>3071</v>
      </c>
      <c r="F88" s="335"/>
      <c r="G88" s="336"/>
      <c r="H88" s="766"/>
      <c r="I88" s="1037"/>
      <c r="J88" s="755"/>
      <c r="K88" s="755">
        <v>3071</v>
      </c>
      <c r="L88" s="755"/>
      <c r="M88" s="755"/>
      <c r="N88" s="776"/>
      <c r="O88" s="751">
        <f>SUM(I88:N88)</f>
        <v>3071</v>
      </c>
      <c r="P88" s="560"/>
    </row>
    <row r="89" spans="1:16" ht="18" customHeight="1">
      <c r="A89" s="569">
        <v>80</v>
      </c>
      <c r="B89" s="462"/>
      <c r="C89" s="366"/>
      <c r="D89" s="478" t="s">
        <v>757</v>
      </c>
      <c r="E89" s="335"/>
      <c r="F89" s="335"/>
      <c r="G89" s="336"/>
      <c r="H89" s="766"/>
      <c r="I89" s="1037"/>
      <c r="J89" s="755"/>
      <c r="K89" s="1002">
        <v>3071</v>
      </c>
      <c r="L89" s="755"/>
      <c r="M89" s="755"/>
      <c r="N89" s="776"/>
      <c r="O89" s="751">
        <f>SUM(I89:N89)</f>
        <v>3071</v>
      </c>
      <c r="P89" s="560"/>
    </row>
    <row r="90" spans="1:16" ht="18" customHeight="1">
      <c r="A90" s="569">
        <v>81</v>
      </c>
      <c r="B90" s="462"/>
      <c r="C90" s="366"/>
      <c r="D90" s="1090" t="s">
        <v>893</v>
      </c>
      <c r="E90" s="335"/>
      <c r="F90" s="335"/>
      <c r="G90" s="336"/>
      <c r="H90" s="766"/>
      <c r="I90" s="1037"/>
      <c r="J90" s="755"/>
      <c r="K90" s="1724">
        <v>0</v>
      </c>
      <c r="L90" s="1724"/>
      <c r="M90" s="1724"/>
      <c r="N90" s="1724"/>
      <c r="O90" s="1723">
        <f>SUM(I90:N90)</f>
        <v>0</v>
      </c>
      <c r="P90" s="560"/>
    </row>
    <row r="91" spans="1:16" ht="22.5" customHeight="1">
      <c r="A91" s="569">
        <v>82</v>
      </c>
      <c r="B91" s="462"/>
      <c r="C91" s="366">
        <v>21</v>
      </c>
      <c r="D91" s="566" t="s">
        <v>446</v>
      </c>
      <c r="E91" s="335"/>
      <c r="F91" s="335"/>
      <c r="G91" s="336"/>
      <c r="H91" s="766" t="s">
        <v>23</v>
      </c>
      <c r="I91" s="1037"/>
      <c r="J91" s="755"/>
      <c r="K91" s="755"/>
      <c r="L91" s="755"/>
      <c r="M91" s="755"/>
      <c r="N91" s="776"/>
      <c r="O91" s="783"/>
      <c r="P91" s="560"/>
    </row>
    <row r="92" spans="1:16" ht="18" customHeight="1">
      <c r="A92" s="569">
        <v>83</v>
      </c>
      <c r="B92" s="462"/>
      <c r="C92" s="366"/>
      <c r="D92" s="1194" t="s">
        <v>283</v>
      </c>
      <c r="E92" s="335">
        <f>F92+G92+O93+P92+625+5664</f>
        <v>35920</v>
      </c>
      <c r="F92" s="335"/>
      <c r="G92" s="336">
        <f>118+2475</f>
        <v>2593</v>
      </c>
      <c r="H92" s="766"/>
      <c r="I92" s="1037"/>
      <c r="J92" s="755"/>
      <c r="K92" s="755">
        <v>21926</v>
      </c>
      <c r="L92" s="755"/>
      <c r="M92" s="755"/>
      <c r="N92" s="776"/>
      <c r="O92" s="751">
        <f>SUM(I92:N92)</f>
        <v>21926</v>
      </c>
      <c r="P92" s="560">
        <v>10776</v>
      </c>
    </row>
    <row r="93" spans="1:16" ht="18" customHeight="1">
      <c r="A93" s="569">
        <v>84</v>
      </c>
      <c r="B93" s="462"/>
      <c r="C93" s="366"/>
      <c r="D93" s="478" t="s">
        <v>757</v>
      </c>
      <c r="E93" s="335"/>
      <c r="F93" s="335"/>
      <c r="G93" s="336"/>
      <c r="H93" s="766"/>
      <c r="I93" s="1004">
        <v>880</v>
      </c>
      <c r="J93" s="1002">
        <v>123</v>
      </c>
      <c r="K93" s="1002">
        <v>15259</v>
      </c>
      <c r="L93" s="1002"/>
      <c r="M93" s="1002"/>
      <c r="N93" s="335"/>
      <c r="O93" s="564">
        <f>SUM(I93:N93)</f>
        <v>16262</v>
      </c>
      <c r="P93" s="560"/>
    </row>
    <row r="94" spans="1:16" ht="18" customHeight="1">
      <c r="A94" s="569">
        <v>85</v>
      </c>
      <c r="B94" s="462"/>
      <c r="C94" s="366"/>
      <c r="D94" s="1090" t="s">
        <v>892</v>
      </c>
      <c r="E94" s="335"/>
      <c r="F94" s="335"/>
      <c r="G94" s="336"/>
      <c r="H94" s="766"/>
      <c r="I94" s="1725">
        <v>0</v>
      </c>
      <c r="J94" s="1724">
        <v>0</v>
      </c>
      <c r="K94" s="1724">
        <v>0</v>
      </c>
      <c r="L94" s="1002"/>
      <c r="M94" s="1002"/>
      <c r="N94" s="335"/>
      <c r="O94" s="1723">
        <f>SUM(I94:N94)</f>
        <v>0</v>
      </c>
      <c r="P94" s="560"/>
    </row>
    <row r="95" spans="1:16" ht="22.5" customHeight="1">
      <c r="A95" s="569">
        <v>86</v>
      </c>
      <c r="B95" s="462"/>
      <c r="C95" s="366">
        <v>22</v>
      </c>
      <c r="D95" s="566" t="s">
        <v>447</v>
      </c>
      <c r="E95" s="335"/>
      <c r="F95" s="335"/>
      <c r="G95" s="336"/>
      <c r="H95" s="766" t="s">
        <v>23</v>
      </c>
      <c r="I95" s="1037"/>
      <c r="J95" s="755"/>
      <c r="K95" s="755"/>
      <c r="L95" s="755"/>
      <c r="M95" s="755"/>
      <c r="N95" s="776"/>
      <c r="O95" s="783"/>
      <c r="P95" s="560"/>
    </row>
    <row r="96" spans="1:16" ht="18" customHeight="1">
      <c r="A96" s="569">
        <v>87</v>
      </c>
      <c r="B96" s="462"/>
      <c r="C96" s="366"/>
      <c r="D96" s="1194" t="s">
        <v>283</v>
      </c>
      <c r="E96" s="335">
        <f>F96+G96+O97+P96</f>
        <v>55000</v>
      </c>
      <c r="F96" s="335"/>
      <c r="G96" s="336">
        <v>1680</v>
      </c>
      <c r="H96" s="766"/>
      <c r="I96" s="1037"/>
      <c r="J96" s="755"/>
      <c r="K96" s="755">
        <v>295</v>
      </c>
      <c r="L96" s="755"/>
      <c r="M96" s="755">
        <v>53025</v>
      </c>
      <c r="N96" s="776"/>
      <c r="O96" s="751">
        <f>SUM(I96:N96)</f>
        <v>53320</v>
      </c>
      <c r="P96" s="560"/>
    </row>
    <row r="97" spans="1:16" ht="18" customHeight="1">
      <c r="A97" s="569">
        <v>88</v>
      </c>
      <c r="B97" s="462"/>
      <c r="C97" s="366"/>
      <c r="D97" s="478" t="s">
        <v>757</v>
      </c>
      <c r="E97" s="335"/>
      <c r="F97" s="335"/>
      <c r="G97" s="336"/>
      <c r="H97" s="766"/>
      <c r="I97" s="1037"/>
      <c r="J97" s="755"/>
      <c r="K97" s="1002">
        <v>295</v>
      </c>
      <c r="L97" s="1002"/>
      <c r="M97" s="1002">
        <v>53025</v>
      </c>
      <c r="N97" s="335"/>
      <c r="O97" s="564">
        <f>SUM(I97:N97)</f>
        <v>53320</v>
      </c>
      <c r="P97" s="560"/>
    </row>
    <row r="98" spans="1:16" ht="18" customHeight="1">
      <c r="A98" s="569">
        <v>89</v>
      </c>
      <c r="B98" s="462"/>
      <c r="C98" s="366"/>
      <c r="D98" s="1090" t="s">
        <v>893</v>
      </c>
      <c r="E98" s="335"/>
      <c r="F98" s="335"/>
      <c r="G98" s="336"/>
      <c r="H98" s="766"/>
      <c r="I98" s="1037"/>
      <c r="J98" s="755"/>
      <c r="K98" s="1724">
        <v>0</v>
      </c>
      <c r="L98" s="1724"/>
      <c r="M98" s="1724">
        <v>0</v>
      </c>
      <c r="N98" s="1724"/>
      <c r="O98" s="1723">
        <f>SUM(I98:N98)</f>
        <v>0</v>
      </c>
      <c r="P98" s="560"/>
    </row>
    <row r="99" spans="1:16" ht="53.25" customHeight="1">
      <c r="A99" s="569">
        <v>90</v>
      </c>
      <c r="B99" s="462"/>
      <c r="C99" s="327">
        <v>23</v>
      </c>
      <c r="D99" s="785" t="s">
        <v>448</v>
      </c>
      <c r="E99" s="335"/>
      <c r="F99" s="335"/>
      <c r="G99" s="336"/>
      <c r="H99" s="766" t="s">
        <v>23</v>
      </c>
      <c r="I99" s="1037"/>
      <c r="J99" s="755"/>
      <c r="K99" s="755"/>
      <c r="L99" s="755"/>
      <c r="M99" s="755"/>
      <c r="N99" s="776"/>
      <c r="O99" s="783"/>
      <c r="P99" s="560"/>
    </row>
    <row r="100" spans="1:16" ht="18" customHeight="1">
      <c r="A100" s="569">
        <v>91</v>
      </c>
      <c r="B100" s="462"/>
      <c r="C100" s="366"/>
      <c r="D100" s="1194" t="s">
        <v>283</v>
      </c>
      <c r="E100" s="335">
        <f>F100+G100+O101+P100</f>
        <v>19985</v>
      </c>
      <c r="F100" s="335"/>
      <c r="G100" s="336"/>
      <c r="H100" s="766"/>
      <c r="I100" s="1037"/>
      <c r="J100" s="755"/>
      <c r="K100" s="755">
        <v>19985</v>
      </c>
      <c r="L100" s="755"/>
      <c r="M100" s="755"/>
      <c r="N100" s="776"/>
      <c r="O100" s="751">
        <f>SUM(I100:N100)</f>
        <v>19985</v>
      </c>
      <c r="P100" s="560"/>
    </row>
    <row r="101" spans="1:16" ht="18" customHeight="1">
      <c r="A101" s="569">
        <v>92</v>
      </c>
      <c r="B101" s="462"/>
      <c r="C101" s="366"/>
      <c r="D101" s="478" t="s">
        <v>757</v>
      </c>
      <c r="E101" s="335"/>
      <c r="F101" s="335"/>
      <c r="G101" s="336"/>
      <c r="H101" s="766"/>
      <c r="I101" s="1037"/>
      <c r="J101" s="755"/>
      <c r="K101" s="1002">
        <v>19985</v>
      </c>
      <c r="L101" s="1002"/>
      <c r="M101" s="1002"/>
      <c r="N101" s="335"/>
      <c r="O101" s="564">
        <f>SUM(I101:N101)</f>
        <v>19985</v>
      </c>
      <c r="P101" s="560"/>
    </row>
    <row r="102" spans="1:16" ht="18" customHeight="1">
      <c r="A102" s="569">
        <v>93</v>
      </c>
      <c r="B102" s="462"/>
      <c r="C102" s="366"/>
      <c r="D102" s="1090" t="s">
        <v>893</v>
      </c>
      <c r="E102" s="335"/>
      <c r="F102" s="335"/>
      <c r="G102" s="336"/>
      <c r="H102" s="766"/>
      <c r="I102" s="1037"/>
      <c r="J102" s="755"/>
      <c r="K102" s="1724">
        <v>0</v>
      </c>
      <c r="L102" s="1724"/>
      <c r="M102" s="1724"/>
      <c r="N102" s="1724"/>
      <c r="O102" s="1723">
        <f>SUM(I102:N102)</f>
        <v>0</v>
      </c>
      <c r="P102" s="560"/>
    </row>
    <row r="103" spans="1:16" ht="22.5" customHeight="1">
      <c r="A103" s="569">
        <v>94</v>
      </c>
      <c r="B103" s="462"/>
      <c r="C103" s="366">
        <v>24</v>
      </c>
      <c r="D103" s="328" t="s">
        <v>449</v>
      </c>
      <c r="E103" s="335"/>
      <c r="F103" s="335"/>
      <c r="G103" s="336"/>
      <c r="H103" s="766" t="s">
        <v>23</v>
      </c>
      <c r="I103" s="1037"/>
      <c r="J103" s="755"/>
      <c r="K103" s="755"/>
      <c r="L103" s="755"/>
      <c r="M103" s="755"/>
      <c r="N103" s="776"/>
      <c r="O103" s="783"/>
      <c r="P103" s="560"/>
    </row>
    <row r="104" spans="1:16" ht="18" customHeight="1">
      <c r="A104" s="569">
        <v>95</v>
      </c>
      <c r="B104" s="462"/>
      <c r="C104" s="366"/>
      <c r="D104" s="1194" t="s">
        <v>283</v>
      </c>
      <c r="E104" s="335">
        <f>F104+G104+O105+P104</f>
        <v>555</v>
      </c>
      <c r="F104" s="335"/>
      <c r="G104" s="336"/>
      <c r="H104" s="766"/>
      <c r="I104" s="1037"/>
      <c r="J104" s="755"/>
      <c r="K104" s="755">
        <v>155</v>
      </c>
      <c r="L104" s="755">
        <v>400</v>
      </c>
      <c r="M104" s="755"/>
      <c r="N104" s="776"/>
      <c r="O104" s="751">
        <f>SUM(I104:N104)</f>
        <v>555</v>
      </c>
      <c r="P104" s="560"/>
    </row>
    <row r="105" spans="1:16" ht="18" customHeight="1">
      <c r="A105" s="569">
        <v>96</v>
      </c>
      <c r="B105" s="462"/>
      <c r="C105" s="366"/>
      <c r="D105" s="478" t="s">
        <v>757</v>
      </c>
      <c r="E105" s="335"/>
      <c r="F105" s="335"/>
      <c r="G105" s="336"/>
      <c r="H105" s="766"/>
      <c r="I105" s="1037"/>
      <c r="J105" s="755"/>
      <c r="K105" s="1002">
        <v>155</v>
      </c>
      <c r="L105" s="1002">
        <v>400</v>
      </c>
      <c r="M105" s="755"/>
      <c r="N105" s="776"/>
      <c r="O105" s="564">
        <f>SUM(I105:N105)</f>
        <v>555</v>
      </c>
      <c r="P105" s="560"/>
    </row>
    <row r="106" spans="1:16" ht="18" customHeight="1">
      <c r="A106" s="569">
        <v>97</v>
      </c>
      <c r="B106" s="462"/>
      <c r="C106" s="366"/>
      <c r="D106" s="1090" t="s">
        <v>893</v>
      </c>
      <c r="E106" s="335"/>
      <c r="F106" s="335"/>
      <c r="G106" s="336"/>
      <c r="H106" s="766"/>
      <c r="I106" s="1037"/>
      <c r="J106" s="755"/>
      <c r="K106" s="1724">
        <v>0</v>
      </c>
      <c r="L106" s="1724">
        <v>0</v>
      </c>
      <c r="M106" s="1724"/>
      <c r="N106" s="1724"/>
      <c r="O106" s="1723">
        <f>SUM(I106:N106)</f>
        <v>0</v>
      </c>
      <c r="P106" s="560"/>
    </row>
    <row r="107" spans="1:16" ht="53.25" customHeight="1">
      <c r="A107" s="569">
        <v>98</v>
      </c>
      <c r="B107" s="462"/>
      <c r="C107" s="327">
        <v>25</v>
      </c>
      <c r="D107" s="328" t="s">
        <v>594</v>
      </c>
      <c r="E107" s="335"/>
      <c r="F107" s="335"/>
      <c r="G107" s="336"/>
      <c r="H107" s="766" t="s">
        <v>23</v>
      </c>
      <c r="I107" s="1037"/>
      <c r="J107" s="755"/>
      <c r="K107" s="755"/>
      <c r="L107" s="755"/>
      <c r="M107" s="755"/>
      <c r="N107" s="776"/>
      <c r="O107" s="783"/>
      <c r="P107" s="560"/>
    </row>
    <row r="108" spans="1:256" s="555" customFormat="1" ht="18" customHeight="1">
      <c r="A108" s="569">
        <v>99</v>
      </c>
      <c r="B108" s="563"/>
      <c r="C108" s="327"/>
      <c r="D108" s="1194" t="s">
        <v>283</v>
      </c>
      <c r="E108" s="335">
        <f>F108+G108+O109+P108</f>
        <v>1500</v>
      </c>
      <c r="F108" s="335"/>
      <c r="G108" s="336"/>
      <c r="H108" s="766"/>
      <c r="I108" s="1037"/>
      <c r="J108" s="755"/>
      <c r="K108" s="755">
        <v>1500</v>
      </c>
      <c r="L108" s="755"/>
      <c r="M108" s="755"/>
      <c r="N108" s="776"/>
      <c r="O108" s="751">
        <f>SUM(I108:N108)</f>
        <v>1500</v>
      </c>
      <c r="P108" s="560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326"/>
      <c r="AF108" s="326"/>
      <c r="AG108" s="326"/>
      <c r="AH108" s="326"/>
      <c r="AI108" s="326"/>
      <c r="AJ108" s="326"/>
      <c r="AK108" s="326"/>
      <c r="AL108" s="326"/>
      <c r="AM108" s="326"/>
      <c r="AN108" s="326"/>
      <c r="AO108" s="326"/>
      <c r="AP108" s="326"/>
      <c r="AQ108" s="326"/>
      <c r="AR108" s="326"/>
      <c r="AS108" s="326"/>
      <c r="AT108" s="326"/>
      <c r="AU108" s="326"/>
      <c r="AV108" s="326"/>
      <c r="AW108" s="326"/>
      <c r="AX108" s="326"/>
      <c r="AY108" s="326"/>
      <c r="AZ108" s="326"/>
      <c r="BA108" s="326"/>
      <c r="BB108" s="326"/>
      <c r="BC108" s="326"/>
      <c r="BD108" s="326"/>
      <c r="BE108" s="326"/>
      <c r="BF108" s="326"/>
      <c r="BG108" s="326"/>
      <c r="BH108" s="326"/>
      <c r="BI108" s="326"/>
      <c r="BJ108" s="326"/>
      <c r="BK108" s="326"/>
      <c r="BL108" s="326"/>
      <c r="BM108" s="326"/>
      <c r="BN108" s="326"/>
      <c r="BO108" s="326"/>
      <c r="BP108" s="326"/>
      <c r="BQ108" s="326"/>
      <c r="BR108" s="326"/>
      <c r="BS108" s="326"/>
      <c r="BT108" s="326"/>
      <c r="BU108" s="326"/>
      <c r="BV108" s="326"/>
      <c r="BW108" s="326"/>
      <c r="BX108" s="326"/>
      <c r="BY108" s="326"/>
      <c r="BZ108" s="326"/>
      <c r="CA108" s="326"/>
      <c r="CB108" s="326"/>
      <c r="CC108" s="326"/>
      <c r="CD108" s="326"/>
      <c r="CE108" s="326"/>
      <c r="CF108" s="326"/>
      <c r="CG108" s="326"/>
      <c r="CH108" s="326"/>
      <c r="CI108" s="326"/>
      <c r="CJ108" s="326"/>
      <c r="CK108" s="326"/>
      <c r="CL108" s="326"/>
      <c r="CM108" s="326"/>
      <c r="CN108" s="326"/>
      <c r="CO108" s="326"/>
      <c r="CP108" s="326"/>
      <c r="CQ108" s="326"/>
      <c r="CR108" s="326"/>
      <c r="CS108" s="326"/>
      <c r="CT108" s="326"/>
      <c r="CU108" s="326"/>
      <c r="CV108" s="326"/>
      <c r="CW108" s="326"/>
      <c r="CX108" s="326"/>
      <c r="CY108" s="326"/>
      <c r="CZ108" s="326"/>
      <c r="DA108" s="326"/>
      <c r="DB108" s="326"/>
      <c r="DC108" s="326"/>
      <c r="DD108" s="326"/>
      <c r="DE108" s="326"/>
      <c r="DF108" s="326"/>
      <c r="DG108" s="326"/>
      <c r="DH108" s="326"/>
      <c r="DI108" s="326"/>
      <c r="DJ108" s="326"/>
      <c r="DK108" s="326"/>
      <c r="DL108" s="326"/>
      <c r="DM108" s="326"/>
      <c r="DN108" s="326"/>
      <c r="DO108" s="326"/>
      <c r="DP108" s="326"/>
      <c r="DQ108" s="326"/>
      <c r="DR108" s="326"/>
      <c r="DS108" s="326"/>
      <c r="DT108" s="326"/>
      <c r="DU108" s="326"/>
      <c r="DV108" s="326"/>
      <c r="DW108" s="326"/>
      <c r="DX108" s="326"/>
      <c r="DY108" s="326"/>
      <c r="DZ108" s="326"/>
      <c r="EA108" s="326"/>
      <c r="EB108" s="326"/>
      <c r="EC108" s="326"/>
      <c r="ED108" s="326"/>
      <c r="EE108" s="326"/>
      <c r="EF108" s="326"/>
      <c r="EG108" s="326"/>
      <c r="EH108" s="326"/>
      <c r="EI108" s="326"/>
      <c r="EJ108" s="326"/>
      <c r="EK108" s="326"/>
      <c r="EL108" s="326"/>
      <c r="EM108" s="326"/>
      <c r="EN108" s="326"/>
      <c r="EO108" s="326"/>
      <c r="EP108" s="326"/>
      <c r="EQ108" s="326"/>
      <c r="ER108" s="326"/>
      <c r="ES108" s="326"/>
      <c r="ET108" s="326"/>
      <c r="EU108" s="326"/>
      <c r="EV108" s="326"/>
      <c r="EW108" s="326"/>
      <c r="EX108" s="326"/>
      <c r="EY108" s="326"/>
      <c r="EZ108" s="326"/>
      <c r="FA108" s="326"/>
      <c r="FB108" s="326"/>
      <c r="FC108" s="326"/>
      <c r="FD108" s="326"/>
      <c r="FE108" s="326"/>
      <c r="FF108" s="326"/>
      <c r="FG108" s="326"/>
      <c r="FH108" s="326"/>
      <c r="FI108" s="326"/>
      <c r="FJ108" s="326"/>
      <c r="FK108" s="326"/>
      <c r="FL108" s="326"/>
      <c r="FM108" s="326"/>
      <c r="FN108" s="326"/>
      <c r="FO108" s="326"/>
      <c r="FP108" s="326"/>
      <c r="FQ108" s="326"/>
      <c r="FR108" s="326"/>
      <c r="FS108" s="326"/>
      <c r="FT108" s="326"/>
      <c r="FU108" s="326"/>
      <c r="FV108" s="326"/>
      <c r="FW108" s="326"/>
      <c r="FX108" s="326"/>
      <c r="FY108" s="326"/>
      <c r="FZ108" s="326"/>
      <c r="GA108" s="326"/>
      <c r="GB108" s="326"/>
      <c r="GC108" s="326"/>
      <c r="GD108" s="326"/>
      <c r="GE108" s="326"/>
      <c r="GF108" s="326"/>
      <c r="GG108" s="326"/>
      <c r="GH108" s="326"/>
      <c r="GI108" s="326"/>
      <c r="GJ108" s="326"/>
      <c r="GK108" s="326"/>
      <c r="GL108" s="326"/>
      <c r="GM108" s="326"/>
      <c r="GN108" s="326"/>
      <c r="GO108" s="326"/>
      <c r="GP108" s="326"/>
      <c r="GQ108" s="326"/>
      <c r="GR108" s="326"/>
      <c r="GS108" s="326"/>
      <c r="GT108" s="326"/>
      <c r="GU108" s="326"/>
      <c r="GV108" s="326"/>
      <c r="GW108" s="326"/>
      <c r="GX108" s="326"/>
      <c r="GY108" s="326"/>
      <c r="GZ108" s="326"/>
      <c r="HA108" s="326"/>
      <c r="HB108" s="326"/>
      <c r="HC108" s="326"/>
      <c r="HD108" s="326"/>
      <c r="HE108" s="326"/>
      <c r="HF108" s="326"/>
      <c r="HG108" s="326"/>
      <c r="HH108" s="326"/>
      <c r="HI108" s="326"/>
      <c r="HJ108" s="326"/>
      <c r="HK108" s="326"/>
      <c r="HL108" s="326"/>
      <c r="HM108" s="326"/>
      <c r="HN108" s="326"/>
      <c r="HO108" s="326"/>
      <c r="HP108" s="326"/>
      <c r="HQ108" s="326"/>
      <c r="HR108" s="326"/>
      <c r="HS108" s="326"/>
      <c r="HT108" s="326"/>
      <c r="HU108" s="326"/>
      <c r="HV108" s="326"/>
      <c r="HW108" s="326"/>
      <c r="HX108" s="326"/>
      <c r="HY108" s="326"/>
      <c r="HZ108" s="326"/>
      <c r="IA108" s="326"/>
      <c r="IB108" s="326"/>
      <c r="IC108" s="326"/>
      <c r="ID108" s="326"/>
      <c r="IE108" s="326"/>
      <c r="IF108" s="326"/>
      <c r="IG108" s="326"/>
      <c r="IH108" s="326"/>
      <c r="II108" s="326"/>
      <c r="IJ108" s="326"/>
      <c r="IK108" s="326"/>
      <c r="IL108" s="326"/>
      <c r="IM108" s="326"/>
      <c r="IN108" s="326"/>
      <c r="IO108" s="326"/>
      <c r="IP108" s="326"/>
      <c r="IQ108" s="326"/>
      <c r="IR108" s="326"/>
      <c r="IS108" s="326"/>
      <c r="IT108" s="326"/>
      <c r="IU108" s="326"/>
      <c r="IV108" s="326"/>
    </row>
    <row r="109" spans="1:256" s="555" customFormat="1" ht="18" customHeight="1">
      <c r="A109" s="569">
        <v>100</v>
      </c>
      <c r="B109" s="563"/>
      <c r="C109" s="327"/>
      <c r="D109" s="478" t="s">
        <v>757</v>
      </c>
      <c r="E109" s="335"/>
      <c r="F109" s="335"/>
      <c r="G109" s="1198"/>
      <c r="H109" s="766"/>
      <c r="I109" s="1037"/>
      <c r="J109" s="1037"/>
      <c r="K109" s="1004">
        <v>1500</v>
      </c>
      <c r="L109" s="1004"/>
      <c r="M109" s="1004"/>
      <c r="N109" s="1214"/>
      <c r="O109" s="564">
        <f>SUM(I109:N109)</f>
        <v>1500</v>
      </c>
      <c r="P109" s="560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6"/>
      <c r="AG109" s="326"/>
      <c r="AH109" s="326"/>
      <c r="AI109" s="326"/>
      <c r="AJ109" s="326"/>
      <c r="AK109" s="326"/>
      <c r="AL109" s="326"/>
      <c r="AM109" s="326"/>
      <c r="AN109" s="326"/>
      <c r="AO109" s="326"/>
      <c r="AP109" s="326"/>
      <c r="AQ109" s="326"/>
      <c r="AR109" s="326"/>
      <c r="AS109" s="326"/>
      <c r="AT109" s="326"/>
      <c r="AU109" s="326"/>
      <c r="AV109" s="326"/>
      <c r="AW109" s="326"/>
      <c r="AX109" s="326"/>
      <c r="AY109" s="326"/>
      <c r="AZ109" s="326"/>
      <c r="BA109" s="326"/>
      <c r="BB109" s="326"/>
      <c r="BC109" s="326"/>
      <c r="BD109" s="326"/>
      <c r="BE109" s="326"/>
      <c r="BF109" s="326"/>
      <c r="BG109" s="326"/>
      <c r="BH109" s="326"/>
      <c r="BI109" s="326"/>
      <c r="BJ109" s="326"/>
      <c r="BK109" s="326"/>
      <c r="BL109" s="326"/>
      <c r="BM109" s="326"/>
      <c r="BN109" s="326"/>
      <c r="BO109" s="326"/>
      <c r="BP109" s="326"/>
      <c r="BQ109" s="326"/>
      <c r="BR109" s="326"/>
      <c r="BS109" s="326"/>
      <c r="BT109" s="326"/>
      <c r="BU109" s="326"/>
      <c r="BV109" s="326"/>
      <c r="BW109" s="326"/>
      <c r="BX109" s="326"/>
      <c r="BY109" s="326"/>
      <c r="BZ109" s="326"/>
      <c r="CA109" s="326"/>
      <c r="CB109" s="326"/>
      <c r="CC109" s="326"/>
      <c r="CD109" s="326"/>
      <c r="CE109" s="326"/>
      <c r="CF109" s="326"/>
      <c r="CG109" s="326"/>
      <c r="CH109" s="326"/>
      <c r="CI109" s="326"/>
      <c r="CJ109" s="326"/>
      <c r="CK109" s="326"/>
      <c r="CL109" s="326"/>
      <c r="CM109" s="326"/>
      <c r="CN109" s="326"/>
      <c r="CO109" s="326"/>
      <c r="CP109" s="326"/>
      <c r="CQ109" s="326"/>
      <c r="CR109" s="326"/>
      <c r="CS109" s="326"/>
      <c r="CT109" s="326"/>
      <c r="CU109" s="326"/>
      <c r="CV109" s="326"/>
      <c r="CW109" s="326"/>
      <c r="CX109" s="326"/>
      <c r="CY109" s="326"/>
      <c r="CZ109" s="326"/>
      <c r="DA109" s="326"/>
      <c r="DB109" s="326"/>
      <c r="DC109" s="326"/>
      <c r="DD109" s="326"/>
      <c r="DE109" s="326"/>
      <c r="DF109" s="326"/>
      <c r="DG109" s="326"/>
      <c r="DH109" s="326"/>
      <c r="DI109" s="326"/>
      <c r="DJ109" s="326"/>
      <c r="DK109" s="326"/>
      <c r="DL109" s="326"/>
      <c r="DM109" s="326"/>
      <c r="DN109" s="326"/>
      <c r="DO109" s="326"/>
      <c r="DP109" s="326"/>
      <c r="DQ109" s="326"/>
      <c r="DR109" s="326"/>
      <c r="DS109" s="326"/>
      <c r="DT109" s="326"/>
      <c r="DU109" s="326"/>
      <c r="DV109" s="326"/>
      <c r="DW109" s="326"/>
      <c r="DX109" s="326"/>
      <c r="DY109" s="326"/>
      <c r="DZ109" s="326"/>
      <c r="EA109" s="326"/>
      <c r="EB109" s="326"/>
      <c r="EC109" s="326"/>
      <c r="ED109" s="326"/>
      <c r="EE109" s="326"/>
      <c r="EF109" s="326"/>
      <c r="EG109" s="326"/>
      <c r="EH109" s="326"/>
      <c r="EI109" s="326"/>
      <c r="EJ109" s="326"/>
      <c r="EK109" s="326"/>
      <c r="EL109" s="326"/>
      <c r="EM109" s="326"/>
      <c r="EN109" s="326"/>
      <c r="EO109" s="326"/>
      <c r="EP109" s="326"/>
      <c r="EQ109" s="326"/>
      <c r="ER109" s="326"/>
      <c r="ES109" s="326"/>
      <c r="ET109" s="326"/>
      <c r="EU109" s="326"/>
      <c r="EV109" s="326"/>
      <c r="EW109" s="326"/>
      <c r="EX109" s="326"/>
      <c r="EY109" s="326"/>
      <c r="EZ109" s="326"/>
      <c r="FA109" s="326"/>
      <c r="FB109" s="326"/>
      <c r="FC109" s="326"/>
      <c r="FD109" s="326"/>
      <c r="FE109" s="326"/>
      <c r="FF109" s="326"/>
      <c r="FG109" s="326"/>
      <c r="FH109" s="326"/>
      <c r="FI109" s="326"/>
      <c r="FJ109" s="326"/>
      <c r="FK109" s="326"/>
      <c r="FL109" s="326"/>
      <c r="FM109" s="326"/>
      <c r="FN109" s="326"/>
      <c r="FO109" s="326"/>
      <c r="FP109" s="326"/>
      <c r="FQ109" s="326"/>
      <c r="FR109" s="326"/>
      <c r="FS109" s="326"/>
      <c r="FT109" s="326"/>
      <c r="FU109" s="326"/>
      <c r="FV109" s="326"/>
      <c r="FW109" s="326"/>
      <c r="FX109" s="326"/>
      <c r="FY109" s="326"/>
      <c r="FZ109" s="326"/>
      <c r="GA109" s="326"/>
      <c r="GB109" s="326"/>
      <c r="GC109" s="326"/>
      <c r="GD109" s="326"/>
      <c r="GE109" s="326"/>
      <c r="GF109" s="326"/>
      <c r="GG109" s="326"/>
      <c r="GH109" s="326"/>
      <c r="GI109" s="326"/>
      <c r="GJ109" s="326"/>
      <c r="GK109" s="326"/>
      <c r="GL109" s="326"/>
      <c r="GM109" s="326"/>
      <c r="GN109" s="326"/>
      <c r="GO109" s="326"/>
      <c r="GP109" s="326"/>
      <c r="GQ109" s="326"/>
      <c r="GR109" s="326"/>
      <c r="GS109" s="326"/>
      <c r="GT109" s="326"/>
      <c r="GU109" s="326"/>
      <c r="GV109" s="326"/>
      <c r="GW109" s="326"/>
      <c r="GX109" s="326"/>
      <c r="GY109" s="326"/>
      <c r="GZ109" s="326"/>
      <c r="HA109" s="326"/>
      <c r="HB109" s="326"/>
      <c r="HC109" s="326"/>
      <c r="HD109" s="326"/>
      <c r="HE109" s="326"/>
      <c r="HF109" s="326"/>
      <c r="HG109" s="326"/>
      <c r="HH109" s="326"/>
      <c r="HI109" s="326"/>
      <c r="HJ109" s="326"/>
      <c r="HK109" s="326"/>
      <c r="HL109" s="326"/>
      <c r="HM109" s="326"/>
      <c r="HN109" s="326"/>
      <c r="HO109" s="326"/>
      <c r="HP109" s="326"/>
      <c r="HQ109" s="326"/>
      <c r="HR109" s="326"/>
      <c r="HS109" s="326"/>
      <c r="HT109" s="326"/>
      <c r="HU109" s="326"/>
      <c r="HV109" s="326"/>
      <c r="HW109" s="326"/>
      <c r="HX109" s="326"/>
      <c r="HY109" s="326"/>
      <c r="HZ109" s="326"/>
      <c r="IA109" s="326"/>
      <c r="IB109" s="326"/>
      <c r="IC109" s="326"/>
      <c r="ID109" s="326"/>
      <c r="IE109" s="326"/>
      <c r="IF109" s="326"/>
      <c r="IG109" s="326"/>
      <c r="IH109" s="326"/>
      <c r="II109" s="326"/>
      <c r="IJ109" s="326"/>
      <c r="IK109" s="326"/>
      <c r="IL109" s="326"/>
      <c r="IM109" s="326"/>
      <c r="IN109" s="326"/>
      <c r="IO109" s="326"/>
      <c r="IP109" s="326"/>
      <c r="IQ109" s="326"/>
      <c r="IR109" s="326"/>
      <c r="IS109" s="326"/>
      <c r="IT109" s="326"/>
      <c r="IU109" s="326"/>
      <c r="IV109" s="326"/>
    </row>
    <row r="110" spans="1:256" s="555" customFormat="1" ht="18" customHeight="1">
      <c r="A110" s="569">
        <v>101</v>
      </c>
      <c r="B110" s="563"/>
      <c r="C110" s="327"/>
      <c r="D110" s="1092" t="s">
        <v>893</v>
      </c>
      <c r="E110" s="335"/>
      <c r="F110" s="335"/>
      <c r="G110" s="1198"/>
      <c r="H110" s="766"/>
      <c r="I110" s="1037"/>
      <c r="J110" s="1037"/>
      <c r="K110" s="1725">
        <v>0</v>
      </c>
      <c r="L110" s="1725"/>
      <c r="M110" s="1725"/>
      <c r="N110" s="1725"/>
      <c r="O110" s="1723">
        <f>SUM(I110:N110)</f>
        <v>0</v>
      </c>
      <c r="P110" s="560"/>
      <c r="Q110" s="326"/>
      <c r="R110" s="326"/>
      <c r="S110" s="326"/>
      <c r="T110" s="326"/>
      <c r="U110" s="326"/>
      <c r="V110" s="326"/>
      <c r="W110" s="326"/>
      <c r="X110" s="326"/>
      <c r="Y110" s="326"/>
      <c r="Z110" s="326"/>
      <c r="AA110" s="326"/>
      <c r="AB110" s="326"/>
      <c r="AC110" s="326"/>
      <c r="AD110" s="326"/>
      <c r="AE110" s="326"/>
      <c r="AF110" s="326"/>
      <c r="AG110" s="326"/>
      <c r="AH110" s="326"/>
      <c r="AI110" s="326"/>
      <c r="AJ110" s="326"/>
      <c r="AK110" s="326"/>
      <c r="AL110" s="326"/>
      <c r="AM110" s="326"/>
      <c r="AN110" s="326"/>
      <c r="AO110" s="326"/>
      <c r="AP110" s="326"/>
      <c r="AQ110" s="326"/>
      <c r="AR110" s="326"/>
      <c r="AS110" s="326"/>
      <c r="AT110" s="326"/>
      <c r="AU110" s="326"/>
      <c r="AV110" s="326"/>
      <c r="AW110" s="326"/>
      <c r="AX110" s="326"/>
      <c r="AY110" s="326"/>
      <c r="AZ110" s="326"/>
      <c r="BA110" s="326"/>
      <c r="BB110" s="326"/>
      <c r="BC110" s="326"/>
      <c r="BD110" s="326"/>
      <c r="BE110" s="326"/>
      <c r="BF110" s="326"/>
      <c r="BG110" s="326"/>
      <c r="BH110" s="326"/>
      <c r="BI110" s="326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6"/>
      <c r="CA110" s="326"/>
      <c r="CB110" s="326"/>
      <c r="CC110" s="326"/>
      <c r="CD110" s="326"/>
      <c r="CE110" s="326"/>
      <c r="CF110" s="326"/>
      <c r="CG110" s="326"/>
      <c r="CH110" s="326"/>
      <c r="CI110" s="326"/>
      <c r="CJ110" s="326"/>
      <c r="CK110" s="326"/>
      <c r="CL110" s="326"/>
      <c r="CM110" s="326"/>
      <c r="CN110" s="326"/>
      <c r="CO110" s="326"/>
      <c r="CP110" s="326"/>
      <c r="CQ110" s="326"/>
      <c r="CR110" s="326"/>
      <c r="CS110" s="326"/>
      <c r="CT110" s="326"/>
      <c r="CU110" s="326"/>
      <c r="CV110" s="326"/>
      <c r="CW110" s="326"/>
      <c r="CX110" s="326"/>
      <c r="CY110" s="326"/>
      <c r="CZ110" s="326"/>
      <c r="DA110" s="326"/>
      <c r="DB110" s="326"/>
      <c r="DC110" s="326"/>
      <c r="DD110" s="326"/>
      <c r="DE110" s="326"/>
      <c r="DF110" s="326"/>
      <c r="DG110" s="326"/>
      <c r="DH110" s="326"/>
      <c r="DI110" s="326"/>
      <c r="DJ110" s="326"/>
      <c r="DK110" s="326"/>
      <c r="DL110" s="326"/>
      <c r="DM110" s="326"/>
      <c r="DN110" s="326"/>
      <c r="DO110" s="326"/>
      <c r="DP110" s="326"/>
      <c r="DQ110" s="326"/>
      <c r="DR110" s="326"/>
      <c r="DS110" s="326"/>
      <c r="DT110" s="326"/>
      <c r="DU110" s="326"/>
      <c r="DV110" s="326"/>
      <c r="DW110" s="326"/>
      <c r="DX110" s="326"/>
      <c r="DY110" s="326"/>
      <c r="DZ110" s="326"/>
      <c r="EA110" s="326"/>
      <c r="EB110" s="326"/>
      <c r="EC110" s="326"/>
      <c r="ED110" s="326"/>
      <c r="EE110" s="326"/>
      <c r="EF110" s="326"/>
      <c r="EG110" s="326"/>
      <c r="EH110" s="326"/>
      <c r="EI110" s="326"/>
      <c r="EJ110" s="326"/>
      <c r="EK110" s="326"/>
      <c r="EL110" s="326"/>
      <c r="EM110" s="326"/>
      <c r="EN110" s="326"/>
      <c r="EO110" s="326"/>
      <c r="EP110" s="326"/>
      <c r="EQ110" s="326"/>
      <c r="ER110" s="326"/>
      <c r="ES110" s="326"/>
      <c r="ET110" s="326"/>
      <c r="EU110" s="326"/>
      <c r="EV110" s="326"/>
      <c r="EW110" s="326"/>
      <c r="EX110" s="326"/>
      <c r="EY110" s="326"/>
      <c r="EZ110" s="326"/>
      <c r="FA110" s="326"/>
      <c r="FB110" s="326"/>
      <c r="FC110" s="326"/>
      <c r="FD110" s="326"/>
      <c r="FE110" s="326"/>
      <c r="FF110" s="326"/>
      <c r="FG110" s="326"/>
      <c r="FH110" s="326"/>
      <c r="FI110" s="326"/>
      <c r="FJ110" s="326"/>
      <c r="FK110" s="326"/>
      <c r="FL110" s="326"/>
      <c r="FM110" s="326"/>
      <c r="FN110" s="326"/>
      <c r="FO110" s="326"/>
      <c r="FP110" s="326"/>
      <c r="FQ110" s="326"/>
      <c r="FR110" s="326"/>
      <c r="FS110" s="326"/>
      <c r="FT110" s="326"/>
      <c r="FU110" s="326"/>
      <c r="FV110" s="326"/>
      <c r="FW110" s="326"/>
      <c r="FX110" s="326"/>
      <c r="FY110" s="326"/>
      <c r="FZ110" s="326"/>
      <c r="GA110" s="326"/>
      <c r="GB110" s="326"/>
      <c r="GC110" s="326"/>
      <c r="GD110" s="326"/>
      <c r="GE110" s="326"/>
      <c r="GF110" s="326"/>
      <c r="GG110" s="326"/>
      <c r="GH110" s="326"/>
      <c r="GI110" s="326"/>
      <c r="GJ110" s="326"/>
      <c r="GK110" s="326"/>
      <c r="GL110" s="326"/>
      <c r="GM110" s="326"/>
      <c r="GN110" s="326"/>
      <c r="GO110" s="326"/>
      <c r="GP110" s="326"/>
      <c r="GQ110" s="326"/>
      <c r="GR110" s="326"/>
      <c r="GS110" s="326"/>
      <c r="GT110" s="326"/>
      <c r="GU110" s="326"/>
      <c r="GV110" s="326"/>
      <c r="GW110" s="326"/>
      <c r="GX110" s="326"/>
      <c r="GY110" s="326"/>
      <c r="GZ110" s="326"/>
      <c r="HA110" s="326"/>
      <c r="HB110" s="326"/>
      <c r="HC110" s="326"/>
      <c r="HD110" s="326"/>
      <c r="HE110" s="326"/>
      <c r="HF110" s="326"/>
      <c r="HG110" s="326"/>
      <c r="HH110" s="326"/>
      <c r="HI110" s="326"/>
      <c r="HJ110" s="326"/>
      <c r="HK110" s="326"/>
      <c r="HL110" s="326"/>
      <c r="HM110" s="326"/>
      <c r="HN110" s="326"/>
      <c r="HO110" s="326"/>
      <c r="HP110" s="326"/>
      <c r="HQ110" s="326"/>
      <c r="HR110" s="326"/>
      <c r="HS110" s="326"/>
      <c r="HT110" s="326"/>
      <c r="HU110" s="326"/>
      <c r="HV110" s="326"/>
      <c r="HW110" s="326"/>
      <c r="HX110" s="326"/>
      <c r="HY110" s="326"/>
      <c r="HZ110" s="326"/>
      <c r="IA110" s="326"/>
      <c r="IB110" s="326"/>
      <c r="IC110" s="326"/>
      <c r="ID110" s="326"/>
      <c r="IE110" s="326"/>
      <c r="IF110" s="326"/>
      <c r="IG110" s="326"/>
      <c r="IH110" s="326"/>
      <c r="II110" s="326"/>
      <c r="IJ110" s="326"/>
      <c r="IK110" s="326"/>
      <c r="IL110" s="326"/>
      <c r="IM110" s="326"/>
      <c r="IN110" s="326"/>
      <c r="IO110" s="326"/>
      <c r="IP110" s="326"/>
      <c r="IQ110" s="326"/>
      <c r="IR110" s="326"/>
      <c r="IS110" s="326"/>
      <c r="IT110" s="326"/>
      <c r="IU110" s="326"/>
      <c r="IV110" s="326"/>
    </row>
    <row r="111" spans="1:256" s="555" customFormat="1" ht="38.25" customHeight="1">
      <c r="A111" s="569">
        <v>102</v>
      </c>
      <c r="B111" s="563"/>
      <c r="C111" s="327">
        <v>26</v>
      </c>
      <c r="D111" s="785" t="s">
        <v>856</v>
      </c>
      <c r="E111" s="335">
        <f>F111+G111+O112+P113+4436</f>
        <v>8436</v>
      </c>
      <c r="F111" s="335"/>
      <c r="G111" s="1198"/>
      <c r="H111" s="766" t="s">
        <v>23</v>
      </c>
      <c r="I111" s="1037"/>
      <c r="J111" s="1037"/>
      <c r="K111" s="1004"/>
      <c r="L111" s="1037"/>
      <c r="M111" s="1037"/>
      <c r="N111" s="782"/>
      <c r="O111" s="1295"/>
      <c r="P111" s="560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6"/>
      <c r="AF111" s="326"/>
      <c r="AG111" s="326"/>
      <c r="AH111" s="326"/>
      <c r="AI111" s="326"/>
      <c r="AJ111" s="326"/>
      <c r="AK111" s="326"/>
      <c r="AL111" s="326"/>
      <c r="AM111" s="326"/>
      <c r="AN111" s="326"/>
      <c r="AO111" s="326"/>
      <c r="AP111" s="326"/>
      <c r="AQ111" s="326"/>
      <c r="AR111" s="326"/>
      <c r="AS111" s="326"/>
      <c r="AT111" s="326"/>
      <c r="AU111" s="326"/>
      <c r="AV111" s="326"/>
      <c r="AW111" s="326"/>
      <c r="AX111" s="326"/>
      <c r="AY111" s="326"/>
      <c r="AZ111" s="326"/>
      <c r="BA111" s="326"/>
      <c r="BB111" s="326"/>
      <c r="BC111" s="326"/>
      <c r="BD111" s="326"/>
      <c r="BE111" s="326"/>
      <c r="BF111" s="326"/>
      <c r="BG111" s="326"/>
      <c r="BH111" s="326"/>
      <c r="BI111" s="326"/>
      <c r="BJ111" s="326"/>
      <c r="BK111" s="326"/>
      <c r="BL111" s="326"/>
      <c r="BM111" s="326"/>
      <c r="BN111" s="326"/>
      <c r="BO111" s="326"/>
      <c r="BP111" s="326"/>
      <c r="BQ111" s="326"/>
      <c r="BR111" s="326"/>
      <c r="BS111" s="326"/>
      <c r="BT111" s="326"/>
      <c r="BU111" s="326"/>
      <c r="BV111" s="326"/>
      <c r="BW111" s="326"/>
      <c r="BX111" s="326"/>
      <c r="BY111" s="326"/>
      <c r="BZ111" s="326"/>
      <c r="CA111" s="326"/>
      <c r="CB111" s="326"/>
      <c r="CC111" s="326"/>
      <c r="CD111" s="326"/>
      <c r="CE111" s="326"/>
      <c r="CF111" s="326"/>
      <c r="CG111" s="326"/>
      <c r="CH111" s="326"/>
      <c r="CI111" s="326"/>
      <c r="CJ111" s="326"/>
      <c r="CK111" s="326"/>
      <c r="CL111" s="326"/>
      <c r="CM111" s="326"/>
      <c r="CN111" s="326"/>
      <c r="CO111" s="326"/>
      <c r="CP111" s="326"/>
      <c r="CQ111" s="326"/>
      <c r="CR111" s="326"/>
      <c r="CS111" s="326"/>
      <c r="CT111" s="326"/>
      <c r="CU111" s="326"/>
      <c r="CV111" s="326"/>
      <c r="CW111" s="326"/>
      <c r="CX111" s="326"/>
      <c r="CY111" s="326"/>
      <c r="CZ111" s="326"/>
      <c r="DA111" s="326"/>
      <c r="DB111" s="326"/>
      <c r="DC111" s="326"/>
      <c r="DD111" s="326"/>
      <c r="DE111" s="326"/>
      <c r="DF111" s="326"/>
      <c r="DG111" s="326"/>
      <c r="DH111" s="326"/>
      <c r="DI111" s="326"/>
      <c r="DJ111" s="326"/>
      <c r="DK111" s="326"/>
      <c r="DL111" s="326"/>
      <c r="DM111" s="326"/>
      <c r="DN111" s="326"/>
      <c r="DO111" s="326"/>
      <c r="DP111" s="326"/>
      <c r="DQ111" s="326"/>
      <c r="DR111" s="326"/>
      <c r="DS111" s="326"/>
      <c r="DT111" s="326"/>
      <c r="DU111" s="326"/>
      <c r="DV111" s="326"/>
      <c r="DW111" s="326"/>
      <c r="DX111" s="326"/>
      <c r="DY111" s="326"/>
      <c r="DZ111" s="326"/>
      <c r="EA111" s="326"/>
      <c r="EB111" s="326"/>
      <c r="EC111" s="326"/>
      <c r="ED111" s="326"/>
      <c r="EE111" s="326"/>
      <c r="EF111" s="326"/>
      <c r="EG111" s="326"/>
      <c r="EH111" s="326"/>
      <c r="EI111" s="326"/>
      <c r="EJ111" s="326"/>
      <c r="EK111" s="326"/>
      <c r="EL111" s="326"/>
      <c r="EM111" s="326"/>
      <c r="EN111" s="326"/>
      <c r="EO111" s="326"/>
      <c r="EP111" s="326"/>
      <c r="EQ111" s="326"/>
      <c r="ER111" s="326"/>
      <c r="ES111" s="326"/>
      <c r="ET111" s="326"/>
      <c r="EU111" s="326"/>
      <c r="EV111" s="326"/>
      <c r="EW111" s="326"/>
      <c r="EX111" s="326"/>
      <c r="EY111" s="326"/>
      <c r="EZ111" s="326"/>
      <c r="FA111" s="326"/>
      <c r="FB111" s="326"/>
      <c r="FC111" s="326"/>
      <c r="FD111" s="326"/>
      <c r="FE111" s="326"/>
      <c r="FF111" s="326"/>
      <c r="FG111" s="326"/>
      <c r="FH111" s="326"/>
      <c r="FI111" s="326"/>
      <c r="FJ111" s="326"/>
      <c r="FK111" s="326"/>
      <c r="FL111" s="326"/>
      <c r="FM111" s="326"/>
      <c r="FN111" s="326"/>
      <c r="FO111" s="326"/>
      <c r="FP111" s="326"/>
      <c r="FQ111" s="326"/>
      <c r="FR111" s="326"/>
      <c r="FS111" s="326"/>
      <c r="FT111" s="326"/>
      <c r="FU111" s="326"/>
      <c r="FV111" s="326"/>
      <c r="FW111" s="326"/>
      <c r="FX111" s="326"/>
      <c r="FY111" s="326"/>
      <c r="FZ111" s="326"/>
      <c r="GA111" s="326"/>
      <c r="GB111" s="326"/>
      <c r="GC111" s="326"/>
      <c r="GD111" s="326"/>
      <c r="GE111" s="326"/>
      <c r="GF111" s="326"/>
      <c r="GG111" s="326"/>
      <c r="GH111" s="326"/>
      <c r="GI111" s="326"/>
      <c r="GJ111" s="326"/>
      <c r="GK111" s="326"/>
      <c r="GL111" s="326"/>
      <c r="GM111" s="326"/>
      <c r="GN111" s="326"/>
      <c r="GO111" s="326"/>
      <c r="GP111" s="326"/>
      <c r="GQ111" s="326"/>
      <c r="GR111" s="326"/>
      <c r="GS111" s="326"/>
      <c r="GT111" s="326"/>
      <c r="GU111" s="326"/>
      <c r="GV111" s="326"/>
      <c r="GW111" s="326"/>
      <c r="GX111" s="326"/>
      <c r="GY111" s="326"/>
      <c r="GZ111" s="326"/>
      <c r="HA111" s="326"/>
      <c r="HB111" s="326"/>
      <c r="HC111" s="326"/>
      <c r="HD111" s="326"/>
      <c r="HE111" s="326"/>
      <c r="HF111" s="326"/>
      <c r="HG111" s="326"/>
      <c r="HH111" s="326"/>
      <c r="HI111" s="326"/>
      <c r="HJ111" s="326"/>
      <c r="HK111" s="326"/>
      <c r="HL111" s="326"/>
      <c r="HM111" s="326"/>
      <c r="HN111" s="326"/>
      <c r="HO111" s="326"/>
      <c r="HP111" s="326"/>
      <c r="HQ111" s="326"/>
      <c r="HR111" s="326"/>
      <c r="HS111" s="326"/>
      <c r="HT111" s="326"/>
      <c r="HU111" s="326"/>
      <c r="HV111" s="326"/>
      <c r="HW111" s="326"/>
      <c r="HX111" s="326"/>
      <c r="HY111" s="326"/>
      <c r="HZ111" s="326"/>
      <c r="IA111" s="326"/>
      <c r="IB111" s="326"/>
      <c r="IC111" s="326"/>
      <c r="ID111" s="326"/>
      <c r="IE111" s="326"/>
      <c r="IF111" s="326"/>
      <c r="IG111" s="326"/>
      <c r="IH111" s="326"/>
      <c r="II111" s="326"/>
      <c r="IJ111" s="326"/>
      <c r="IK111" s="326"/>
      <c r="IL111" s="326"/>
      <c r="IM111" s="326"/>
      <c r="IN111" s="326"/>
      <c r="IO111" s="326"/>
      <c r="IP111" s="326"/>
      <c r="IQ111" s="326"/>
      <c r="IR111" s="326"/>
      <c r="IS111" s="326"/>
      <c r="IT111" s="326"/>
      <c r="IU111" s="326"/>
      <c r="IV111" s="326"/>
    </row>
    <row r="112" spans="1:256" s="555" customFormat="1" ht="18" customHeight="1">
      <c r="A112" s="569">
        <v>103</v>
      </c>
      <c r="B112" s="563"/>
      <c r="C112" s="327"/>
      <c r="D112" s="478" t="s">
        <v>757</v>
      </c>
      <c r="E112" s="335"/>
      <c r="F112" s="335"/>
      <c r="G112" s="1198"/>
      <c r="H112" s="766"/>
      <c r="I112" s="1037"/>
      <c r="J112" s="1037"/>
      <c r="K112" s="1004">
        <v>4000</v>
      </c>
      <c r="L112" s="1037"/>
      <c r="M112" s="1037"/>
      <c r="N112" s="782"/>
      <c r="O112" s="564">
        <f>SUM(I112:N112)</f>
        <v>4000</v>
      </c>
      <c r="P112" s="560"/>
      <c r="Q112" s="326"/>
      <c r="R112" s="326"/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  <c r="AG112" s="326"/>
      <c r="AH112" s="326"/>
      <c r="AI112" s="326"/>
      <c r="AJ112" s="326"/>
      <c r="AK112" s="326"/>
      <c r="AL112" s="326"/>
      <c r="AM112" s="326"/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/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/>
      <c r="BW112" s="326"/>
      <c r="BX112" s="326"/>
      <c r="BY112" s="326"/>
      <c r="BZ112" s="326"/>
      <c r="CA112" s="326"/>
      <c r="CB112" s="326"/>
      <c r="CC112" s="326"/>
      <c r="CD112" s="326"/>
      <c r="CE112" s="326"/>
      <c r="CF112" s="326"/>
      <c r="CG112" s="326"/>
      <c r="CH112" s="326"/>
      <c r="CI112" s="326"/>
      <c r="CJ112" s="326"/>
      <c r="CK112" s="326"/>
      <c r="CL112" s="326"/>
      <c r="CM112" s="326"/>
      <c r="CN112" s="326"/>
      <c r="CO112" s="326"/>
      <c r="CP112" s="326"/>
      <c r="CQ112" s="326"/>
      <c r="CR112" s="326"/>
      <c r="CS112" s="326"/>
      <c r="CT112" s="326"/>
      <c r="CU112" s="326"/>
      <c r="CV112" s="326"/>
      <c r="CW112" s="326"/>
      <c r="CX112" s="326"/>
      <c r="CY112" s="326"/>
      <c r="CZ112" s="326"/>
      <c r="DA112" s="326"/>
      <c r="DB112" s="326"/>
      <c r="DC112" s="326"/>
      <c r="DD112" s="326"/>
      <c r="DE112" s="326"/>
      <c r="DF112" s="326"/>
      <c r="DG112" s="326"/>
      <c r="DH112" s="326"/>
      <c r="DI112" s="326"/>
      <c r="DJ112" s="326"/>
      <c r="DK112" s="326"/>
      <c r="DL112" s="326"/>
      <c r="DM112" s="326"/>
      <c r="DN112" s="326"/>
      <c r="DO112" s="326"/>
      <c r="DP112" s="326"/>
      <c r="DQ112" s="326"/>
      <c r="DR112" s="326"/>
      <c r="DS112" s="326"/>
      <c r="DT112" s="326"/>
      <c r="DU112" s="326"/>
      <c r="DV112" s="326"/>
      <c r="DW112" s="326"/>
      <c r="DX112" s="326"/>
      <c r="DY112" s="326"/>
      <c r="DZ112" s="326"/>
      <c r="EA112" s="326"/>
      <c r="EB112" s="326"/>
      <c r="EC112" s="326"/>
      <c r="ED112" s="326"/>
      <c r="EE112" s="326"/>
      <c r="EF112" s="326"/>
      <c r="EG112" s="326"/>
      <c r="EH112" s="326"/>
      <c r="EI112" s="326"/>
      <c r="EJ112" s="326"/>
      <c r="EK112" s="326"/>
      <c r="EL112" s="326"/>
      <c r="EM112" s="326"/>
      <c r="EN112" s="326"/>
      <c r="EO112" s="326"/>
      <c r="EP112" s="326"/>
      <c r="EQ112" s="326"/>
      <c r="ER112" s="326"/>
      <c r="ES112" s="326"/>
      <c r="ET112" s="326"/>
      <c r="EU112" s="326"/>
      <c r="EV112" s="326"/>
      <c r="EW112" s="326"/>
      <c r="EX112" s="326"/>
      <c r="EY112" s="326"/>
      <c r="EZ112" s="326"/>
      <c r="FA112" s="326"/>
      <c r="FB112" s="326"/>
      <c r="FC112" s="326"/>
      <c r="FD112" s="326"/>
      <c r="FE112" s="326"/>
      <c r="FF112" s="326"/>
      <c r="FG112" s="326"/>
      <c r="FH112" s="326"/>
      <c r="FI112" s="326"/>
      <c r="FJ112" s="326"/>
      <c r="FK112" s="326"/>
      <c r="FL112" s="326"/>
      <c r="FM112" s="326"/>
      <c r="FN112" s="326"/>
      <c r="FO112" s="326"/>
      <c r="FP112" s="326"/>
      <c r="FQ112" s="326"/>
      <c r="FR112" s="326"/>
      <c r="FS112" s="326"/>
      <c r="FT112" s="326"/>
      <c r="FU112" s="326"/>
      <c r="FV112" s="326"/>
      <c r="FW112" s="326"/>
      <c r="FX112" s="326"/>
      <c r="FY112" s="326"/>
      <c r="FZ112" s="326"/>
      <c r="GA112" s="326"/>
      <c r="GB112" s="326"/>
      <c r="GC112" s="326"/>
      <c r="GD112" s="326"/>
      <c r="GE112" s="326"/>
      <c r="GF112" s="326"/>
      <c r="GG112" s="326"/>
      <c r="GH112" s="326"/>
      <c r="GI112" s="326"/>
      <c r="GJ112" s="326"/>
      <c r="GK112" s="326"/>
      <c r="GL112" s="326"/>
      <c r="GM112" s="326"/>
      <c r="GN112" s="326"/>
      <c r="GO112" s="326"/>
      <c r="GP112" s="326"/>
      <c r="GQ112" s="326"/>
      <c r="GR112" s="326"/>
      <c r="GS112" s="326"/>
      <c r="GT112" s="326"/>
      <c r="GU112" s="326"/>
      <c r="GV112" s="326"/>
      <c r="GW112" s="326"/>
      <c r="GX112" s="326"/>
      <c r="GY112" s="326"/>
      <c r="GZ112" s="326"/>
      <c r="HA112" s="326"/>
      <c r="HB112" s="326"/>
      <c r="HC112" s="326"/>
      <c r="HD112" s="326"/>
      <c r="HE112" s="326"/>
      <c r="HF112" s="326"/>
      <c r="HG112" s="326"/>
      <c r="HH112" s="326"/>
      <c r="HI112" s="326"/>
      <c r="HJ112" s="326"/>
      <c r="HK112" s="326"/>
      <c r="HL112" s="326"/>
      <c r="HM112" s="326"/>
      <c r="HN112" s="326"/>
      <c r="HO112" s="326"/>
      <c r="HP112" s="326"/>
      <c r="HQ112" s="326"/>
      <c r="HR112" s="326"/>
      <c r="HS112" s="326"/>
      <c r="HT112" s="326"/>
      <c r="HU112" s="326"/>
      <c r="HV112" s="326"/>
      <c r="HW112" s="326"/>
      <c r="HX112" s="326"/>
      <c r="HY112" s="326"/>
      <c r="HZ112" s="326"/>
      <c r="IA112" s="326"/>
      <c r="IB112" s="326"/>
      <c r="IC112" s="326"/>
      <c r="ID112" s="326"/>
      <c r="IE112" s="326"/>
      <c r="IF112" s="326"/>
      <c r="IG112" s="326"/>
      <c r="IH112" s="326"/>
      <c r="II112" s="326"/>
      <c r="IJ112" s="326"/>
      <c r="IK112" s="326"/>
      <c r="IL112" s="326"/>
      <c r="IM112" s="326"/>
      <c r="IN112" s="326"/>
      <c r="IO112" s="326"/>
      <c r="IP112" s="326"/>
      <c r="IQ112" s="326"/>
      <c r="IR112" s="326"/>
      <c r="IS112" s="326"/>
      <c r="IT112" s="326"/>
      <c r="IU112" s="326"/>
      <c r="IV112" s="326"/>
    </row>
    <row r="113" spans="1:256" s="555" customFormat="1" ht="18" customHeight="1" thickBot="1">
      <c r="A113" s="569">
        <v>104</v>
      </c>
      <c r="B113" s="563"/>
      <c r="C113" s="327"/>
      <c r="D113" s="1092" t="s">
        <v>892</v>
      </c>
      <c r="E113" s="335"/>
      <c r="F113" s="335"/>
      <c r="G113" s="1198"/>
      <c r="H113" s="766"/>
      <c r="I113" s="1037"/>
      <c r="J113" s="1037"/>
      <c r="K113" s="1725">
        <v>0</v>
      </c>
      <c r="L113" s="1725"/>
      <c r="M113" s="1725"/>
      <c r="N113" s="1725"/>
      <c r="O113" s="1723">
        <f>SUM(I113:N113)</f>
        <v>0</v>
      </c>
      <c r="P113" s="560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6"/>
      <c r="AD113" s="326"/>
      <c r="AE113" s="326"/>
      <c r="AF113" s="326"/>
      <c r="AG113" s="326"/>
      <c r="AH113" s="326"/>
      <c r="AI113" s="326"/>
      <c r="AJ113" s="326"/>
      <c r="AK113" s="326"/>
      <c r="AL113" s="326"/>
      <c r="AM113" s="326"/>
      <c r="AN113" s="326"/>
      <c r="AO113" s="326"/>
      <c r="AP113" s="326"/>
      <c r="AQ113" s="326"/>
      <c r="AR113" s="326"/>
      <c r="AS113" s="326"/>
      <c r="AT113" s="326"/>
      <c r="AU113" s="326"/>
      <c r="AV113" s="326"/>
      <c r="AW113" s="326"/>
      <c r="AX113" s="326"/>
      <c r="AY113" s="326"/>
      <c r="AZ113" s="326"/>
      <c r="BA113" s="326"/>
      <c r="BB113" s="326"/>
      <c r="BC113" s="326"/>
      <c r="BD113" s="326"/>
      <c r="BE113" s="326"/>
      <c r="BF113" s="326"/>
      <c r="BG113" s="326"/>
      <c r="BH113" s="326"/>
      <c r="BI113" s="326"/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326"/>
      <c r="BU113" s="326"/>
      <c r="BV113" s="326"/>
      <c r="BW113" s="326"/>
      <c r="BX113" s="326"/>
      <c r="BY113" s="326"/>
      <c r="BZ113" s="326"/>
      <c r="CA113" s="326"/>
      <c r="CB113" s="326"/>
      <c r="CC113" s="326"/>
      <c r="CD113" s="326"/>
      <c r="CE113" s="326"/>
      <c r="CF113" s="326"/>
      <c r="CG113" s="326"/>
      <c r="CH113" s="326"/>
      <c r="CI113" s="326"/>
      <c r="CJ113" s="326"/>
      <c r="CK113" s="326"/>
      <c r="CL113" s="326"/>
      <c r="CM113" s="326"/>
      <c r="CN113" s="326"/>
      <c r="CO113" s="326"/>
      <c r="CP113" s="326"/>
      <c r="CQ113" s="326"/>
      <c r="CR113" s="326"/>
      <c r="CS113" s="326"/>
      <c r="CT113" s="326"/>
      <c r="CU113" s="326"/>
      <c r="CV113" s="326"/>
      <c r="CW113" s="326"/>
      <c r="CX113" s="326"/>
      <c r="CY113" s="326"/>
      <c r="CZ113" s="326"/>
      <c r="DA113" s="326"/>
      <c r="DB113" s="326"/>
      <c r="DC113" s="326"/>
      <c r="DD113" s="326"/>
      <c r="DE113" s="326"/>
      <c r="DF113" s="326"/>
      <c r="DG113" s="326"/>
      <c r="DH113" s="326"/>
      <c r="DI113" s="326"/>
      <c r="DJ113" s="326"/>
      <c r="DK113" s="326"/>
      <c r="DL113" s="326"/>
      <c r="DM113" s="326"/>
      <c r="DN113" s="326"/>
      <c r="DO113" s="326"/>
      <c r="DP113" s="326"/>
      <c r="DQ113" s="326"/>
      <c r="DR113" s="326"/>
      <c r="DS113" s="326"/>
      <c r="DT113" s="326"/>
      <c r="DU113" s="326"/>
      <c r="DV113" s="326"/>
      <c r="DW113" s="326"/>
      <c r="DX113" s="326"/>
      <c r="DY113" s="326"/>
      <c r="DZ113" s="326"/>
      <c r="EA113" s="326"/>
      <c r="EB113" s="326"/>
      <c r="EC113" s="326"/>
      <c r="ED113" s="326"/>
      <c r="EE113" s="326"/>
      <c r="EF113" s="326"/>
      <c r="EG113" s="326"/>
      <c r="EH113" s="326"/>
      <c r="EI113" s="326"/>
      <c r="EJ113" s="326"/>
      <c r="EK113" s="326"/>
      <c r="EL113" s="326"/>
      <c r="EM113" s="326"/>
      <c r="EN113" s="326"/>
      <c r="EO113" s="326"/>
      <c r="EP113" s="326"/>
      <c r="EQ113" s="326"/>
      <c r="ER113" s="326"/>
      <c r="ES113" s="326"/>
      <c r="ET113" s="326"/>
      <c r="EU113" s="326"/>
      <c r="EV113" s="326"/>
      <c r="EW113" s="326"/>
      <c r="EX113" s="326"/>
      <c r="EY113" s="326"/>
      <c r="EZ113" s="326"/>
      <c r="FA113" s="326"/>
      <c r="FB113" s="326"/>
      <c r="FC113" s="326"/>
      <c r="FD113" s="326"/>
      <c r="FE113" s="326"/>
      <c r="FF113" s="326"/>
      <c r="FG113" s="326"/>
      <c r="FH113" s="326"/>
      <c r="FI113" s="326"/>
      <c r="FJ113" s="326"/>
      <c r="FK113" s="326"/>
      <c r="FL113" s="326"/>
      <c r="FM113" s="326"/>
      <c r="FN113" s="326"/>
      <c r="FO113" s="326"/>
      <c r="FP113" s="326"/>
      <c r="FQ113" s="326"/>
      <c r="FR113" s="326"/>
      <c r="FS113" s="326"/>
      <c r="FT113" s="326"/>
      <c r="FU113" s="326"/>
      <c r="FV113" s="326"/>
      <c r="FW113" s="326"/>
      <c r="FX113" s="326"/>
      <c r="FY113" s="326"/>
      <c r="FZ113" s="326"/>
      <c r="GA113" s="326"/>
      <c r="GB113" s="326"/>
      <c r="GC113" s="326"/>
      <c r="GD113" s="326"/>
      <c r="GE113" s="326"/>
      <c r="GF113" s="326"/>
      <c r="GG113" s="326"/>
      <c r="GH113" s="326"/>
      <c r="GI113" s="326"/>
      <c r="GJ113" s="326"/>
      <c r="GK113" s="326"/>
      <c r="GL113" s="326"/>
      <c r="GM113" s="326"/>
      <c r="GN113" s="326"/>
      <c r="GO113" s="326"/>
      <c r="GP113" s="326"/>
      <c r="GQ113" s="326"/>
      <c r="GR113" s="326"/>
      <c r="GS113" s="326"/>
      <c r="GT113" s="326"/>
      <c r="GU113" s="326"/>
      <c r="GV113" s="326"/>
      <c r="GW113" s="326"/>
      <c r="GX113" s="326"/>
      <c r="GY113" s="326"/>
      <c r="GZ113" s="326"/>
      <c r="HA113" s="326"/>
      <c r="HB113" s="326"/>
      <c r="HC113" s="326"/>
      <c r="HD113" s="326"/>
      <c r="HE113" s="326"/>
      <c r="HF113" s="326"/>
      <c r="HG113" s="326"/>
      <c r="HH113" s="326"/>
      <c r="HI113" s="326"/>
      <c r="HJ113" s="326"/>
      <c r="HK113" s="326"/>
      <c r="HL113" s="326"/>
      <c r="HM113" s="326"/>
      <c r="HN113" s="326"/>
      <c r="HO113" s="326"/>
      <c r="HP113" s="326"/>
      <c r="HQ113" s="326"/>
      <c r="HR113" s="326"/>
      <c r="HS113" s="326"/>
      <c r="HT113" s="326"/>
      <c r="HU113" s="326"/>
      <c r="HV113" s="326"/>
      <c r="HW113" s="326"/>
      <c r="HX113" s="326"/>
      <c r="HY113" s="326"/>
      <c r="HZ113" s="326"/>
      <c r="IA113" s="326"/>
      <c r="IB113" s="326"/>
      <c r="IC113" s="326"/>
      <c r="ID113" s="326"/>
      <c r="IE113" s="326"/>
      <c r="IF113" s="326"/>
      <c r="IG113" s="326"/>
      <c r="IH113" s="326"/>
      <c r="II113" s="326"/>
      <c r="IJ113" s="326"/>
      <c r="IK113" s="326"/>
      <c r="IL113" s="326"/>
      <c r="IM113" s="326"/>
      <c r="IN113" s="326"/>
      <c r="IO113" s="326"/>
      <c r="IP113" s="326"/>
      <c r="IQ113" s="326"/>
      <c r="IR113" s="326"/>
      <c r="IS113" s="326"/>
      <c r="IT113" s="326"/>
      <c r="IU113" s="326"/>
      <c r="IV113" s="326"/>
    </row>
    <row r="114" spans="1:16" s="330" customFormat="1" ht="19.5" customHeight="1">
      <c r="A114" s="569">
        <v>105</v>
      </c>
      <c r="B114" s="2036" t="s">
        <v>13</v>
      </c>
      <c r="C114" s="2037"/>
      <c r="D114" s="2037"/>
      <c r="E114" s="2037"/>
      <c r="F114" s="2037"/>
      <c r="G114" s="2038"/>
      <c r="H114" s="1192"/>
      <c r="I114" s="1338"/>
      <c r="J114" s="1338"/>
      <c r="K114" s="1338"/>
      <c r="L114" s="1338"/>
      <c r="M114" s="1338"/>
      <c r="N114" s="1338"/>
      <c r="O114" s="1338"/>
      <c r="P114" s="1246"/>
    </row>
    <row r="115" spans="1:16" s="330" customFormat="1" ht="19.5" customHeight="1">
      <c r="A115" s="569">
        <v>106</v>
      </c>
      <c r="B115" s="1333"/>
      <c r="C115" s="1334"/>
      <c r="D115" s="2042" t="s">
        <v>283</v>
      </c>
      <c r="E115" s="2043"/>
      <c r="F115" s="2043"/>
      <c r="G115" s="2044"/>
      <c r="H115" s="1339"/>
      <c r="I115" s="1337">
        <f aca="true" t="shared" si="0" ref="I115:N115">I108+I104+I100+I96+I92+I88+I84+I80+I76+I72+I68+I64+I60+I56+I52+I48+I44+I40+I36+I32+I28+I24+I20+I16+I12</f>
        <v>0</v>
      </c>
      <c r="J115" s="1337">
        <f t="shared" si="0"/>
        <v>46</v>
      </c>
      <c r="K115" s="1337">
        <f t="shared" si="0"/>
        <v>190656</v>
      </c>
      <c r="L115" s="1337">
        <f t="shared" si="0"/>
        <v>18309</v>
      </c>
      <c r="M115" s="1337">
        <f t="shared" si="0"/>
        <v>8298320</v>
      </c>
      <c r="N115" s="1337">
        <f t="shared" si="0"/>
        <v>0</v>
      </c>
      <c r="O115" s="1340">
        <f>SUM(I115:N115)</f>
        <v>8507331</v>
      </c>
      <c r="P115" s="1341">
        <f>SUM(P10:P114)</f>
        <v>129714</v>
      </c>
    </row>
    <row r="116" spans="1:16" s="330" customFormat="1" ht="19.5" customHeight="1">
      <c r="A116" s="569">
        <v>107</v>
      </c>
      <c r="B116" s="1333"/>
      <c r="C116" s="1334"/>
      <c r="D116" s="1819" t="s">
        <v>757</v>
      </c>
      <c r="E116" s="1992"/>
      <c r="F116" s="1992"/>
      <c r="G116" s="1993"/>
      <c r="H116" s="1339"/>
      <c r="I116" s="1449">
        <f aca="true" t="shared" si="1" ref="I116:N117">I109+I105+I101+I97+I93+I89+I85+I81+I77+I73+I69+I65+I61+I57+I53+I49+I45+I41+I37+I33+I29+I25+I21+I17+I13+I112</f>
        <v>880</v>
      </c>
      <c r="J116" s="1449">
        <f t="shared" si="1"/>
        <v>123</v>
      </c>
      <c r="K116" s="1449">
        <f t="shared" si="1"/>
        <v>188718</v>
      </c>
      <c r="L116" s="1449">
        <f t="shared" si="1"/>
        <v>18309</v>
      </c>
      <c r="M116" s="1449">
        <f t="shared" si="1"/>
        <v>8290804</v>
      </c>
      <c r="N116" s="1449">
        <f t="shared" si="1"/>
        <v>0</v>
      </c>
      <c r="O116" s="1450">
        <f>SUM(I116:N116)</f>
        <v>8498834</v>
      </c>
      <c r="P116" s="1341"/>
    </row>
    <row r="117" spans="1:16" s="330" customFormat="1" ht="19.5" customHeight="1" thickBot="1">
      <c r="A117" s="569">
        <v>108</v>
      </c>
      <c r="B117" s="1189"/>
      <c r="C117" s="1190"/>
      <c r="D117" s="2045" t="s">
        <v>893</v>
      </c>
      <c r="E117" s="2046"/>
      <c r="F117" s="2046"/>
      <c r="G117" s="2047"/>
      <c r="H117" s="1193"/>
      <c r="I117" s="1726">
        <f t="shared" si="1"/>
        <v>257</v>
      </c>
      <c r="J117" s="1726">
        <f t="shared" si="1"/>
        <v>24</v>
      </c>
      <c r="K117" s="1726">
        <f t="shared" si="1"/>
        <v>6945</v>
      </c>
      <c r="L117" s="1726">
        <f t="shared" si="1"/>
        <v>284</v>
      </c>
      <c r="M117" s="1726">
        <f t="shared" si="1"/>
        <v>1002071</v>
      </c>
      <c r="N117" s="1726">
        <f t="shared" si="1"/>
        <v>0</v>
      </c>
      <c r="O117" s="1727">
        <f>SUM(I117:N117)</f>
        <v>1009581</v>
      </c>
      <c r="P117" s="1191"/>
    </row>
    <row r="118" spans="2:15" ht="18" customHeight="1">
      <c r="B118" s="561" t="s">
        <v>26</v>
      </c>
      <c r="C118" s="562"/>
      <c r="D118" s="561"/>
      <c r="E118" s="337"/>
      <c r="F118" s="338"/>
      <c r="G118" s="337"/>
      <c r="H118" s="548"/>
      <c r="I118" s="337"/>
      <c r="J118" s="337"/>
      <c r="K118" s="337"/>
      <c r="L118" s="337"/>
      <c r="M118" s="337"/>
      <c r="N118" s="337"/>
      <c r="O118" s="571"/>
    </row>
    <row r="119" spans="2:15" ht="18" customHeight="1">
      <c r="B119" s="561" t="s">
        <v>27</v>
      </c>
      <c r="C119" s="562"/>
      <c r="D119" s="561"/>
      <c r="E119" s="466"/>
      <c r="F119" s="338"/>
      <c r="G119" s="337"/>
      <c r="H119" s="548"/>
      <c r="I119" s="337"/>
      <c r="J119" s="337"/>
      <c r="K119" s="337"/>
      <c r="L119" s="337"/>
      <c r="M119" s="337"/>
      <c r="N119" s="337"/>
      <c r="O119" s="571"/>
    </row>
    <row r="120" spans="2:15" ht="18" customHeight="1">
      <c r="B120" s="561" t="s">
        <v>28</v>
      </c>
      <c r="C120" s="562"/>
      <c r="D120" s="561"/>
      <c r="E120" s="466"/>
      <c r="F120" s="338"/>
      <c r="G120" s="337"/>
      <c r="H120" s="548"/>
      <c r="I120" s="337"/>
      <c r="J120" s="337"/>
      <c r="K120" s="337"/>
      <c r="L120" s="337"/>
      <c r="M120" s="337"/>
      <c r="N120" s="337"/>
      <c r="O120" s="571"/>
    </row>
    <row r="121" spans="2:3" ht="17.25">
      <c r="B121" s="334" t="s">
        <v>417</v>
      </c>
      <c r="C121" s="334"/>
    </row>
  </sheetData>
  <sheetProtection/>
  <mergeCells count="21">
    <mergeCell ref="D117:G117"/>
    <mergeCell ref="D116:G116"/>
    <mergeCell ref="Q7:R7"/>
    <mergeCell ref="I2:P2"/>
    <mergeCell ref="B7:B9"/>
    <mergeCell ref="E7:E9"/>
    <mergeCell ref="A3:P3"/>
    <mergeCell ref="A4:P4"/>
    <mergeCell ref="D7:D9"/>
    <mergeCell ref="F7:F9"/>
    <mergeCell ref="G7:G9"/>
    <mergeCell ref="I7:O7"/>
    <mergeCell ref="P7:P9"/>
    <mergeCell ref="I8:L8"/>
    <mergeCell ref="M8:N8"/>
    <mergeCell ref="O8:O9"/>
    <mergeCell ref="B1:M1"/>
    <mergeCell ref="B114:G114"/>
    <mergeCell ref="C7:C9"/>
    <mergeCell ref="H7:H9"/>
    <mergeCell ref="D115:G11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57" r:id="rId3"/>
  <headerFooter>
    <oddFooter>&amp;C- &amp;P -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88"/>
  <sheetViews>
    <sheetView view="pageBreakPreview" zoomScaleSheetLayoutView="100" zoomScalePageLayoutView="0" workbookViewId="0" topLeftCell="E1">
      <selection activeCell="B1" sqref="B1:M1"/>
    </sheetView>
  </sheetViews>
  <sheetFormatPr defaultColWidth="9.125" defaultRowHeight="12.75"/>
  <cols>
    <col min="1" max="1" width="3.75390625" style="547" customWidth="1"/>
    <col min="2" max="3" width="5.75390625" style="674" customWidth="1"/>
    <col min="4" max="4" width="62.75390625" style="326" customWidth="1"/>
    <col min="5" max="5" width="12.75390625" style="673" customWidth="1"/>
    <col min="6" max="6" width="10.75390625" style="673" customWidth="1"/>
    <col min="7" max="7" width="10.75390625" style="1307" customWidth="1"/>
    <col min="8" max="8" width="6.75390625" style="550" customWidth="1"/>
    <col min="9" max="14" width="14.875" style="673" customWidth="1"/>
    <col min="15" max="15" width="15.75390625" style="570" customWidth="1"/>
    <col min="16" max="16" width="13.875" style="673" customWidth="1"/>
    <col min="17" max="16384" width="9.125" style="326" customWidth="1"/>
  </cols>
  <sheetData>
    <row r="1" spans="2:16" ht="17.25">
      <c r="B1" s="1799" t="s">
        <v>963</v>
      </c>
      <c r="C1" s="1799"/>
      <c r="D1" s="1799"/>
      <c r="E1" s="1799"/>
      <c r="F1" s="1799"/>
      <c r="G1" s="1799"/>
      <c r="H1" s="1799"/>
      <c r="I1" s="1799"/>
      <c r="J1" s="1799"/>
      <c r="K1" s="1799"/>
      <c r="L1" s="1799"/>
      <c r="M1" s="1799"/>
      <c r="N1" s="1298"/>
      <c r="P1" s="1298"/>
    </row>
    <row r="2" spans="1:250" ht="18" customHeight="1">
      <c r="A2" s="326"/>
      <c r="B2" s="1299"/>
      <c r="C2" s="1299"/>
      <c r="D2" s="1299"/>
      <c r="E2" s="466"/>
      <c r="F2" s="466"/>
      <c r="G2" s="466"/>
      <c r="H2" s="548"/>
      <c r="I2" s="1989"/>
      <c r="J2" s="1989"/>
      <c r="K2" s="1989"/>
      <c r="L2" s="1989"/>
      <c r="M2" s="1989"/>
      <c r="N2" s="1989"/>
      <c r="O2" s="1989"/>
      <c r="P2" s="198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549"/>
      <c r="AY2" s="549"/>
      <c r="AZ2" s="549"/>
      <c r="BA2" s="549"/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49"/>
      <c r="BM2" s="549"/>
      <c r="BN2" s="549"/>
      <c r="BO2" s="549"/>
      <c r="BP2" s="549"/>
      <c r="BQ2" s="549"/>
      <c r="BR2" s="549"/>
      <c r="BS2" s="549"/>
      <c r="BT2" s="549"/>
      <c r="BU2" s="549"/>
      <c r="BV2" s="549"/>
      <c r="BW2" s="549"/>
      <c r="BX2" s="549"/>
      <c r="BY2" s="549"/>
      <c r="BZ2" s="549"/>
      <c r="CA2" s="549"/>
      <c r="CB2" s="549"/>
      <c r="CC2" s="549"/>
      <c r="CD2" s="549"/>
      <c r="CE2" s="549"/>
      <c r="CF2" s="549"/>
      <c r="CG2" s="549"/>
      <c r="CH2" s="549"/>
      <c r="CI2" s="549"/>
      <c r="CJ2" s="549"/>
      <c r="CK2" s="549"/>
      <c r="CL2" s="549"/>
      <c r="CM2" s="549"/>
      <c r="CN2" s="549"/>
      <c r="CO2" s="549"/>
      <c r="CP2" s="549"/>
      <c r="CQ2" s="549"/>
      <c r="CR2" s="549"/>
      <c r="CS2" s="549"/>
      <c r="CT2" s="549"/>
      <c r="CU2" s="549"/>
      <c r="CV2" s="549"/>
      <c r="CW2" s="549"/>
      <c r="CX2" s="549"/>
      <c r="CY2" s="549"/>
      <c r="CZ2" s="549"/>
      <c r="DA2" s="549"/>
      <c r="DB2" s="549"/>
      <c r="DC2" s="549"/>
      <c r="DD2" s="549"/>
      <c r="DE2" s="549"/>
      <c r="DF2" s="549"/>
      <c r="DG2" s="549"/>
      <c r="DH2" s="549"/>
      <c r="DI2" s="549"/>
      <c r="DJ2" s="549"/>
      <c r="DK2" s="549"/>
      <c r="DL2" s="549"/>
      <c r="DM2" s="549"/>
      <c r="DN2" s="549"/>
      <c r="DO2" s="549"/>
      <c r="DP2" s="549"/>
      <c r="DQ2" s="549"/>
      <c r="DR2" s="549"/>
      <c r="DS2" s="549"/>
      <c r="DT2" s="549"/>
      <c r="DU2" s="549"/>
      <c r="DV2" s="549"/>
      <c r="DW2" s="549"/>
      <c r="DX2" s="549"/>
      <c r="DY2" s="549"/>
      <c r="DZ2" s="549"/>
      <c r="EA2" s="549"/>
      <c r="EB2" s="549"/>
      <c r="EC2" s="549"/>
      <c r="ED2" s="549"/>
      <c r="EE2" s="549"/>
      <c r="EF2" s="549"/>
      <c r="EG2" s="549"/>
      <c r="EH2" s="549"/>
      <c r="EI2" s="549"/>
      <c r="EJ2" s="549"/>
      <c r="EK2" s="549"/>
      <c r="EL2" s="549"/>
      <c r="EM2" s="549"/>
      <c r="EN2" s="549"/>
      <c r="EO2" s="549"/>
      <c r="EP2" s="549"/>
      <c r="EQ2" s="549"/>
      <c r="ER2" s="549"/>
      <c r="ES2" s="549"/>
      <c r="ET2" s="549"/>
      <c r="EU2" s="549"/>
      <c r="EV2" s="549"/>
      <c r="EW2" s="549"/>
      <c r="EX2" s="549"/>
      <c r="EY2" s="549"/>
      <c r="EZ2" s="549"/>
      <c r="FA2" s="549"/>
      <c r="FB2" s="549"/>
      <c r="FC2" s="549"/>
      <c r="FD2" s="549"/>
      <c r="FE2" s="549"/>
      <c r="FF2" s="549"/>
      <c r="FG2" s="549"/>
      <c r="FH2" s="549"/>
      <c r="FI2" s="549"/>
      <c r="FJ2" s="549"/>
      <c r="FK2" s="549"/>
      <c r="FL2" s="549"/>
      <c r="FM2" s="549"/>
      <c r="FN2" s="549"/>
      <c r="FO2" s="549"/>
      <c r="FP2" s="549"/>
      <c r="FQ2" s="549"/>
      <c r="FR2" s="549"/>
      <c r="FS2" s="549"/>
      <c r="FT2" s="549"/>
      <c r="FU2" s="549"/>
      <c r="FV2" s="549"/>
      <c r="FW2" s="549"/>
      <c r="FX2" s="549"/>
      <c r="FY2" s="549"/>
      <c r="FZ2" s="549"/>
      <c r="GA2" s="549"/>
      <c r="GB2" s="549"/>
      <c r="GC2" s="549"/>
      <c r="GD2" s="549"/>
      <c r="GE2" s="549"/>
      <c r="GF2" s="549"/>
      <c r="GG2" s="549"/>
      <c r="GH2" s="549"/>
      <c r="GI2" s="549"/>
      <c r="GJ2" s="549"/>
      <c r="GK2" s="549"/>
      <c r="GL2" s="549"/>
      <c r="GM2" s="549"/>
      <c r="GN2" s="549"/>
      <c r="GO2" s="549"/>
      <c r="GP2" s="549"/>
      <c r="GQ2" s="549"/>
      <c r="GR2" s="549"/>
      <c r="GS2" s="549"/>
      <c r="GT2" s="549"/>
      <c r="GU2" s="549"/>
      <c r="GV2" s="549"/>
      <c r="GW2" s="549"/>
      <c r="GX2" s="549"/>
      <c r="GY2" s="549"/>
      <c r="GZ2" s="549"/>
      <c r="HA2" s="549"/>
      <c r="HB2" s="549"/>
      <c r="HC2" s="549"/>
      <c r="HD2" s="549"/>
      <c r="HE2" s="549"/>
      <c r="HF2" s="549"/>
      <c r="HG2" s="549"/>
      <c r="HH2" s="549"/>
      <c r="HI2" s="549"/>
      <c r="HJ2" s="549"/>
      <c r="HK2" s="549"/>
      <c r="HL2" s="549"/>
      <c r="HM2" s="549"/>
      <c r="HN2" s="549"/>
      <c r="HO2" s="549"/>
      <c r="HP2" s="549"/>
      <c r="HQ2" s="549"/>
      <c r="HR2" s="549"/>
      <c r="HS2" s="549"/>
      <c r="HT2" s="549"/>
      <c r="HU2" s="549"/>
      <c r="HV2" s="549"/>
      <c r="HW2" s="549"/>
      <c r="HX2" s="549"/>
      <c r="HY2" s="549"/>
      <c r="HZ2" s="549"/>
      <c r="IA2" s="549"/>
      <c r="IB2" s="549"/>
      <c r="IC2" s="549"/>
      <c r="ID2" s="549"/>
      <c r="IE2" s="549"/>
      <c r="IF2" s="549"/>
      <c r="IG2" s="549"/>
      <c r="IH2" s="549"/>
      <c r="II2" s="549"/>
      <c r="IJ2" s="549"/>
      <c r="IK2" s="549"/>
      <c r="IL2" s="549"/>
      <c r="IM2" s="549"/>
      <c r="IN2" s="549"/>
      <c r="IO2" s="549"/>
      <c r="IP2" s="549"/>
    </row>
    <row r="3" spans="1:16" ht="24.75" customHeight="1">
      <c r="A3" s="1998" t="s">
        <v>14</v>
      </c>
      <c r="B3" s="1998"/>
      <c r="C3" s="1998"/>
      <c r="D3" s="1998"/>
      <c r="E3" s="1998"/>
      <c r="F3" s="1998"/>
      <c r="G3" s="1998"/>
      <c r="H3" s="1998"/>
      <c r="I3" s="1998"/>
      <c r="J3" s="1998"/>
      <c r="K3" s="1998"/>
      <c r="L3" s="1998"/>
      <c r="M3" s="1998"/>
      <c r="N3" s="1998"/>
      <c r="O3" s="1998"/>
      <c r="P3" s="1998"/>
    </row>
    <row r="4" spans="1:16" ht="24.75" customHeight="1">
      <c r="A4" s="2055" t="s">
        <v>901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</row>
    <row r="5" spans="1:16" s="738" customFormat="1" ht="18" customHeight="1">
      <c r="A5" s="547"/>
      <c r="B5" s="547"/>
      <c r="C5" s="547"/>
      <c r="E5" s="506"/>
      <c r="F5" s="506"/>
      <c r="G5" s="506"/>
      <c r="H5" s="739"/>
      <c r="I5" s="506"/>
      <c r="J5" s="506"/>
      <c r="K5" s="506"/>
      <c r="L5" s="506"/>
      <c r="M5" s="506"/>
      <c r="N5" s="506"/>
      <c r="O5" s="740"/>
      <c r="P5" s="512" t="s">
        <v>0</v>
      </c>
    </row>
    <row r="6" spans="1:250" s="744" customFormat="1" ht="18" customHeight="1" thickBot="1">
      <c r="A6" s="741"/>
      <c r="B6" s="742" t="s">
        <v>1</v>
      </c>
      <c r="C6" s="743" t="s">
        <v>3</v>
      </c>
      <c r="D6" s="743" t="s">
        <v>2</v>
      </c>
      <c r="E6" s="743" t="s">
        <v>4</v>
      </c>
      <c r="F6" s="743" t="s">
        <v>5</v>
      </c>
      <c r="G6" s="743" t="s">
        <v>15</v>
      </c>
      <c r="H6" s="743" t="s">
        <v>16</v>
      </c>
      <c r="I6" s="743" t="s">
        <v>17</v>
      </c>
      <c r="J6" s="743" t="s">
        <v>33</v>
      </c>
      <c r="K6" s="743" t="s">
        <v>29</v>
      </c>
      <c r="L6" s="743" t="s">
        <v>22</v>
      </c>
      <c r="M6" s="743" t="s">
        <v>34</v>
      </c>
      <c r="N6" s="743" t="s">
        <v>35</v>
      </c>
      <c r="O6" s="743" t="s">
        <v>145</v>
      </c>
      <c r="P6" s="743" t="s">
        <v>146</v>
      </c>
      <c r="Q6" s="741"/>
      <c r="R6" s="741"/>
      <c r="S6" s="741"/>
      <c r="T6" s="741"/>
      <c r="U6" s="741"/>
      <c r="V6" s="741"/>
      <c r="W6" s="741"/>
      <c r="X6" s="741"/>
      <c r="Y6" s="741"/>
      <c r="Z6" s="741"/>
      <c r="AA6" s="741"/>
      <c r="AB6" s="741"/>
      <c r="AC6" s="741"/>
      <c r="AD6" s="741"/>
      <c r="AE6" s="741"/>
      <c r="AF6" s="741"/>
      <c r="AG6" s="741"/>
      <c r="AH6" s="741"/>
      <c r="AI6" s="741"/>
      <c r="AJ6" s="741"/>
      <c r="AK6" s="741"/>
      <c r="AL6" s="741"/>
      <c r="AM6" s="741"/>
      <c r="AN6" s="741"/>
      <c r="AO6" s="741"/>
      <c r="AP6" s="741"/>
      <c r="AQ6" s="741"/>
      <c r="AR6" s="741"/>
      <c r="AS6" s="741"/>
      <c r="AT6" s="741"/>
      <c r="AU6" s="741"/>
      <c r="AV6" s="741"/>
      <c r="AW6" s="741"/>
      <c r="AX6" s="741"/>
      <c r="AY6" s="741"/>
      <c r="AZ6" s="741"/>
      <c r="BA6" s="741"/>
      <c r="BB6" s="741"/>
      <c r="BC6" s="741"/>
      <c r="BD6" s="741"/>
      <c r="BE6" s="741"/>
      <c r="BF6" s="741"/>
      <c r="BG6" s="741"/>
      <c r="BH6" s="741"/>
      <c r="BI6" s="741"/>
      <c r="BJ6" s="741"/>
      <c r="BK6" s="741"/>
      <c r="BL6" s="741"/>
      <c r="BM6" s="741"/>
      <c r="BN6" s="741"/>
      <c r="BO6" s="741"/>
      <c r="BP6" s="741"/>
      <c r="BQ6" s="741"/>
      <c r="BR6" s="741"/>
      <c r="BS6" s="741"/>
      <c r="BT6" s="741"/>
      <c r="BU6" s="741"/>
      <c r="BV6" s="741"/>
      <c r="BW6" s="741"/>
      <c r="BX6" s="741"/>
      <c r="BY6" s="741"/>
      <c r="BZ6" s="741"/>
      <c r="CA6" s="741"/>
      <c r="CB6" s="741"/>
      <c r="CC6" s="741"/>
      <c r="CD6" s="741"/>
      <c r="CE6" s="741"/>
      <c r="CF6" s="741"/>
      <c r="CG6" s="741"/>
      <c r="CH6" s="741"/>
      <c r="CI6" s="741"/>
      <c r="CJ6" s="741"/>
      <c r="CK6" s="741"/>
      <c r="CL6" s="741"/>
      <c r="CM6" s="741"/>
      <c r="CN6" s="741"/>
      <c r="CO6" s="741"/>
      <c r="CP6" s="741"/>
      <c r="CQ6" s="741"/>
      <c r="CR6" s="741"/>
      <c r="CS6" s="741"/>
      <c r="CT6" s="741"/>
      <c r="CU6" s="741"/>
      <c r="CV6" s="741"/>
      <c r="CW6" s="741"/>
      <c r="CX6" s="741"/>
      <c r="CY6" s="741"/>
      <c r="CZ6" s="741"/>
      <c r="DA6" s="741"/>
      <c r="DB6" s="741"/>
      <c r="DC6" s="741"/>
      <c r="DD6" s="741"/>
      <c r="DE6" s="741"/>
      <c r="DF6" s="741"/>
      <c r="DG6" s="741"/>
      <c r="DH6" s="741"/>
      <c r="DI6" s="741"/>
      <c r="DJ6" s="741"/>
      <c r="DK6" s="741"/>
      <c r="DL6" s="741"/>
      <c r="DM6" s="741"/>
      <c r="DN6" s="741"/>
      <c r="DO6" s="741"/>
      <c r="DP6" s="741"/>
      <c r="DQ6" s="741"/>
      <c r="DR6" s="741"/>
      <c r="DS6" s="741"/>
      <c r="DT6" s="741"/>
      <c r="DU6" s="741"/>
      <c r="DV6" s="741"/>
      <c r="DW6" s="741"/>
      <c r="DX6" s="741"/>
      <c r="DY6" s="741"/>
      <c r="DZ6" s="741"/>
      <c r="EA6" s="741"/>
      <c r="EB6" s="741"/>
      <c r="EC6" s="741"/>
      <c r="ED6" s="741"/>
      <c r="EE6" s="741"/>
      <c r="EF6" s="741"/>
      <c r="EG6" s="741"/>
      <c r="EH6" s="741"/>
      <c r="EI6" s="741"/>
      <c r="EJ6" s="741"/>
      <c r="EK6" s="741"/>
      <c r="EL6" s="741"/>
      <c r="EM6" s="741"/>
      <c r="EN6" s="741"/>
      <c r="EO6" s="741"/>
      <c r="EP6" s="741"/>
      <c r="EQ6" s="741"/>
      <c r="ER6" s="741"/>
      <c r="ES6" s="741"/>
      <c r="ET6" s="741"/>
      <c r="EU6" s="741"/>
      <c r="EV6" s="741"/>
      <c r="EW6" s="741"/>
      <c r="EX6" s="741"/>
      <c r="EY6" s="741"/>
      <c r="EZ6" s="741"/>
      <c r="FA6" s="741"/>
      <c r="FB6" s="741"/>
      <c r="FC6" s="741"/>
      <c r="FD6" s="741"/>
      <c r="FE6" s="741"/>
      <c r="FF6" s="741"/>
      <c r="FG6" s="741"/>
      <c r="FH6" s="741"/>
      <c r="FI6" s="741"/>
      <c r="FJ6" s="741"/>
      <c r="FK6" s="741"/>
      <c r="FL6" s="741"/>
      <c r="FM6" s="741"/>
      <c r="FN6" s="741"/>
      <c r="FO6" s="741"/>
      <c r="FP6" s="741"/>
      <c r="FQ6" s="741"/>
      <c r="FR6" s="741"/>
      <c r="FS6" s="741"/>
      <c r="FT6" s="741"/>
      <c r="FU6" s="741"/>
      <c r="FV6" s="741"/>
      <c r="FW6" s="741"/>
      <c r="FX6" s="741"/>
      <c r="FY6" s="741"/>
      <c r="FZ6" s="741"/>
      <c r="GA6" s="741"/>
      <c r="GB6" s="741"/>
      <c r="GC6" s="741"/>
      <c r="GD6" s="741"/>
      <c r="GE6" s="741"/>
      <c r="GF6" s="741"/>
      <c r="GG6" s="741"/>
      <c r="GH6" s="741"/>
      <c r="GI6" s="741"/>
      <c r="GJ6" s="741"/>
      <c r="GK6" s="741"/>
      <c r="GL6" s="741"/>
      <c r="GM6" s="741"/>
      <c r="GN6" s="741"/>
      <c r="GO6" s="741"/>
      <c r="GP6" s="741"/>
      <c r="GQ6" s="741"/>
      <c r="GR6" s="741"/>
      <c r="GS6" s="741"/>
      <c r="GT6" s="741"/>
      <c r="GU6" s="741"/>
      <c r="GV6" s="741"/>
      <c r="GW6" s="741"/>
      <c r="GX6" s="741"/>
      <c r="GY6" s="741"/>
      <c r="GZ6" s="741"/>
      <c r="HA6" s="741"/>
      <c r="HB6" s="741"/>
      <c r="HC6" s="741"/>
      <c r="HD6" s="741"/>
      <c r="HE6" s="741"/>
      <c r="HF6" s="741"/>
      <c r="HG6" s="741"/>
      <c r="HH6" s="741"/>
      <c r="HI6" s="741"/>
      <c r="HJ6" s="741"/>
      <c r="HK6" s="741"/>
      <c r="HL6" s="741"/>
      <c r="HM6" s="741"/>
      <c r="HN6" s="741"/>
      <c r="HO6" s="741"/>
      <c r="HP6" s="741"/>
      <c r="HQ6" s="741"/>
      <c r="HR6" s="741"/>
      <c r="HS6" s="741"/>
      <c r="HT6" s="741"/>
      <c r="HU6" s="741"/>
      <c r="HV6" s="741"/>
      <c r="HW6" s="741"/>
      <c r="HX6" s="741"/>
      <c r="HY6" s="741"/>
      <c r="HZ6" s="741"/>
      <c r="IA6" s="741"/>
      <c r="IB6" s="741"/>
      <c r="IC6" s="741"/>
      <c r="ID6" s="741"/>
      <c r="IE6" s="741"/>
      <c r="IF6" s="741"/>
      <c r="IG6" s="741"/>
      <c r="IH6" s="741"/>
      <c r="II6" s="741"/>
      <c r="IJ6" s="741"/>
      <c r="IK6" s="741"/>
      <c r="IL6" s="741"/>
      <c r="IM6" s="741"/>
      <c r="IN6" s="741"/>
      <c r="IO6" s="741"/>
      <c r="IP6" s="741"/>
    </row>
    <row r="7" spans="2:18" ht="22.5" customHeight="1">
      <c r="B7" s="2049" t="s">
        <v>18</v>
      </c>
      <c r="C7" s="2039" t="s">
        <v>19</v>
      </c>
      <c r="D7" s="2056" t="s">
        <v>6</v>
      </c>
      <c r="E7" s="2052" t="s">
        <v>416</v>
      </c>
      <c r="F7" s="2052" t="s">
        <v>595</v>
      </c>
      <c r="G7" s="2059" t="s">
        <v>724</v>
      </c>
      <c r="H7" s="2018" t="s">
        <v>20</v>
      </c>
      <c r="I7" s="2062" t="s">
        <v>536</v>
      </c>
      <c r="J7" s="2052"/>
      <c r="K7" s="2052"/>
      <c r="L7" s="2052"/>
      <c r="M7" s="2052"/>
      <c r="N7" s="2052"/>
      <c r="O7" s="2063"/>
      <c r="P7" s="2064" t="s">
        <v>589</v>
      </c>
      <c r="Q7" s="2048"/>
      <c r="R7" s="2048"/>
    </row>
    <row r="8" spans="2:16" ht="33" customHeight="1">
      <c r="B8" s="2050"/>
      <c r="C8" s="2040"/>
      <c r="D8" s="2057"/>
      <c r="E8" s="2053"/>
      <c r="F8" s="2053"/>
      <c r="G8" s="2060"/>
      <c r="H8" s="2019"/>
      <c r="I8" s="2067" t="s">
        <v>418</v>
      </c>
      <c r="J8" s="2068"/>
      <c r="K8" s="2069"/>
      <c r="L8" s="2069"/>
      <c r="M8" s="2070" t="s">
        <v>148</v>
      </c>
      <c r="N8" s="2070"/>
      <c r="O8" s="2071" t="s">
        <v>115</v>
      </c>
      <c r="P8" s="2065"/>
    </row>
    <row r="9" spans="2:16" ht="53.25" customHeight="1" thickBot="1">
      <c r="B9" s="2051"/>
      <c r="C9" s="2041"/>
      <c r="D9" s="2058"/>
      <c r="E9" s="2054"/>
      <c r="F9" s="2054"/>
      <c r="G9" s="2061"/>
      <c r="H9" s="2020"/>
      <c r="I9" s="761" t="s">
        <v>37</v>
      </c>
      <c r="J9" s="551" t="s">
        <v>413</v>
      </c>
      <c r="K9" s="552" t="s">
        <v>39</v>
      </c>
      <c r="L9" s="552" t="s">
        <v>415</v>
      </c>
      <c r="M9" s="551" t="s">
        <v>213</v>
      </c>
      <c r="N9" s="551" t="s">
        <v>149</v>
      </c>
      <c r="O9" s="2072"/>
      <c r="P9" s="2066"/>
    </row>
    <row r="10" spans="1:256" s="555" customFormat="1" ht="22.5" customHeight="1">
      <c r="A10" s="569">
        <v>1</v>
      </c>
      <c r="B10" s="553">
        <v>18</v>
      </c>
      <c r="C10" s="565" t="s">
        <v>14</v>
      </c>
      <c r="D10" s="750"/>
      <c r="E10" s="333"/>
      <c r="F10" s="331"/>
      <c r="G10" s="332"/>
      <c r="H10" s="765"/>
      <c r="I10" s="762"/>
      <c r="J10" s="572"/>
      <c r="K10" s="572"/>
      <c r="L10" s="572"/>
      <c r="M10" s="572"/>
      <c r="N10" s="572"/>
      <c r="O10" s="554"/>
      <c r="P10" s="557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6"/>
      <c r="DR10" s="326"/>
      <c r="DS10" s="326"/>
      <c r="DT10" s="326"/>
      <c r="DU10" s="326"/>
      <c r="DV10" s="326"/>
      <c r="DW10" s="326"/>
      <c r="DX10" s="326"/>
      <c r="DY10" s="326"/>
      <c r="DZ10" s="326"/>
      <c r="EA10" s="326"/>
      <c r="EB10" s="326"/>
      <c r="EC10" s="326"/>
      <c r="ED10" s="326"/>
      <c r="EE10" s="326"/>
      <c r="EF10" s="326"/>
      <c r="EG10" s="326"/>
      <c r="EH10" s="326"/>
      <c r="EI10" s="326"/>
      <c r="EJ10" s="326"/>
      <c r="EK10" s="326"/>
      <c r="EL10" s="326"/>
      <c r="EM10" s="326"/>
      <c r="EN10" s="326"/>
      <c r="EO10" s="326"/>
      <c r="EP10" s="326"/>
      <c r="EQ10" s="326"/>
      <c r="ER10" s="326"/>
      <c r="ES10" s="326"/>
      <c r="ET10" s="326"/>
      <c r="EU10" s="326"/>
      <c r="EV10" s="326"/>
      <c r="EW10" s="326"/>
      <c r="EX10" s="326"/>
      <c r="EY10" s="326"/>
      <c r="EZ10" s="326"/>
      <c r="FA10" s="326"/>
      <c r="FB10" s="326"/>
      <c r="FC10" s="326"/>
      <c r="FD10" s="326"/>
      <c r="FE10" s="326"/>
      <c r="FF10" s="326"/>
      <c r="FG10" s="326"/>
      <c r="FH10" s="326"/>
      <c r="FI10" s="326"/>
      <c r="FJ10" s="326"/>
      <c r="FK10" s="326"/>
      <c r="FL10" s="326"/>
      <c r="FM10" s="326"/>
      <c r="FN10" s="326"/>
      <c r="FO10" s="326"/>
      <c r="FP10" s="326"/>
      <c r="FQ10" s="326"/>
      <c r="FR10" s="326"/>
      <c r="FS10" s="326"/>
      <c r="FT10" s="326"/>
      <c r="FU10" s="326"/>
      <c r="FV10" s="326"/>
      <c r="FW10" s="326"/>
      <c r="FX10" s="326"/>
      <c r="FY10" s="326"/>
      <c r="FZ10" s="326"/>
      <c r="GA10" s="326"/>
      <c r="GB10" s="326"/>
      <c r="GC10" s="326"/>
      <c r="GD10" s="326"/>
      <c r="GE10" s="326"/>
      <c r="GF10" s="326"/>
      <c r="GG10" s="326"/>
      <c r="GH10" s="326"/>
      <c r="GI10" s="326"/>
      <c r="GJ10" s="326"/>
      <c r="GK10" s="326"/>
      <c r="GL10" s="326"/>
      <c r="GM10" s="326"/>
      <c r="GN10" s="326"/>
      <c r="GO10" s="326"/>
      <c r="GP10" s="326"/>
      <c r="GQ10" s="326"/>
      <c r="GR10" s="326"/>
      <c r="GS10" s="326"/>
      <c r="GT10" s="326"/>
      <c r="GU10" s="326"/>
      <c r="GV10" s="326"/>
      <c r="GW10" s="326"/>
      <c r="GX10" s="326"/>
      <c r="GY10" s="326"/>
      <c r="GZ10" s="326"/>
      <c r="HA10" s="326"/>
      <c r="HB10" s="326"/>
      <c r="HC10" s="326"/>
      <c r="HD10" s="326"/>
      <c r="HE10" s="326"/>
      <c r="HF10" s="326"/>
      <c r="HG10" s="326"/>
      <c r="HH10" s="326"/>
      <c r="HI10" s="326"/>
      <c r="HJ10" s="326"/>
      <c r="HK10" s="326"/>
      <c r="HL10" s="326"/>
      <c r="HM10" s="326"/>
      <c r="HN10" s="326"/>
      <c r="HO10" s="326"/>
      <c r="HP10" s="326"/>
      <c r="HQ10" s="326"/>
      <c r="HR10" s="326"/>
      <c r="HS10" s="326"/>
      <c r="HT10" s="326"/>
      <c r="HU10" s="326"/>
      <c r="HV10" s="326"/>
      <c r="HW10" s="326"/>
      <c r="HX10" s="326"/>
      <c r="HY10" s="326"/>
      <c r="HZ10" s="326"/>
      <c r="IA10" s="326"/>
      <c r="IB10" s="326"/>
      <c r="IC10" s="326"/>
      <c r="ID10" s="326"/>
      <c r="IE10" s="326"/>
      <c r="IF10" s="326"/>
      <c r="IG10" s="326"/>
      <c r="IH10" s="326"/>
      <c r="II10" s="326"/>
      <c r="IJ10" s="326"/>
      <c r="IK10" s="326"/>
      <c r="IL10" s="326"/>
      <c r="IM10" s="326"/>
      <c r="IN10" s="326"/>
      <c r="IO10" s="326"/>
      <c r="IP10" s="326"/>
      <c r="IQ10" s="326"/>
      <c r="IR10" s="326"/>
      <c r="IS10" s="326"/>
      <c r="IT10" s="326"/>
      <c r="IU10" s="326"/>
      <c r="IV10" s="326"/>
    </row>
    <row r="11" spans="1:256" s="555" customFormat="1" ht="22.5" customHeight="1">
      <c r="A11" s="569">
        <v>2</v>
      </c>
      <c r="B11" s="563"/>
      <c r="C11" s="366">
        <v>1</v>
      </c>
      <c r="D11" s="558" t="s">
        <v>450</v>
      </c>
      <c r="E11" s="335"/>
      <c r="F11" s="559"/>
      <c r="G11" s="336"/>
      <c r="H11" s="766" t="s">
        <v>23</v>
      </c>
      <c r="I11" s="781"/>
      <c r="J11" s="777"/>
      <c r="K11" s="777"/>
      <c r="L11" s="777"/>
      <c r="M11" s="777"/>
      <c r="N11" s="777"/>
      <c r="O11" s="564"/>
      <c r="P11" s="560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6"/>
      <c r="EF11" s="326"/>
      <c r="EG11" s="326"/>
      <c r="EH11" s="326"/>
      <c r="EI11" s="326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/>
      <c r="EU11" s="326"/>
      <c r="EV11" s="326"/>
      <c r="EW11" s="326"/>
      <c r="EX11" s="326"/>
      <c r="EY11" s="326"/>
      <c r="EZ11" s="326"/>
      <c r="FA11" s="326"/>
      <c r="FB11" s="326"/>
      <c r="FC11" s="326"/>
      <c r="FD11" s="326"/>
      <c r="FE11" s="326"/>
      <c r="FF11" s="326"/>
      <c r="FG11" s="326"/>
      <c r="FH11" s="326"/>
      <c r="FI11" s="326"/>
      <c r="FJ11" s="326"/>
      <c r="FK11" s="326"/>
      <c r="FL11" s="326"/>
      <c r="FM11" s="326"/>
      <c r="FN11" s="326"/>
      <c r="FO11" s="326"/>
      <c r="FP11" s="326"/>
      <c r="FQ11" s="326"/>
      <c r="FR11" s="326"/>
      <c r="FS11" s="326"/>
      <c r="FT11" s="326"/>
      <c r="FU11" s="326"/>
      <c r="FV11" s="326"/>
      <c r="FW11" s="326"/>
      <c r="FX11" s="326"/>
      <c r="FY11" s="326"/>
      <c r="FZ11" s="326"/>
      <c r="GA11" s="326"/>
      <c r="GB11" s="326"/>
      <c r="GC11" s="326"/>
      <c r="GD11" s="326"/>
      <c r="GE11" s="326"/>
      <c r="GF11" s="326"/>
      <c r="GG11" s="326"/>
      <c r="GH11" s="326"/>
      <c r="GI11" s="326"/>
      <c r="GJ11" s="326"/>
      <c r="GK11" s="326"/>
      <c r="GL11" s="326"/>
      <c r="GM11" s="326"/>
      <c r="GN11" s="326"/>
      <c r="GO11" s="326"/>
      <c r="GP11" s="326"/>
      <c r="GQ11" s="326"/>
      <c r="GR11" s="326"/>
      <c r="GS11" s="326"/>
      <c r="GT11" s="326"/>
      <c r="GU11" s="326"/>
      <c r="GV11" s="326"/>
      <c r="GW11" s="326"/>
      <c r="GX11" s="326"/>
      <c r="GY11" s="326"/>
      <c r="GZ11" s="326"/>
      <c r="HA11" s="326"/>
      <c r="HB11" s="326"/>
      <c r="HC11" s="326"/>
      <c r="HD11" s="326"/>
      <c r="HE11" s="326"/>
      <c r="HF11" s="326"/>
      <c r="HG11" s="326"/>
      <c r="HH11" s="326"/>
      <c r="HI11" s="326"/>
      <c r="HJ11" s="326"/>
      <c r="HK11" s="326"/>
      <c r="HL11" s="326"/>
      <c r="HM11" s="326"/>
      <c r="HN11" s="326"/>
      <c r="HO11" s="326"/>
      <c r="HP11" s="326"/>
      <c r="HQ11" s="326"/>
      <c r="HR11" s="326"/>
      <c r="HS11" s="326"/>
      <c r="HT11" s="326"/>
      <c r="HU11" s="326"/>
      <c r="HV11" s="326"/>
      <c r="HW11" s="326"/>
      <c r="HX11" s="326"/>
      <c r="HY11" s="326"/>
      <c r="HZ11" s="326"/>
      <c r="IA11" s="326"/>
      <c r="IB11" s="326"/>
      <c r="IC11" s="326"/>
      <c r="ID11" s="326"/>
      <c r="IE11" s="326"/>
      <c r="IF11" s="326"/>
      <c r="IG11" s="326"/>
      <c r="IH11" s="326"/>
      <c r="II11" s="326"/>
      <c r="IJ11" s="326"/>
      <c r="IK11" s="326"/>
      <c r="IL11" s="326"/>
      <c r="IM11" s="326"/>
      <c r="IN11" s="326"/>
      <c r="IO11" s="326"/>
      <c r="IP11" s="326"/>
      <c r="IQ11" s="326"/>
      <c r="IR11" s="326"/>
      <c r="IS11" s="326"/>
      <c r="IT11" s="326"/>
      <c r="IU11" s="326"/>
      <c r="IV11" s="326"/>
    </row>
    <row r="12" spans="1:17" s="759" customFormat="1" ht="18" customHeight="1">
      <c r="A12" s="569">
        <v>3</v>
      </c>
      <c r="B12" s="752"/>
      <c r="C12" s="753"/>
      <c r="D12" s="1532" t="s">
        <v>283</v>
      </c>
      <c r="E12" s="335">
        <f>F12+G12+O13+P12</f>
        <v>8822998</v>
      </c>
      <c r="F12" s="559">
        <v>106200</v>
      </c>
      <c r="G12" s="336">
        <v>145324</v>
      </c>
      <c r="H12" s="767"/>
      <c r="I12" s="781"/>
      <c r="J12" s="777"/>
      <c r="K12" s="777">
        <v>165993</v>
      </c>
      <c r="L12" s="777"/>
      <c r="M12" s="777">
        <v>8405481</v>
      </c>
      <c r="N12" s="777"/>
      <c r="O12" s="751">
        <f>SUM(I12:N12)</f>
        <v>8571474</v>
      </c>
      <c r="P12" s="560"/>
      <c r="Q12" s="786"/>
    </row>
    <row r="13" spans="1:17" s="759" customFormat="1" ht="18" customHeight="1">
      <c r="A13" s="569">
        <v>4</v>
      </c>
      <c r="B13" s="752"/>
      <c r="C13" s="753"/>
      <c r="D13" s="478" t="s">
        <v>757</v>
      </c>
      <c r="E13" s="335"/>
      <c r="F13" s="559"/>
      <c r="G13" s="336"/>
      <c r="H13" s="767"/>
      <c r="I13" s="781"/>
      <c r="J13" s="777"/>
      <c r="K13" s="556">
        <v>165993</v>
      </c>
      <c r="L13" s="556"/>
      <c r="M13" s="556">
        <v>8405481</v>
      </c>
      <c r="N13" s="777"/>
      <c r="O13" s="751">
        <f>SUM(I13:N13)</f>
        <v>8571474</v>
      </c>
      <c r="P13" s="560"/>
      <c r="Q13" s="786"/>
    </row>
    <row r="14" spans="1:17" s="759" customFormat="1" ht="18" customHeight="1">
      <c r="A14" s="569">
        <v>5</v>
      </c>
      <c r="B14" s="752"/>
      <c r="C14" s="753"/>
      <c r="D14" s="1090" t="s">
        <v>893</v>
      </c>
      <c r="E14" s="335"/>
      <c r="F14" s="559"/>
      <c r="G14" s="336"/>
      <c r="H14" s="767"/>
      <c r="I14" s="1195"/>
      <c r="J14" s="1196"/>
      <c r="K14" s="1186">
        <v>23923</v>
      </c>
      <c r="L14" s="1186"/>
      <c r="M14" s="1186">
        <v>1187637</v>
      </c>
      <c r="N14" s="1186"/>
      <c r="O14" s="1723">
        <f>SUM(I14:N14)</f>
        <v>1211560</v>
      </c>
      <c r="P14" s="560"/>
      <c r="Q14" s="786"/>
    </row>
    <row r="15" spans="1:256" s="555" customFormat="1" ht="22.5" customHeight="1">
      <c r="A15" s="569">
        <v>6</v>
      </c>
      <c r="B15" s="563"/>
      <c r="C15" s="366">
        <v>2</v>
      </c>
      <c r="D15" s="558" t="s">
        <v>451</v>
      </c>
      <c r="E15" s="335"/>
      <c r="F15" s="559"/>
      <c r="G15" s="336"/>
      <c r="H15" s="766" t="s">
        <v>23</v>
      </c>
      <c r="I15" s="781"/>
      <c r="J15" s="777"/>
      <c r="K15" s="777"/>
      <c r="L15" s="777"/>
      <c r="M15" s="777"/>
      <c r="N15" s="777"/>
      <c r="O15" s="564"/>
      <c r="P15" s="560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6"/>
      <c r="DJ15" s="326"/>
      <c r="DK15" s="326"/>
      <c r="DL15" s="326"/>
      <c r="DM15" s="326"/>
      <c r="DN15" s="326"/>
      <c r="DO15" s="326"/>
      <c r="DP15" s="326"/>
      <c r="DQ15" s="326"/>
      <c r="DR15" s="326"/>
      <c r="DS15" s="326"/>
      <c r="DT15" s="326"/>
      <c r="DU15" s="326"/>
      <c r="DV15" s="326"/>
      <c r="DW15" s="326"/>
      <c r="DX15" s="326"/>
      <c r="DY15" s="326"/>
      <c r="DZ15" s="326"/>
      <c r="EA15" s="326"/>
      <c r="EB15" s="326"/>
      <c r="EC15" s="326"/>
      <c r="ED15" s="326"/>
      <c r="EE15" s="326"/>
      <c r="EF15" s="326"/>
      <c r="EG15" s="326"/>
      <c r="EH15" s="326"/>
      <c r="EI15" s="326"/>
      <c r="EJ15" s="326"/>
      <c r="EK15" s="326"/>
      <c r="EL15" s="326"/>
      <c r="EM15" s="326"/>
      <c r="EN15" s="326"/>
      <c r="EO15" s="326"/>
      <c r="EP15" s="326"/>
      <c r="EQ15" s="326"/>
      <c r="ER15" s="326"/>
      <c r="ES15" s="326"/>
      <c r="ET15" s="326"/>
      <c r="EU15" s="326"/>
      <c r="EV15" s="326"/>
      <c r="EW15" s="326"/>
      <c r="EX15" s="326"/>
      <c r="EY15" s="326"/>
      <c r="EZ15" s="326"/>
      <c r="FA15" s="326"/>
      <c r="FB15" s="326"/>
      <c r="FC15" s="326"/>
      <c r="FD15" s="326"/>
      <c r="FE15" s="326"/>
      <c r="FF15" s="326"/>
      <c r="FG15" s="326"/>
      <c r="FH15" s="326"/>
      <c r="FI15" s="326"/>
      <c r="FJ15" s="326"/>
      <c r="FK15" s="326"/>
      <c r="FL15" s="326"/>
      <c r="FM15" s="326"/>
      <c r="FN15" s="326"/>
      <c r="FO15" s="326"/>
      <c r="FP15" s="326"/>
      <c r="FQ15" s="326"/>
      <c r="FR15" s="326"/>
      <c r="FS15" s="326"/>
      <c r="FT15" s="326"/>
      <c r="FU15" s="326"/>
      <c r="FV15" s="326"/>
      <c r="FW15" s="326"/>
      <c r="FX15" s="326"/>
      <c r="FY15" s="326"/>
      <c r="FZ15" s="326"/>
      <c r="GA15" s="326"/>
      <c r="GB15" s="326"/>
      <c r="GC15" s="326"/>
      <c r="GD15" s="326"/>
      <c r="GE15" s="326"/>
      <c r="GF15" s="326"/>
      <c r="GG15" s="326"/>
      <c r="GH15" s="326"/>
      <c r="GI15" s="326"/>
      <c r="GJ15" s="326"/>
      <c r="GK15" s="326"/>
      <c r="GL15" s="326"/>
      <c r="GM15" s="326"/>
      <c r="GN15" s="326"/>
      <c r="GO15" s="326"/>
      <c r="GP15" s="326"/>
      <c r="GQ15" s="326"/>
      <c r="GR15" s="326"/>
      <c r="GS15" s="326"/>
      <c r="GT15" s="326"/>
      <c r="GU15" s="326"/>
      <c r="GV15" s="326"/>
      <c r="GW15" s="326"/>
      <c r="GX15" s="326"/>
      <c r="GY15" s="326"/>
      <c r="GZ15" s="326"/>
      <c r="HA15" s="326"/>
      <c r="HB15" s="326"/>
      <c r="HC15" s="326"/>
      <c r="HD15" s="326"/>
      <c r="HE15" s="326"/>
      <c r="HF15" s="326"/>
      <c r="HG15" s="326"/>
      <c r="HH15" s="326"/>
      <c r="HI15" s="326"/>
      <c r="HJ15" s="326"/>
      <c r="HK15" s="326"/>
      <c r="HL15" s="326"/>
      <c r="HM15" s="326"/>
      <c r="HN15" s="326"/>
      <c r="HO15" s="326"/>
      <c r="HP15" s="326"/>
      <c r="HQ15" s="326"/>
      <c r="HR15" s="326"/>
      <c r="HS15" s="326"/>
      <c r="HT15" s="326"/>
      <c r="HU15" s="326"/>
      <c r="HV15" s="326"/>
      <c r="HW15" s="326"/>
      <c r="HX15" s="326"/>
      <c r="HY15" s="326"/>
      <c r="HZ15" s="326"/>
      <c r="IA15" s="326"/>
      <c r="IB15" s="326"/>
      <c r="IC15" s="326"/>
      <c r="ID15" s="326"/>
      <c r="IE15" s="326"/>
      <c r="IF15" s="326"/>
      <c r="IG15" s="326"/>
      <c r="IH15" s="326"/>
      <c r="II15" s="326"/>
      <c r="IJ15" s="326"/>
      <c r="IK15" s="326"/>
      <c r="IL15" s="326"/>
      <c r="IM15" s="326"/>
      <c r="IN15" s="326"/>
      <c r="IO15" s="326"/>
      <c r="IP15" s="326"/>
      <c r="IQ15" s="326"/>
      <c r="IR15" s="326"/>
      <c r="IS15" s="326"/>
      <c r="IT15" s="326"/>
      <c r="IU15" s="326"/>
      <c r="IV15" s="326"/>
    </row>
    <row r="16" spans="1:17" s="759" customFormat="1" ht="18" customHeight="1">
      <c r="A16" s="569">
        <v>7</v>
      </c>
      <c r="B16" s="752"/>
      <c r="C16" s="753"/>
      <c r="D16" s="1532" t="s">
        <v>283</v>
      </c>
      <c r="E16" s="335">
        <f>F16+G16+O17+P16</f>
        <v>14460580</v>
      </c>
      <c r="F16" s="559">
        <f>324476+484396</f>
        <v>808872</v>
      </c>
      <c r="G16" s="336">
        <v>427002</v>
      </c>
      <c r="H16" s="767"/>
      <c r="I16" s="781"/>
      <c r="J16" s="777"/>
      <c r="K16" s="777"/>
      <c r="L16" s="777"/>
      <c r="M16" s="777">
        <v>3444126</v>
      </c>
      <c r="N16" s="777"/>
      <c r="O16" s="751">
        <f>SUM(I16:N16)</f>
        <v>3444126</v>
      </c>
      <c r="P16" s="560">
        <v>9780580</v>
      </c>
      <c r="Q16" s="786"/>
    </row>
    <row r="17" spans="1:17" s="759" customFormat="1" ht="18" customHeight="1">
      <c r="A17" s="569">
        <v>8</v>
      </c>
      <c r="B17" s="752"/>
      <c r="C17" s="753"/>
      <c r="D17" s="478" t="s">
        <v>757</v>
      </c>
      <c r="E17" s="335"/>
      <c r="F17" s="559"/>
      <c r="G17" s="336"/>
      <c r="H17" s="767"/>
      <c r="I17" s="781"/>
      <c r="J17" s="777"/>
      <c r="K17" s="556">
        <v>90</v>
      </c>
      <c r="L17" s="777"/>
      <c r="M17" s="556">
        <v>3444036</v>
      </c>
      <c r="N17" s="777"/>
      <c r="O17" s="564">
        <f>SUM(I17:N17)</f>
        <v>3444126</v>
      </c>
      <c r="P17" s="560"/>
      <c r="Q17" s="786"/>
    </row>
    <row r="18" spans="1:17" s="759" customFormat="1" ht="18" customHeight="1">
      <c r="A18" s="569">
        <v>9</v>
      </c>
      <c r="B18" s="752"/>
      <c r="C18" s="753"/>
      <c r="D18" s="1090" t="s">
        <v>892</v>
      </c>
      <c r="E18" s="335"/>
      <c r="F18" s="559"/>
      <c r="G18" s="336"/>
      <c r="H18" s="767"/>
      <c r="I18" s="781"/>
      <c r="J18" s="777"/>
      <c r="K18" s="1186">
        <v>190</v>
      </c>
      <c r="L18" s="1186"/>
      <c r="M18" s="1186">
        <v>0</v>
      </c>
      <c r="N18" s="1186"/>
      <c r="O18" s="1723">
        <f>SUM(I18:N18)</f>
        <v>190</v>
      </c>
      <c r="P18" s="560"/>
      <c r="Q18" s="786"/>
    </row>
    <row r="19" spans="1:256" s="555" customFormat="1" ht="22.5" customHeight="1">
      <c r="A19" s="569">
        <v>10</v>
      </c>
      <c r="B19" s="563"/>
      <c r="C19" s="366">
        <v>3</v>
      </c>
      <c r="D19" s="917" t="s">
        <v>452</v>
      </c>
      <c r="E19" s="335"/>
      <c r="F19" s="559"/>
      <c r="G19" s="336"/>
      <c r="H19" s="766" t="s">
        <v>23</v>
      </c>
      <c r="I19" s="781"/>
      <c r="J19" s="777"/>
      <c r="K19" s="777"/>
      <c r="L19" s="777"/>
      <c r="M19" s="777"/>
      <c r="N19" s="777"/>
      <c r="O19" s="564"/>
      <c r="P19" s="560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326"/>
      <c r="CY19" s="326"/>
      <c r="CZ19" s="326"/>
      <c r="DA19" s="326"/>
      <c r="DB19" s="326"/>
      <c r="DC19" s="326"/>
      <c r="DD19" s="326"/>
      <c r="DE19" s="326"/>
      <c r="DF19" s="326"/>
      <c r="DG19" s="326"/>
      <c r="DH19" s="326"/>
      <c r="DI19" s="326"/>
      <c r="DJ19" s="326"/>
      <c r="DK19" s="326"/>
      <c r="DL19" s="326"/>
      <c r="DM19" s="326"/>
      <c r="DN19" s="326"/>
      <c r="DO19" s="326"/>
      <c r="DP19" s="326"/>
      <c r="DQ19" s="326"/>
      <c r="DR19" s="326"/>
      <c r="DS19" s="326"/>
      <c r="DT19" s="326"/>
      <c r="DU19" s="326"/>
      <c r="DV19" s="326"/>
      <c r="DW19" s="326"/>
      <c r="DX19" s="326"/>
      <c r="DY19" s="326"/>
      <c r="DZ19" s="326"/>
      <c r="EA19" s="326"/>
      <c r="EB19" s="326"/>
      <c r="EC19" s="326"/>
      <c r="ED19" s="326"/>
      <c r="EE19" s="326"/>
      <c r="EF19" s="326"/>
      <c r="EG19" s="326"/>
      <c r="EH19" s="326"/>
      <c r="EI19" s="326"/>
      <c r="EJ19" s="326"/>
      <c r="EK19" s="326"/>
      <c r="EL19" s="326"/>
      <c r="EM19" s="326"/>
      <c r="EN19" s="326"/>
      <c r="EO19" s="326"/>
      <c r="EP19" s="326"/>
      <c r="EQ19" s="326"/>
      <c r="ER19" s="326"/>
      <c r="ES19" s="326"/>
      <c r="ET19" s="326"/>
      <c r="EU19" s="326"/>
      <c r="EV19" s="326"/>
      <c r="EW19" s="326"/>
      <c r="EX19" s="326"/>
      <c r="EY19" s="326"/>
      <c r="EZ19" s="326"/>
      <c r="FA19" s="326"/>
      <c r="FB19" s="326"/>
      <c r="FC19" s="326"/>
      <c r="FD19" s="326"/>
      <c r="FE19" s="326"/>
      <c r="FF19" s="326"/>
      <c r="FG19" s="326"/>
      <c r="FH19" s="326"/>
      <c r="FI19" s="326"/>
      <c r="FJ19" s="326"/>
      <c r="FK19" s="326"/>
      <c r="FL19" s="326"/>
      <c r="FM19" s="326"/>
      <c r="FN19" s="326"/>
      <c r="FO19" s="326"/>
      <c r="FP19" s="326"/>
      <c r="FQ19" s="326"/>
      <c r="FR19" s="326"/>
      <c r="FS19" s="326"/>
      <c r="FT19" s="326"/>
      <c r="FU19" s="326"/>
      <c r="FV19" s="326"/>
      <c r="FW19" s="326"/>
      <c r="FX19" s="326"/>
      <c r="FY19" s="326"/>
      <c r="FZ19" s="326"/>
      <c r="GA19" s="326"/>
      <c r="GB19" s="326"/>
      <c r="GC19" s="326"/>
      <c r="GD19" s="326"/>
      <c r="GE19" s="326"/>
      <c r="GF19" s="326"/>
      <c r="GG19" s="326"/>
      <c r="GH19" s="326"/>
      <c r="GI19" s="326"/>
      <c r="GJ19" s="326"/>
      <c r="GK19" s="326"/>
      <c r="GL19" s="326"/>
      <c r="GM19" s="326"/>
      <c r="GN19" s="326"/>
      <c r="GO19" s="326"/>
      <c r="GP19" s="326"/>
      <c r="GQ19" s="326"/>
      <c r="GR19" s="326"/>
      <c r="GS19" s="326"/>
      <c r="GT19" s="326"/>
      <c r="GU19" s="326"/>
      <c r="GV19" s="326"/>
      <c r="GW19" s="326"/>
      <c r="GX19" s="326"/>
      <c r="GY19" s="326"/>
      <c r="GZ19" s="326"/>
      <c r="HA19" s="326"/>
      <c r="HB19" s="326"/>
      <c r="HC19" s="326"/>
      <c r="HD19" s="326"/>
      <c r="HE19" s="326"/>
      <c r="HF19" s="326"/>
      <c r="HG19" s="326"/>
      <c r="HH19" s="326"/>
      <c r="HI19" s="326"/>
      <c r="HJ19" s="326"/>
      <c r="HK19" s="326"/>
      <c r="HL19" s="326"/>
      <c r="HM19" s="326"/>
      <c r="HN19" s="326"/>
      <c r="HO19" s="326"/>
      <c r="HP19" s="326"/>
      <c r="HQ19" s="326"/>
      <c r="HR19" s="326"/>
      <c r="HS19" s="326"/>
      <c r="HT19" s="326"/>
      <c r="HU19" s="326"/>
      <c r="HV19" s="326"/>
      <c r="HW19" s="326"/>
      <c r="HX19" s="326"/>
      <c r="HY19" s="326"/>
      <c r="HZ19" s="326"/>
      <c r="IA19" s="326"/>
      <c r="IB19" s="326"/>
      <c r="IC19" s="326"/>
      <c r="ID19" s="326"/>
      <c r="IE19" s="326"/>
      <c r="IF19" s="326"/>
      <c r="IG19" s="326"/>
      <c r="IH19" s="326"/>
      <c r="II19" s="326"/>
      <c r="IJ19" s="326"/>
      <c r="IK19" s="326"/>
      <c r="IL19" s="326"/>
      <c r="IM19" s="326"/>
      <c r="IN19" s="326"/>
      <c r="IO19" s="326"/>
      <c r="IP19" s="326"/>
      <c r="IQ19" s="326"/>
      <c r="IR19" s="326"/>
      <c r="IS19" s="326"/>
      <c r="IT19" s="326"/>
      <c r="IU19" s="326"/>
      <c r="IV19" s="326"/>
    </row>
    <row r="20" spans="1:17" s="759" customFormat="1" ht="18" customHeight="1">
      <c r="A20" s="569">
        <v>11</v>
      </c>
      <c r="B20" s="752"/>
      <c r="C20" s="753"/>
      <c r="D20" s="1532" t="s">
        <v>283</v>
      </c>
      <c r="E20" s="335">
        <f>F20+G20+O21+P20</f>
        <v>1793189</v>
      </c>
      <c r="F20" s="559">
        <f>1281902+1692</f>
        <v>1283594</v>
      </c>
      <c r="G20" s="336">
        <v>494913</v>
      </c>
      <c r="H20" s="767"/>
      <c r="I20" s="781"/>
      <c r="J20" s="777"/>
      <c r="K20" s="777">
        <v>482</v>
      </c>
      <c r="L20" s="777"/>
      <c r="M20" s="777">
        <v>14200</v>
      </c>
      <c r="N20" s="777"/>
      <c r="O20" s="751">
        <f>SUM(I20:N20)</f>
        <v>14682</v>
      </c>
      <c r="P20" s="560"/>
      <c r="Q20" s="786"/>
    </row>
    <row r="21" spans="1:17" s="759" customFormat="1" ht="18" customHeight="1">
      <c r="A21" s="569">
        <v>12</v>
      </c>
      <c r="B21" s="752"/>
      <c r="C21" s="753"/>
      <c r="D21" s="478" t="s">
        <v>757</v>
      </c>
      <c r="E21" s="335"/>
      <c r="F21" s="559"/>
      <c r="G21" s="336"/>
      <c r="H21" s="767"/>
      <c r="I21" s="781"/>
      <c r="J21" s="777"/>
      <c r="K21" s="556">
        <v>57</v>
      </c>
      <c r="L21" s="556">
        <v>425</v>
      </c>
      <c r="M21" s="556">
        <v>12630</v>
      </c>
      <c r="N21" s="777">
        <v>1570</v>
      </c>
      <c r="O21" s="564">
        <f>SUM(I21:N21)</f>
        <v>14682</v>
      </c>
      <c r="P21" s="560"/>
      <c r="Q21" s="786"/>
    </row>
    <row r="22" spans="1:17" s="759" customFormat="1" ht="18" customHeight="1">
      <c r="A22" s="569">
        <v>13</v>
      </c>
      <c r="B22" s="752"/>
      <c r="C22" s="753"/>
      <c r="D22" s="1090" t="s">
        <v>892</v>
      </c>
      <c r="E22" s="335"/>
      <c r="F22" s="559"/>
      <c r="G22" s="336"/>
      <c r="H22" s="767"/>
      <c r="I22" s="781"/>
      <c r="J22" s="777"/>
      <c r="K22" s="1186">
        <v>0</v>
      </c>
      <c r="L22" s="1186">
        <v>424</v>
      </c>
      <c r="M22" s="1186">
        <v>0</v>
      </c>
      <c r="N22" s="1186">
        <v>1570</v>
      </c>
      <c r="O22" s="1723">
        <f>SUM(I22:N22)</f>
        <v>1994</v>
      </c>
      <c r="P22" s="560"/>
      <c r="Q22" s="786"/>
    </row>
    <row r="23" spans="1:256" s="555" customFormat="1" ht="49.5" customHeight="1">
      <c r="A23" s="569">
        <v>14</v>
      </c>
      <c r="B23" s="563"/>
      <c r="C23" s="327">
        <v>4</v>
      </c>
      <c r="D23" s="784" t="s">
        <v>453</v>
      </c>
      <c r="E23" s="335"/>
      <c r="F23" s="559"/>
      <c r="G23" s="336"/>
      <c r="H23" s="766" t="s">
        <v>23</v>
      </c>
      <c r="I23" s="781"/>
      <c r="J23" s="777"/>
      <c r="K23" s="777"/>
      <c r="L23" s="777"/>
      <c r="M23" s="777"/>
      <c r="N23" s="777"/>
      <c r="O23" s="564"/>
      <c r="P23" s="560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6"/>
      <c r="DB23" s="326"/>
      <c r="DC23" s="326"/>
      <c r="DD23" s="326"/>
      <c r="DE23" s="326"/>
      <c r="DF23" s="326"/>
      <c r="DG23" s="326"/>
      <c r="DH23" s="326"/>
      <c r="DI23" s="326"/>
      <c r="DJ23" s="326"/>
      <c r="DK23" s="326"/>
      <c r="DL23" s="326"/>
      <c r="DM23" s="326"/>
      <c r="DN23" s="326"/>
      <c r="DO23" s="326"/>
      <c r="DP23" s="326"/>
      <c r="DQ23" s="326"/>
      <c r="DR23" s="326"/>
      <c r="DS23" s="326"/>
      <c r="DT23" s="326"/>
      <c r="DU23" s="326"/>
      <c r="DV23" s="326"/>
      <c r="DW23" s="326"/>
      <c r="DX23" s="326"/>
      <c r="DY23" s="326"/>
      <c r="DZ23" s="326"/>
      <c r="EA23" s="326"/>
      <c r="EB23" s="326"/>
      <c r="EC23" s="326"/>
      <c r="ED23" s="326"/>
      <c r="EE23" s="326"/>
      <c r="EF23" s="326"/>
      <c r="EG23" s="326"/>
      <c r="EH23" s="326"/>
      <c r="EI23" s="326"/>
      <c r="EJ23" s="326"/>
      <c r="EK23" s="326"/>
      <c r="EL23" s="326"/>
      <c r="EM23" s="326"/>
      <c r="EN23" s="326"/>
      <c r="EO23" s="326"/>
      <c r="EP23" s="326"/>
      <c r="EQ23" s="326"/>
      <c r="ER23" s="326"/>
      <c r="ES23" s="326"/>
      <c r="ET23" s="326"/>
      <c r="EU23" s="326"/>
      <c r="EV23" s="326"/>
      <c r="EW23" s="326"/>
      <c r="EX23" s="326"/>
      <c r="EY23" s="326"/>
      <c r="EZ23" s="326"/>
      <c r="FA23" s="326"/>
      <c r="FB23" s="326"/>
      <c r="FC23" s="326"/>
      <c r="FD23" s="326"/>
      <c r="FE23" s="326"/>
      <c r="FF23" s="326"/>
      <c r="FG23" s="326"/>
      <c r="FH23" s="326"/>
      <c r="FI23" s="326"/>
      <c r="FJ23" s="326"/>
      <c r="FK23" s="326"/>
      <c r="FL23" s="326"/>
      <c r="FM23" s="326"/>
      <c r="FN23" s="326"/>
      <c r="FO23" s="326"/>
      <c r="FP23" s="326"/>
      <c r="FQ23" s="326"/>
      <c r="FR23" s="326"/>
      <c r="FS23" s="326"/>
      <c r="FT23" s="326"/>
      <c r="FU23" s="326"/>
      <c r="FV23" s="326"/>
      <c r="FW23" s="326"/>
      <c r="FX23" s="326"/>
      <c r="FY23" s="326"/>
      <c r="FZ23" s="326"/>
      <c r="GA23" s="326"/>
      <c r="GB23" s="326"/>
      <c r="GC23" s="326"/>
      <c r="GD23" s="326"/>
      <c r="GE23" s="326"/>
      <c r="GF23" s="326"/>
      <c r="GG23" s="326"/>
      <c r="GH23" s="326"/>
      <c r="GI23" s="326"/>
      <c r="GJ23" s="326"/>
      <c r="GK23" s="326"/>
      <c r="GL23" s="326"/>
      <c r="GM23" s="326"/>
      <c r="GN23" s="326"/>
      <c r="GO23" s="326"/>
      <c r="GP23" s="326"/>
      <c r="GQ23" s="326"/>
      <c r="GR23" s="326"/>
      <c r="GS23" s="326"/>
      <c r="GT23" s="326"/>
      <c r="GU23" s="326"/>
      <c r="GV23" s="326"/>
      <c r="GW23" s="326"/>
      <c r="GX23" s="326"/>
      <c r="GY23" s="326"/>
      <c r="GZ23" s="326"/>
      <c r="HA23" s="326"/>
      <c r="HB23" s="326"/>
      <c r="HC23" s="326"/>
      <c r="HD23" s="326"/>
      <c r="HE23" s="326"/>
      <c r="HF23" s="326"/>
      <c r="HG23" s="326"/>
      <c r="HH23" s="326"/>
      <c r="HI23" s="326"/>
      <c r="HJ23" s="326"/>
      <c r="HK23" s="326"/>
      <c r="HL23" s="326"/>
      <c r="HM23" s="326"/>
      <c r="HN23" s="326"/>
      <c r="HO23" s="326"/>
      <c r="HP23" s="326"/>
      <c r="HQ23" s="326"/>
      <c r="HR23" s="326"/>
      <c r="HS23" s="326"/>
      <c r="HT23" s="326"/>
      <c r="HU23" s="326"/>
      <c r="HV23" s="326"/>
      <c r="HW23" s="326"/>
      <c r="HX23" s="326"/>
      <c r="HY23" s="326"/>
      <c r="HZ23" s="326"/>
      <c r="IA23" s="326"/>
      <c r="IB23" s="326"/>
      <c r="IC23" s="326"/>
      <c r="ID23" s="326"/>
      <c r="IE23" s="326"/>
      <c r="IF23" s="326"/>
      <c r="IG23" s="326"/>
      <c r="IH23" s="326"/>
      <c r="II23" s="326"/>
      <c r="IJ23" s="326"/>
      <c r="IK23" s="326"/>
      <c r="IL23" s="326"/>
      <c r="IM23" s="326"/>
      <c r="IN23" s="326"/>
      <c r="IO23" s="326"/>
      <c r="IP23" s="326"/>
      <c r="IQ23" s="326"/>
      <c r="IR23" s="326"/>
      <c r="IS23" s="326"/>
      <c r="IT23" s="326"/>
      <c r="IU23" s="326"/>
      <c r="IV23" s="326"/>
    </row>
    <row r="24" spans="1:17" s="759" customFormat="1" ht="18" customHeight="1">
      <c r="A24" s="569">
        <v>15</v>
      </c>
      <c r="B24" s="752"/>
      <c r="C24" s="753"/>
      <c r="D24" s="1194" t="s">
        <v>283</v>
      </c>
      <c r="E24" s="335">
        <f>F24+G24+O25+P24</f>
        <v>1658925</v>
      </c>
      <c r="F24" s="559">
        <f>7043+16169</f>
        <v>23212</v>
      </c>
      <c r="G24" s="336">
        <v>7859</v>
      </c>
      <c r="H24" s="767"/>
      <c r="I24" s="781"/>
      <c r="J24" s="777"/>
      <c r="K24" s="777">
        <v>18280</v>
      </c>
      <c r="L24" s="777"/>
      <c r="M24" s="777">
        <v>1609574</v>
      </c>
      <c r="N24" s="777"/>
      <c r="O24" s="751">
        <f>SUM(I24:N24)</f>
        <v>1627854</v>
      </c>
      <c r="P24" s="560"/>
      <c r="Q24" s="786"/>
    </row>
    <row r="25" spans="1:17" s="759" customFormat="1" ht="18" customHeight="1">
      <c r="A25" s="569">
        <v>16</v>
      </c>
      <c r="B25" s="752"/>
      <c r="C25" s="753"/>
      <c r="D25" s="478" t="s">
        <v>757</v>
      </c>
      <c r="E25" s="335"/>
      <c r="F25" s="559"/>
      <c r="G25" s="336"/>
      <c r="H25" s="767"/>
      <c r="I25" s="781"/>
      <c r="J25" s="777"/>
      <c r="K25" s="556">
        <v>10765</v>
      </c>
      <c r="L25" s="556"/>
      <c r="M25" s="556">
        <v>1617089</v>
      </c>
      <c r="N25" s="556"/>
      <c r="O25" s="564">
        <f>SUM(I25:N25)</f>
        <v>1627854</v>
      </c>
      <c r="P25" s="560"/>
      <c r="Q25" s="786"/>
    </row>
    <row r="26" spans="1:17" s="759" customFormat="1" ht="18" customHeight="1">
      <c r="A26" s="569">
        <v>17</v>
      </c>
      <c r="B26" s="752"/>
      <c r="C26" s="753"/>
      <c r="D26" s="1090" t="s">
        <v>892</v>
      </c>
      <c r="E26" s="335"/>
      <c r="F26" s="559"/>
      <c r="G26" s="336"/>
      <c r="H26" s="767"/>
      <c r="I26" s="781"/>
      <c r="J26" s="777"/>
      <c r="K26" s="1186">
        <v>0</v>
      </c>
      <c r="L26" s="1186"/>
      <c r="M26" s="1186">
        <v>889998</v>
      </c>
      <c r="N26" s="1186"/>
      <c r="O26" s="1723">
        <f>SUM(I26:N26)</f>
        <v>889998</v>
      </c>
      <c r="P26" s="560"/>
      <c r="Q26" s="786"/>
    </row>
    <row r="27" spans="1:256" s="555" customFormat="1" ht="22.5" customHeight="1">
      <c r="A27" s="569">
        <v>18</v>
      </c>
      <c r="B27" s="563"/>
      <c r="C27" s="366">
        <v>5</v>
      </c>
      <c r="D27" s="558" t="s">
        <v>454</v>
      </c>
      <c r="E27" s="335"/>
      <c r="F27" s="335"/>
      <c r="G27" s="336"/>
      <c r="H27" s="766" t="s">
        <v>23</v>
      </c>
      <c r="I27" s="782"/>
      <c r="J27" s="776"/>
      <c r="K27" s="776"/>
      <c r="L27" s="776"/>
      <c r="M27" s="776"/>
      <c r="N27" s="776"/>
      <c r="O27" s="568"/>
      <c r="P27" s="560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6"/>
      <c r="DA27" s="326"/>
      <c r="DB27" s="326"/>
      <c r="DC27" s="326"/>
      <c r="DD27" s="326"/>
      <c r="DE27" s="326"/>
      <c r="DF27" s="326"/>
      <c r="DG27" s="326"/>
      <c r="DH27" s="326"/>
      <c r="DI27" s="326"/>
      <c r="DJ27" s="326"/>
      <c r="DK27" s="326"/>
      <c r="DL27" s="326"/>
      <c r="DM27" s="326"/>
      <c r="DN27" s="326"/>
      <c r="DO27" s="326"/>
      <c r="DP27" s="326"/>
      <c r="DQ27" s="326"/>
      <c r="DR27" s="326"/>
      <c r="DS27" s="326"/>
      <c r="DT27" s="326"/>
      <c r="DU27" s="326"/>
      <c r="DV27" s="326"/>
      <c r="DW27" s="326"/>
      <c r="DX27" s="326"/>
      <c r="DY27" s="326"/>
      <c r="DZ27" s="326"/>
      <c r="EA27" s="326"/>
      <c r="EB27" s="326"/>
      <c r="EC27" s="326"/>
      <c r="ED27" s="326"/>
      <c r="EE27" s="326"/>
      <c r="EF27" s="326"/>
      <c r="EG27" s="326"/>
      <c r="EH27" s="326"/>
      <c r="EI27" s="326"/>
      <c r="EJ27" s="326"/>
      <c r="EK27" s="326"/>
      <c r="EL27" s="326"/>
      <c r="EM27" s="326"/>
      <c r="EN27" s="326"/>
      <c r="EO27" s="326"/>
      <c r="EP27" s="326"/>
      <c r="EQ27" s="326"/>
      <c r="ER27" s="326"/>
      <c r="ES27" s="326"/>
      <c r="ET27" s="326"/>
      <c r="EU27" s="326"/>
      <c r="EV27" s="326"/>
      <c r="EW27" s="326"/>
      <c r="EX27" s="326"/>
      <c r="EY27" s="326"/>
      <c r="EZ27" s="326"/>
      <c r="FA27" s="326"/>
      <c r="FB27" s="326"/>
      <c r="FC27" s="326"/>
      <c r="FD27" s="326"/>
      <c r="FE27" s="326"/>
      <c r="FF27" s="326"/>
      <c r="FG27" s="326"/>
      <c r="FH27" s="326"/>
      <c r="FI27" s="326"/>
      <c r="FJ27" s="326"/>
      <c r="FK27" s="326"/>
      <c r="FL27" s="326"/>
      <c r="FM27" s="326"/>
      <c r="FN27" s="326"/>
      <c r="FO27" s="326"/>
      <c r="FP27" s="326"/>
      <c r="FQ27" s="326"/>
      <c r="FR27" s="326"/>
      <c r="FS27" s="326"/>
      <c r="FT27" s="326"/>
      <c r="FU27" s="326"/>
      <c r="FV27" s="326"/>
      <c r="FW27" s="326"/>
      <c r="FX27" s="326"/>
      <c r="FY27" s="326"/>
      <c r="FZ27" s="326"/>
      <c r="GA27" s="326"/>
      <c r="GB27" s="326"/>
      <c r="GC27" s="326"/>
      <c r="GD27" s="326"/>
      <c r="GE27" s="326"/>
      <c r="GF27" s="326"/>
      <c r="GG27" s="326"/>
      <c r="GH27" s="326"/>
      <c r="GI27" s="326"/>
      <c r="GJ27" s="326"/>
      <c r="GK27" s="326"/>
      <c r="GL27" s="326"/>
      <c r="GM27" s="326"/>
      <c r="GN27" s="326"/>
      <c r="GO27" s="326"/>
      <c r="GP27" s="326"/>
      <c r="GQ27" s="326"/>
      <c r="GR27" s="326"/>
      <c r="GS27" s="326"/>
      <c r="GT27" s="326"/>
      <c r="GU27" s="326"/>
      <c r="GV27" s="326"/>
      <c r="GW27" s="326"/>
      <c r="GX27" s="326"/>
      <c r="GY27" s="326"/>
      <c r="GZ27" s="326"/>
      <c r="HA27" s="326"/>
      <c r="HB27" s="326"/>
      <c r="HC27" s="326"/>
      <c r="HD27" s="326"/>
      <c r="HE27" s="326"/>
      <c r="HF27" s="326"/>
      <c r="HG27" s="326"/>
      <c r="HH27" s="326"/>
      <c r="HI27" s="326"/>
      <c r="HJ27" s="326"/>
      <c r="HK27" s="326"/>
      <c r="HL27" s="326"/>
      <c r="HM27" s="326"/>
      <c r="HN27" s="326"/>
      <c r="HO27" s="326"/>
      <c r="HP27" s="326"/>
      <c r="HQ27" s="326"/>
      <c r="HR27" s="326"/>
      <c r="HS27" s="326"/>
      <c r="HT27" s="326"/>
      <c r="HU27" s="326"/>
      <c r="HV27" s="326"/>
      <c r="HW27" s="326"/>
      <c r="HX27" s="326"/>
      <c r="HY27" s="326"/>
      <c r="HZ27" s="326"/>
      <c r="IA27" s="326"/>
      <c r="IB27" s="326"/>
      <c r="IC27" s="326"/>
      <c r="ID27" s="326"/>
      <c r="IE27" s="326"/>
      <c r="IF27" s="326"/>
      <c r="IG27" s="326"/>
      <c r="IH27" s="326"/>
      <c r="II27" s="326"/>
      <c r="IJ27" s="326"/>
      <c r="IK27" s="326"/>
      <c r="IL27" s="326"/>
      <c r="IM27" s="326"/>
      <c r="IN27" s="326"/>
      <c r="IO27" s="326"/>
      <c r="IP27" s="326"/>
      <c r="IQ27" s="326"/>
      <c r="IR27" s="326"/>
      <c r="IS27" s="326"/>
      <c r="IT27" s="326"/>
      <c r="IU27" s="326"/>
      <c r="IV27" s="326"/>
    </row>
    <row r="28" spans="1:16" ht="18" customHeight="1">
      <c r="A28" s="569">
        <v>19</v>
      </c>
      <c r="B28" s="462"/>
      <c r="C28" s="366"/>
      <c r="D28" s="1194" t="s">
        <v>283</v>
      </c>
      <c r="E28" s="335">
        <f>F28+G28+O29+P28</f>
        <v>76282</v>
      </c>
      <c r="F28" s="335">
        <v>10737</v>
      </c>
      <c r="G28" s="336">
        <v>25052</v>
      </c>
      <c r="H28" s="766"/>
      <c r="I28" s="782"/>
      <c r="J28" s="776"/>
      <c r="K28" s="776"/>
      <c r="L28" s="776"/>
      <c r="M28" s="776"/>
      <c r="N28" s="776">
        <v>40493</v>
      </c>
      <c r="O28" s="751">
        <f>SUM(I28:N28)</f>
        <v>40493</v>
      </c>
      <c r="P28" s="560"/>
    </row>
    <row r="29" spans="1:16" ht="18" customHeight="1">
      <c r="A29" s="569">
        <v>20</v>
      </c>
      <c r="B29" s="462"/>
      <c r="C29" s="366"/>
      <c r="D29" s="478" t="s">
        <v>757</v>
      </c>
      <c r="E29" s="335"/>
      <c r="F29" s="335"/>
      <c r="G29" s="336"/>
      <c r="H29" s="766"/>
      <c r="I29" s="782"/>
      <c r="J29" s="776"/>
      <c r="K29" s="776"/>
      <c r="L29" s="776"/>
      <c r="M29" s="776"/>
      <c r="N29" s="335">
        <v>40493</v>
      </c>
      <c r="O29" s="564">
        <f>SUM(I29:N29)</f>
        <v>40493</v>
      </c>
      <c r="P29" s="560"/>
    </row>
    <row r="30" spans="1:16" ht="18" customHeight="1">
      <c r="A30" s="569">
        <v>21</v>
      </c>
      <c r="B30" s="462"/>
      <c r="C30" s="366"/>
      <c r="D30" s="1090" t="s">
        <v>893</v>
      </c>
      <c r="E30" s="335"/>
      <c r="F30" s="335"/>
      <c r="G30" s="336"/>
      <c r="H30" s="766"/>
      <c r="I30" s="782"/>
      <c r="J30" s="776"/>
      <c r="K30" s="776"/>
      <c r="L30" s="776"/>
      <c r="M30" s="776"/>
      <c r="N30" s="1724">
        <v>0</v>
      </c>
      <c r="O30" s="1723">
        <f>SUM(I30:N30)</f>
        <v>0</v>
      </c>
      <c r="P30" s="560"/>
    </row>
    <row r="31" spans="1:256" s="555" customFormat="1" ht="22.5" customHeight="1">
      <c r="A31" s="569">
        <v>22</v>
      </c>
      <c r="B31" s="563"/>
      <c r="C31" s="366">
        <v>6</v>
      </c>
      <c r="D31" s="328" t="s">
        <v>455</v>
      </c>
      <c r="E31" s="335"/>
      <c r="F31" s="559"/>
      <c r="G31" s="336"/>
      <c r="H31" s="766" t="s">
        <v>23</v>
      </c>
      <c r="I31" s="781"/>
      <c r="J31" s="777"/>
      <c r="K31" s="777"/>
      <c r="L31" s="777"/>
      <c r="M31" s="777"/>
      <c r="N31" s="777"/>
      <c r="O31" s="564"/>
      <c r="P31" s="560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326"/>
      <c r="EW31" s="326"/>
      <c r="EX31" s="326"/>
      <c r="EY31" s="326"/>
      <c r="EZ31" s="326"/>
      <c r="FA31" s="326"/>
      <c r="FB31" s="326"/>
      <c r="FC31" s="326"/>
      <c r="FD31" s="326"/>
      <c r="FE31" s="326"/>
      <c r="FF31" s="326"/>
      <c r="FG31" s="326"/>
      <c r="FH31" s="326"/>
      <c r="FI31" s="326"/>
      <c r="FJ31" s="326"/>
      <c r="FK31" s="326"/>
      <c r="FL31" s="326"/>
      <c r="FM31" s="326"/>
      <c r="FN31" s="326"/>
      <c r="FO31" s="326"/>
      <c r="FP31" s="326"/>
      <c r="FQ31" s="326"/>
      <c r="FR31" s="326"/>
      <c r="FS31" s="326"/>
      <c r="FT31" s="326"/>
      <c r="FU31" s="326"/>
      <c r="FV31" s="326"/>
      <c r="FW31" s="326"/>
      <c r="FX31" s="326"/>
      <c r="FY31" s="326"/>
      <c r="FZ31" s="326"/>
      <c r="GA31" s="326"/>
      <c r="GB31" s="326"/>
      <c r="GC31" s="326"/>
      <c r="GD31" s="326"/>
      <c r="GE31" s="326"/>
      <c r="GF31" s="326"/>
      <c r="GG31" s="326"/>
      <c r="GH31" s="326"/>
      <c r="GI31" s="326"/>
      <c r="GJ31" s="326"/>
      <c r="GK31" s="326"/>
      <c r="GL31" s="326"/>
      <c r="GM31" s="326"/>
      <c r="GN31" s="326"/>
      <c r="GO31" s="326"/>
      <c r="GP31" s="326"/>
      <c r="GQ31" s="326"/>
      <c r="GR31" s="326"/>
      <c r="GS31" s="326"/>
      <c r="GT31" s="326"/>
      <c r="GU31" s="326"/>
      <c r="GV31" s="326"/>
      <c r="GW31" s="326"/>
      <c r="GX31" s="326"/>
      <c r="GY31" s="326"/>
      <c r="GZ31" s="326"/>
      <c r="HA31" s="326"/>
      <c r="HB31" s="326"/>
      <c r="HC31" s="326"/>
      <c r="HD31" s="326"/>
      <c r="HE31" s="326"/>
      <c r="HF31" s="326"/>
      <c r="HG31" s="326"/>
      <c r="HH31" s="326"/>
      <c r="HI31" s="326"/>
      <c r="HJ31" s="326"/>
      <c r="HK31" s="326"/>
      <c r="HL31" s="326"/>
      <c r="HM31" s="326"/>
      <c r="HN31" s="326"/>
      <c r="HO31" s="326"/>
      <c r="HP31" s="326"/>
      <c r="HQ31" s="326"/>
      <c r="HR31" s="326"/>
      <c r="HS31" s="326"/>
      <c r="HT31" s="326"/>
      <c r="HU31" s="326"/>
      <c r="HV31" s="326"/>
      <c r="HW31" s="326"/>
      <c r="HX31" s="326"/>
      <c r="HY31" s="326"/>
      <c r="HZ31" s="326"/>
      <c r="IA31" s="326"/>
      <c r="IB31" s="326"/>
      <c r="IC31" s="326"/>
      <c r="ID31" s="326"/>
      <c r="IE31" s="326"/>
      <c r="IF31" s="326"/>
      <c r="IG31" s="326"/>
      <c r="IH31" s="326"/>
      <c r="II31" s="326"/>
      <c r="IJ31" s="326"/>
      <c r="IK31" s="326"/>
      <c r="IL31" s="326"/>
      <c r="IM31" s="326"/>
      <c r="IN31" s="326"/>
      <c r="IO31" s="326"/>
      <c r="IP31" s="326"/>
      <c r="IQ31" s="326"/>
      <c r="IR31" s="326"/>
      <c r="IS31" s="326"/>
      <c r="IT31" s="326"/>
      <c r="IU31" s="326"/>
      <c r="IV31" s="326"/>
    </row>
    <row r="32" spans="1:16" ht="18" customHeight="1">
      <c r="A32" s="569">
        <v>23</v>
      </c>
      <c r="B32" s="462"/>
      <c r="C32" s="366"/>
      <c r="D32" s="1194" t="s">
        <v>283</v>
      </c>
      <c r="E32" s="335">
        <f>F32+G32+O33+P32</f>
        <v>250000</v>
      </c>
      <c r="F32" s="559"/>
      <c r="G32" s="336">
        <v>99177</v>
      </c>
      <c r="H32" s="766"/>
      <c r="I32" s="781"/>
      <c r="J32" s="777"/>
      <c r="K32" s="777">
        <v>500</v>
      </c>
      <c r="L32" s="777"/>
      <c r="M32" s="777">
        <v>150323</v>
      </c>
      <c r="N32" s="777"/>
      <c r="O32" s="751">
        <f>SUM(I32:N32)</f>
        <v>150823</v>
      </c>
      <c r="P32" s="560"/>
    </row>
    <row r="33" spans="1:16" ht="18" customHeight="1">
      <c r="A33" s="569">
        <v>24</v>
      </c>
      <c r="B33" s="462"/>
      <c r="C33" s="366"/>
      <c r="D33" s="478" t="s">
        <v>757</v>
      </c>
      <c r="E33" s="335"/>
      <c r="F33" s="559"/>
      <c r="G33" s="336"/>
      <c r="H33" s="766"/>
      <c r="I33" s="781"/>
      <c r="J33" s="777"/>
      <c r="K33" s="556">
        <v>0</v>
      </c>
      <c r="L33" s="556"/>
      <c r="M33" s="556">
        <v>150823</v>
      </c>
      <c r="N33" s="556"/>
      <c r="O33" s="564">
        <f>SUM(I33:N33)</f>
        <v>150823</v>
      </c>
      <c r="P33" s="560"/>
    </row>
    <row r="34" spans="1:16" ht="18" customHeight="1">
      <c r="A34" s="569">
        <v>25</v>
      </c>
      <c r="B34" s="462"/>
      <c r="C34" s="366"/>
      <c r="D34" s="1090" t="s">
        <v>892</v>
      </c>
      <c r="E34" s="335"/>
      <c r="F34" s="559"/>
      <c r="G34" s="336"/>
      <c r="H34" s="766"/>
      <c r="I34" s="781"/>
      <c r="J34" s="777"/>
      <c r="K34" s="1186">
        <v>0</v>
      </c>
      <c r="L34" s="1186"/>
      <c r="M34" s="1186">
        <v>150823</v>
      </c>
      <c r="N34" s="1186"/>
      <c r="O34" s="1723">
        <f>SUM(I34:N34)</f>
        <v>150823</v>
      </c>
      <c r="P34" s="560"/>
    </row>
    <row r="35" spans="1:16" ht="22.5" customHeight="1">
      <c r="A35" s="569">
        <v>26</v>
      </c>
      <c r="B35" s="462"/>
      <c r="C35" s="366">
        <v>7</v>
      </c>
      <c r="D35" s="567" t="s">
        <v>456</v>
      </c>
      <c r="E35" s="335"/>
      <c r="F35" s="559"/>
      <c r="G35" s="336"/>
      <c r="H35" s="766" t="s">
        <v>23</v>
      </c>
      <c r="I35" s="781"/>
      <c r="J35" s="777"/>
      <c r="K35" s="777"/>
      <c r="L35" s="777"/>
      <c r="M35" s="777"/>
      <c r="N35" s="777"/>
      <c r="O35" s="564"/>
      <c r="P35" s="560"/>
    </row>
    <row r="36" spans="1:256" s="555" customFormat="1" ht="18" customHeight="1">
      <c r="A36" s="569">
        <v>27</v>
      </c>
      <c r="B36" s="563"/>
      <c r="C36" s="327"/>
      <c r="D36" s="1194" t="s">
        <v>283</v>
      </c>
      <c r="E36" s="335">
        <f>F36+G36+O37+P36</f>
        <v>957296</v>
      </c>
      <c r="F36" s="559">
        <v>820</v>
      </c>
      <c r="G36" s="336">
        <v>202384</v>
      </c>
      <c r="H36" s="766"/>
      <c r="I36" s="781"/>
      <c r="J36" s="777"/>
      <c r="K36" s="777">
        <v>564</v>
      </c>
      <c r="L36" s="777"/>
      <c r="M36" s="777">
        <v>753528</v>
      </c>
      <c r="N36" s="777"/>
      <c r="O36" s="751">
        <f>SUM(I36:N36)</f>
        <v>754092</v>
      </c>
      <c r="P36" s="560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6"/>
      <c r="CK36" s="326"/>
      <c r="CL36" s="326"/>
      <c r="CM36" s="326"/>
      <c r="CN36" s="326"/>
      <c r="CO36" s="326"/>
      <c r="CP36" s="326"/>
      <c r="CQ36" s="326"/>
      <c r="CR36" s="326"/>
      <c r="CS36" s="326"/>
      <c r="CT36" s="326"/>
      <c r="CU36" s="326"/>
      <c r="CV36" s="326"/>
      <c r="CW36" s="326"/>
      <c r="CX36" s="326"/>
      <c r="CY36" s="326"/>
      <c r="CZ36" s="326"/>
      <c r="DA36" s="326"/>
      <c r="DB36" s="326"/>
      <c r="DC36" s="326"/>
      <c r="DD36" s="326"/>
      <c r="DE36" s="326"/>
      <c r="DF36" s="326"/>
      <c r="DG36" s="326"/>
      <c r="DH36" s="326"/>
      <c r="DI36" s="326"/>
      <c r="DJ36" s="326"/>
      <c r="DK36" s="326"/>
      <c r="DL36" s="326"/>
      <c r="DM36" s="326"/>
      <c r="DN36" s="326"/>
      <c r="DO36" s="326"/>
      <c r="DP36" s="326"/>
      <c r="DQ36" s="326"/>
      <c r="DR36" s="326"/>
      <c r="DS36" s="326"/>
      <c r="DT36" s="326"/>
      <c r="DU36" s="326"/>
      <c r="DV36" s="326"/>
      <c r="DW36" s="326"/>
      <c r="DX36" s="326"/>
      <c r="DY36" s="326"/>
      <c r="DZ36" s="326"/>
      <c r="EA36" s="326"/>
      <c r="EB36" s="326"/>
      <c r="EC36" s="326"/>
      <c r="ED36" s="326"/>
      <c r="EE36" s="326"/>
      <c r="EF36" s="326"/>
      <c r="EG36" s="326"/>
      <c r="EH36" s="326"/>
      <c r="EI36" s="326"/>
      <c r="EJ36" s="326"/>
      <c r="EK36" s="326"/>
      <c r="EL36" s="326"/>
      <c r="EM36" s="326"/>
      <c r="EN36" s="326"/>
      <c r="EO36" s="326"/>
      <c r="EP36" s="326"/>
      <c r="EQ36" s="326"/>
      <c r="ER36" s="326"/>
      <c r="ES36" s="326"/>
      <c r="ET36" s="326"/>
      <c r="EU36" s="326"/>
      <c r="EV36" s="326"/>
      <c r="EW36" s="326"/>
      <c r="EX36" s="326"/>
      <c r="EY36" s="326"/>
      <c r="EZ36" s="326"/>
      <c r="FA36" s="326"/>
      <c r="FB36" s="326"/>
      <c r="FC36" s="326"/>
      <c r="FD36" s="326"/>
      <c r="FE36" s="326"/>
      <c r="FF36" s="326"/>
      <c r="FG36" s="326"/>
      <c r="FH36" s="326"/>
      <c r="FI36" s="326"/>
      <c r="FJ36" s="326"/>
      <c r="FK36" s="326"/>
      <c r="FL36" s="326"/>
      <c r="FM36" s="326"/>
      <c r="FN36" s="326"/>
      <c r="FO36" s="326"/>
      <c r="FP36" s="326"/>
      <c r="FQ36" s="326"/>
      <c r="FR36" s="326"/>
      <c r="FS36" s="326"/>
      <c r="FT36" s="326"/>
      <c r="FU36" s="326"/>
      <c r="FV36" s="326"/>
      <c r="FW36" s="326"/>
      <c r="FX36" s="326"/>
      <c r="FY36" s="326"/>
      <c r="FZ36" s="326"/>
      <c r="GA36" s="326"/>
      <c r="GB36" s="326"/>
      <c r="GC36" s="326"/>
      <c r="GD36" s="326"/>
      <c r="GE36" s="326"/>
      <c r="GF36" s="326"/>
      <c r="GG36" s="326"/>
      <c r="GH36" s="326"/>
      <c r="GI36" s="326"/>
      <c r="GJ36" s="326"/>
      <c r="GK36" s="326"/>
      <c r="GL36" s="326"/>
      <c r="GM36" s="326"/>
      <c r="GN36" s="326"/>
      <c r="GO36" s="326"/>
      <c r="GP36" s="326"/>
      <c r="GQ36" s="326"/>
      <c r="GR36" s="326"/>
      <c r="GS36" s="326"/>
      <c r="GT36" s="326"/>
      <c r="GU36" s="326"/>
      <c r="GV36" s="326"/>
      <c r="GW36" s="326"/>
      <c r="GX36" s="326"/>
      <c r="GY36" s="326"/>
      <c r="GZ36" s="326"/>
      <c r="HA36" s="326"/>
      <c r="HB36" s="326"/>
      <c r="HC36" s="326"/>
      <c r="HD36" s="326"/>
      <c r="HE36" s="326"/>
      <c r="HF36" s="326"/>
      <c r="HG36" s="326"/>
      <c r="HH36" s="326"/>
      <c r="HI36" s="326"/>
      <c r="HJ36" s="326"/>
      <c r="HK36" s="326"/>
      <c r="HL36" s="326"/>
      <c r="HM36" s="326"/>
      <c r="HN36" s="326"/>
      <c r="HO36" s="326"/>
      <c r="HP36" s="326"/>
      <c r="HQ36" s="326"/>
      <c r="HR36" s="326"/>
      <c r="HS36" s="326"/>
      <c r="HT36" s="326"/>
      <c r="HU36" s="326"/>
      <c r="HV36" s="326"/>
      <c r="HW36" s="326"/>
      <c r="HX36" s="326"/>
      <c r="HY36" s="326"/>
      <c r="HZ36" s="326"/>
      <c r="IA36" s="326"/>
      <c r="IB36" s="326"/>
      <c r="IC36" s="326"/>
      <c r="ID36" s="326"/>
      <c r="IE36" s="326"/>
      <c r="IF36" s="326"/>
      <c r="IG36" s="326"/>
      <c r="IH36" s="326"/>
      <c r="II36" s="326"/>
      <c r="IJ36" s="326"/>
      <c r="IK36" s="326"/>
      <c r="IL36" s="326"/>
      <c r="IM36" s="326"/>
      <c r="IN36" s="326"/>
      <c r="IO36" s="326"/>
      <c r="IP36" s="326"/>
      <c r="IQ36" s="326"/>
      <c r="IR36" s="326"/>
      <c r="IS36" s="326"/>
      <c r="IT36" s="326"/>
      <c r="IU36" s="326"/>
      <c r="IV36" s="326"/>
    </row>
    <row r="37" spans="1:256" s="555" customFormat="1" ht="18" customHeight="1">
      <c r="A37" s="569">
        <v>28</v>
      </c>
      <c r="B37" s="563"/>
      <c r="C37" s="327"/>
      <c r="D37" s="478" t="s">
        <v>757</v>
      </c>
      <c r="E37" s="335"/>
      <c r="F37" s="559"/>
      <c r="G37" s="336"/>
      <c r="H37" s="766"/>
      <c r="I37" s="781"/>
      <c r="J37" s="777"/>
      <c r="K37" s="556">
        <v>564</v>
      </c>
      <c r="L37" s="556"/>
      <c r="M37" s="556">
        <v>753528</v>
      </c>
      <c r="N37" s="556"/>
      <c r="O37" s="564">
        <f>SUM(I37:N37)</f>
        <v>754092</v>
      </c>
      <c r="P37" s="560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326"/>
      <c r="CE37" s="326"/>
      <c r="CF37" s="326"/>
      <c r="CG37" s="326"/>
      <c r="CH37" s="326"/>
      <c r="CI37" s="326"/>
      <c r="CJ37" s="326"/>
      <c r="CK37" s="326"/>
      <c r="CL37" s="326"/>
      <c r="CM37" s="326"/>
      <c r="CN37" s="326"/>
      <c r="CO37" s="326"/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  <c r="DA37" s="326"/>
      <c r="DB37" s="326"/>
      <c r="DC37" s="326"/>
      <c r="DD37" s="326"/>
      <c r="DE37" s="326"/>
      <c r="DF37" s="326"/>
      <c r="DG37" s="326"/>
      <c r="DH37" s="326"/>
      <c r="DI37" s="326"/>
      <c r="DJ37" s="326"/>
      <c r="DK37" s="326"/>
      <c r="DL37" s="326"/>
      <c r="DM37" s="326"/>
      <c r="DN37" s="326"/>
      <c r="DO37" s="326"/>
      <c r="DP37" s="326"/>
      <c r="DQ37" s="326"/>
      <c r="DR37" s="326"/>
      <c r="DS37" s="326"/>
      <c r="DT37" s="326"/>
      <c r="DU37" s="326"/>
      <c r="DV37" s="326"/>
      <c r="DW37" s="326"/>
      <c r="DX37" s="326"/>
      <c r="DY37" s="326"/>
      <c r="DZ37" s="326"/>
      <c r="EA37" s="326"/>
      <c r="EB37" s="326"/>
      <c r="EC37" s="326"/>
      <c r="ED37" s="326"/>
      <c r="EE37" s="326"/>
      <c r="EF37" s="326"/>
      <c r="EG37" s="326"/>
      <c r="EH37" s="326"/>
      <c r="EI37" s="326"/>
      <c r="EJ37" s="326"/>
      <c r="EK37" s="326"/>
      <c r="EL37" s="326"/>
      <c r="EM37" s="326"/>
      <c r="EN37" s="326"/>
      <c r="EO37" s="326"/>
      <c r="EP37" s="326"/>
      <c r="EQ37" s="326"/>
      <c r="ER37" s="326"/>
      <c r="ES37" s="326"/>
      <c r="ET37" s="326"/>
      <c r="EU37" s="326"/>
      <c r="EV37" s="326"/>
      <c r="EW37" s="326"/>
      <c r="EX37" s="326"/>
      <c r="EY37" s="326"/>
      <c r="EZ37" s="326"/>
      <c r="FA37" s="326"/>
      <c r="FB37" s="326"/>
      <c r="FC37" s="326"/>
      <c r="FD37" s="326"/>
      <c r="FE37" s="326"/>
      <c r="FF37" s="326"/>
      <c r="FG37" s="326"/>
      <c r="FH37" s="326"/>
      <c r="FI37" s="326"/>
      <c r="FJ37" s="326"/>
      <c r="FK37" s="326"/>
      <c r="FL37" s="326"/>
      <c r="FM37" s="326"/>
      <c r="FN37" s="326"/>
      <c r="FO37" s="326"/>
      <c r="FP37" s="326"/>
      <c r="FQ37" s="326"/>
      <c r="FR37" s="326"/>
      <c r="FS37" s="326"/>
      <c r="FT37" s="326"/>
      <c r="FU37" s="326"/>
      <c r="FV37" s="326"/>
      <c r="FW37" s="326"/>
      <c r="FX37" s="326"/>
      <c r="FY37" s="326"/>
      <c r="FZ37" s="326"/>
      <c r="GA37" s="326"/>
      <c r="GB37" s="326"/>
      <c r="GC37" s="326"/>
      <c r="GD37" s="326"/>
      <c r="GE37" s="326"/>
      <c r="GF37" s="326"/>
      <c r="GG37" s="326"/>
      <c r="GH37" s="326"/>
      <c r="GI37" s="326"/>
      <c r="GJ37" s="326"/>
      <c r="GK37" s="326"/>
      <c r="GL37" s="326"/>
      <c r="GM37" s="326"/>
      <c r="GN37" s="326"/>
      <c r="GO37" s="326"/>
      <c r="GP37" s="326"/>
      <c r="GQ37" s="326"/>
      <c r="GR37" s="326"/>
      <c r="GS37" s="326"/>
      <c r="GT37" s="326"/>
      <c r="GU37" s="326"/>
      <c r="GV37" s="326"/>
      <c r="GW37" s="326"/>
      <c r="GX37" s="326"/>
      <c r="GY37" s="326"/>
      <c r="GZ37" s="326"/>
      <c r="HA37" s="326"/>
      <c r="HB37" s="326"/>
      <c r="HC37" s="326"/>
      <c r="HD37" s="326"/>
      <c r="HE37" s="326"/>
      <c r="HF37" s="326"/>
      <c r="HG37" s="326"/>
      <c r="HH37" s="326"/>
      <c r="HI37" s="326"/>
      <c r="HJ37" s="326"/>
      <c r="HK37" s="326"/>
      <c r="HL37" s="326"/>
      <c r="HM37" s="326"/>
      <c r="HN37" s="326"/>
      <c r="HO37" s="326"/>
      <c r="HP37" s="326"/>
      <c r="HQ37" s="326"/>
      <c r="HR37" s="326"/>
      <c r="HS37" s="326"/>
      <c r="HT37" s="326"/>
      <c r="HU37" s="326"/>
      <c r="HV37" s="326"/>
      <c r="HW37" s="326"/>
      <c r="HX37" s="326"/>
      <c r="HY37" s="326"/>
      <c r="HZ37" s="326"/>
      <c r="IA37" s="326"/>
      <c r="IB37" s="326"/>
      <c r="IC37" s="326"/>
      <c r="ID37" s="326"/>
      <c r="IE37" s="326"/>
      <c r="IF37" s="326"/>
      <c r="IG37" s="326"/>
      <c r="IH37" s="326"/>
      <c r="II37" s="326"/>
      <c r="IJ37" s="326"/>
      <c r="IK37" s="326"/>
      <c r="IL37" s="326"/>
      <c r="IM37" s="326"/>
      <c r="IN37" s="326"/>
      <c r="IO37" s="326"/>
      <c r="IP37" s="326"/>
      <c r="IQ37" s="326"/>
      <c r="IR37" s="326"/>
      <c r="IS37" s="326"/>
      <c r="IT37" s="326"/>
      <c r="IU37" s="326"/>
      <c r="IV37" s="326"/>
    </row>
    <row r="38" spans="1:256" s="555" customFormat="1" ht="18" customHeight="1">
      <c r="A38" s="569">
        <v>29</v>
      </c>
      <c r="B38" s="563"/>
      <c r="C38" s="327"/>
      <c r="D38" s="1090" t="s">
        <v>893</v>
      </c>
      <c r="E38" s="335"/>
      <c r="F38" s="559"/>
      <c r="G38" s="336"/>
      <c r="H38" s="766"/>
      <c r="I38" s="781"/>
      <c r="J38" s="777"/>
      <c r="K38" s="1186">
        <v>0</v>
      </c>
      <c r="L38" s="1186"/>
      <c r="M38" s="1186">
        <v>387989</v>
      </c>
      <c r="N38" s="1186"/>
      <c r="O38" s="1723">
        <f>SUM(I38:N38)</f>
        <v>387989</v>
      </c>
      <c r="P38" s="560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  <c r="DB38" s="326"/>
      <c r="DC38" s="326"/>
      <c r="DD38" s="326"/>
      <c r="DE38" s="326"/>
      <c r="DF38" s="326"/>
      <c r="DG38" s="326"/>
      <c r="DH38" s="326"/>
      <c r="DI38" s="326"/>
      <c r="DJ38" s="326"/>
      <c r="DK38" s="326"/>
      <c r="DL38" s="326"/>
      <c r="DM38" s="326"/>
      <c r="DN38" s="326"/>
      <c r="DO38" s="326"/>
      <c r="DP38" s="326"/>
      <c r="DQ38" s="326"/>
      <c r="DR38" s="326"/>
      <c r="DS38" s="326"/>
      <c r="DT38" s="326"/>
      <c r="DU38" s="326"/>
      <c r="DV38" s="326"/>
      <c r="DW38" s="326"/>
      <c r="DX38" s="326"/>
      <c r="DY38" s="326"/>
      <c r="DZ38" s="326"/>
      <c r="EA38" s="326"/>
      <c r="EB38" s="326"/>
      <c r="EC38" s="326"/>
      <c r="ED38" s="326"/>
      <c r="EE38" s="326"/>
      <c r="EF38" s="326"/>
      <c r="EG38" s="326"/>
      <c r="EH38" s="326"/>
      <c r="EI38" s="326"/>
      <c r="EJ38" s="326"/>
      <c r="EK38" s="326"/>
      <c r="EL38" s="326"/>
      <c r="EM38" s="326"/>
      <c r="EN38" s="326"/>
      <c r="EO38" s="326"/>
      <c r="EP38" s="326"/>
      <c r="EQ38" s="326"/>
      <c r="ER38" s="326"/>
      <c r="ES38" s="326"/>
      <c r="ET38" s="326"/>
      <c r="EU38" s="326"/>
      <c r="EV38" s="326"/>
      <c r="EW38" s="326"/>
      <c r="EX38" s="326"/>
      <c r="EY38" s="326"/>
      <c r="EZ38" s="326"/>
      <c r="FA38" s="326"/>
      <c r="FB38" s="326"/>
      <c r="FC38" s="326"/>
      <c r="FD38" s="326"/>
      <c r="FE38" s="326"/>
      <c r="FF38" s="326"/>
      <c r="FG38" s="326"/>
      <c r="FH38" s="326"/>
      <c r="FI38" s="326"/>
      <c r="FJ38" s="326"/>
      <c r="FK38" s="326"/>
      <c r="FL38" s="326"/>
      <c r="FM38" s="326"/>
      <c r="FN38" s="326"/>
      <c r="FO38" s="326"/>
      <c r="FP38" s="326"/>
      <c r="FQ38" s="326"/>
      <c r="FR38" s="326"/>
      <c r="FS38" s="326"/>
      <c r="FT38" s="326"/>
      <c r="FU38" s="326"/>
      <c r="FV38" s="326"/>
      <c r="FW38" s="326"/>
      <c r="FX38" s="326"/>
      <c r="FY38" s="326"/>
      <c r="FZ38" s="326"/>
      <c r="GA38" s="326"/>
      <c r="GB38" s="326"/>
      <c r="GC38" s="326"/>
      <c r="GD38" s="326"/>
      <c r="GE38" s="326"/>
      <c r="GF38" s="326"/>
      <c r="GG38" s="326"/>
      <c r="GH38" s="326"/>
      <c r="GI38" s="326"/>
      <c r="GJ38" s="326"/>
      <c r="GK38" s="326"/>
      <c r="GL38" s="326"/>
      <c r="GM38" s="326"/>
      <c r="GN38" s="326"/>
      <c r="GO38" s="326"/>
      <c r="GP38" s="326"/>
      <c r="GQ38" s="326"/>
      <c r="GR38" s="326"/>
      <c r="GS38" s="326"/>
      <c r="GT38" s="326"/>
      <c r="GU38" s="326"/>
      <c r="GV38" s="326"/>
      <c r="GW38" s="326"/>
      <c r="GX38" s="326"/>
      <c r="GY38" s="326"/>
      <c r="GZ38" s="326"/>
      <c r="HA38" s="326"/>
      <c r="HB38" s="326"/>
      <c r="HC38" s="326"/>
      <c r="HD38" s="326"/>
      <c r="HE38" s="326"/>
      <c r="HF38" s="326"/>
      <c r="HG38" s="326"/>
      <c r="HH38" s="326"/>
      <c r="HI38" s="326"/>
      <c r="HJ38" s="326"/>
      <c r="HK38" s="326"/>
      <c r="HL38" s="326"/>
      <c r="HM38" s="326"/>
      <c r="HN38" s="326"/>
      <c r="HO38" s="326"/>
      <c r="HP38" s="326"/>
      <c r="HQ38" s="326"/>
      <c r="HR38" s="326"/>
      <c r="HS38" s="326"/>
      <c r="HT38" s="326"/>
      <c r="HU38" s="326"/>
      <c r="HV38" s="326"/>
      <c r="HW38" s="326"/>
      <c r="HX38" s="326"/>
      <c r="HY38" s="326"/>
      <c r="HZ38" s="326"/>
      <c r="IA38" s="326"/>
      <c r="IB38" s="326"/>
      <c r="IC38" s="326"/>
      <c r="ID38" s="326"/>
      <c r="IE38" s="326"/>
      <c r="IF38" s="326"/>
      <c r="IG38" s="326"/>
      <c r="IH38" s="326"/>
      <c r="II38" s="326"/>
      <c r="IJ38" s="326"/>
      <c r="IK38" s="326"/>
      <c r="IL38" s="326"/>
      <c r="IM38" s="326"/>
      <c r="IN38" s="326"/>
      <c r="IO38" s="326"/>
      <c r="IP38" s="326"/>
      <c r="IQ38" s="326"/>
      <c r="IR38" s="326"/>
      <c r="IS38" s="326"/>
      <c r="IT38" s="326"/>
      <c r="IU38" s="326"/>
      <c r="IV38" s="326"/>
    </row>
    <row r="39" spans="1:16" ht="22.5" customHeight="1">
      <c r="A39" s="569">
        <v>30</v>
      </c>
      <c r="B39" s="462"/>
      <c r="C39" s="366">
        <v>8</v>
      </c>
      <c r="D39" s="573" t="s">
        <v>529</v>
      </c>
      <c r="E39" s="335"/>
      <c r="F39" s="559"/>
      <c r="G39" s="336"/>
      <c r="H39" s="766" t="s">
        <v>23</v>
      </c>
      <c r="I39" s="781"/>
      <c r="J39" s="777"/>
      <c r="K39" s="777"/>
      <c r="L39" s="777"/>
      <c r="M39" s="777"/>
      <c r="N39" s="777"/>
      <c r="O39" s="564"/>
      <c r="P39" s="560"/>
    </row>
    <row r="40" spans="1:256" s="555" customFormat="1" ht="18" customHeight="1">
      <c r="A40" s="569">
        <v>31</v>
      </c>
      <c r="B40" s="563"/>
      <c r="C40" s="366"/>
      <c r="D40" s="1194" t="s">
        <v>283</v>
      </c>
      <c r="E40" s="335">
        <f>F40+G40+O41+P40</f>
        <v>3901162</v>
      </c>
      <c r="F40" s="559"/>
      <c r="G40" s="336"/>
      <c r="H40" s="766"/>
      <c r="I40" s="781"/>
      <c r="J40" s="777"/>
      <c r="K40" s="777"/>
      <c r="L40" s="777"/>
      <c r="M40" s="777">
        <v>1084455</v>
      </c>
      <c r="N40" s="777"/>
      <c r="O40" s="751">
        <f>SUM(I40:N40)</f>
        <v>1084455</v>
      </c>
      <c r="P40" s="560">
        <v>2816707</v>
      </c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  <c r="BW40" s="326"/>
      <c r="BX40" s="326"/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6"/>
      <c r="CN40" s="326"/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6"/>
      <c r="DD40" s="326"/>
      <c r="DE40" s="326"/>
      <c r="DF40" s="326"/>
      <c r="DG40" s="326"/>
      <c r="DH40" s="326"/>
      <c r="DI40" s="326"/>
      <c r="DJ40" s="326"/>
      <c r="DK40" s="326"/>
      <c r="DL40" s="326"/>
      <c r="DM40" s="326"/>
      <c r="DN40" s="326"/>
      <c r="DO40" s="326"/>
      <c r="DP40" s="326"/>
      <c r="DQ40" s="326"/>
      <c r="DR40" s="326"/>
      <c r="DS40" s="326"/>
      <c r="DT40" s="326"/>
      <c r="DU40" s="326"/>
      <c r="DV40" s="326"/>
      <c r="DW40" s="326"/>
      <c r="DX40" s="326"/>
      <c r="DY40" s="326"/>
      <c r="DZ40" s="326"/>
      <c r="EA40" s="326"/>
      <c r="EB40" s="326"/>
      <c r="EC40" s="326"/>
      <c r="ED40" s="326"/>
      <c r="EE40" s="326"/>
      <c r="EF40" s="326"/>
      <c r="EG40" s="326"/>
      <c r="EH40" s="326"/>
      <c r="EI40" s="326"/>
      <c r="EJ40" s="326"/>
      <c r="EK40" s="326"/>
      <c r="EL40" s="326"/>
      <c r="EM40" s="326"/>
      <c r="EN40" s="326"/>
      <c r="EO40" s="326"/>
      <c r="EP40" s="326"/>
      <c r="EQ40" s="326"/>
      <c r="ER40" s="326"/>
      <c r="ES40" s="326"/>
      <c r="ET40" s="326"/>
      <c r="EU40" s="326"/>
      <c r="EV40" s="326"/>
      <c r="EW40" s="326"/>
      <c r="EX40" s="326"/>
      <c r="EY40" s="326"/>
      <c r="EZ40" s="326"/>
      <c r="FA40" s="326"/>
      <c r="FB40" s="326"/>
      <c r="FC40" s="326"/>
      <c r="FD40" s="326"/>
      <c r="FE40" s="326"/>
      <c r="FF40" s="326"/>
      <c r="FG40" s="326"/>
      <c r="FH40" s="326"/>
      <c r="FI40" s="326"/>
      <c r="FJ40" s="326"/>
      <c r="FK40" s="326"/>
      <c r="FL40" s="326"/>
      <c r="FM40" s="326"/>
      <c r="FN40" s="326"/>
      <c r="FO40" s="326"/>
      <c r="FP40" s="326"/>
      <c r="FQ40" s="326"/>
      <c r="FR40" s="326"/>
      <c r="FS40" s="326"/>
      <c r="FT40" s="326"/>
      <c r="FU40" s="326"/>
      <c r="FV40" s="326"/>
      <c r="FW40" s="326"/>
      <c r="FX40" s="326"/>
      <c r="FY40" s="326"/>
      <c r="FZ40" s="326"/>
      <c r="GA40" s="326"/>
      <c r="GB40" s="326"/>
      <c r="GC40" s="326"/>
      <c r="GD40" s="326"/>
      <c r="GE40" s="326"/>
      <c r="GF40" s="326"/>
      <c r="GG40" s="326"/>
      <c r="GH40" s="326"/>
      <c r="GI40" s="326"/>
      <c r="GJ40" s="326"/>
      <c r="GK40" s="326"/>
      <c r="GL40" s="326"/>
      <c r="GM40" s="326"/>
      <c r="GN40" s="326"/>
      <c r="GO40" s="326"/>
      <c r="GP40" s="326"/>
      <c r="GQ40" s="326"/>
      <c r="GR40" s="326"/>
      <c r="GS40" s="326"/>
      <c r="GT40" s="326"/>
      <c r="GU40" s="326"/>
      <c r="GV40" s="326"/>
      <c r="GW40" s="326"/>
      <c r="GX40" s="326"/>
      <c r="GY40" s="326"/>
      <c r="GZ40" s="326"/>
      <c r="HA40" s="326"/>
      <c r="HB40" s="326"/>
      <c r="HC40" s="326"/>
      <c r="HD40" s="326"/>
      <c r="HE40" s="326"/>
      <c r="HF40" s="326"/>
      <c r="HG40" s="326"/>
      <c r="HH40" s="326"/>
      <c r="HI40" s="326"/>
      <c r="HJ40" s="326"/>
      <c r="HK40" s="326"/>
      <c r="HL40" s="326"/>
      <c r="HM40" s="326"/>
      <c r="HN40" s="326"/>
      <c r="HO40" s="326"/>
      <c r="HP40" s="326"/>
      <c r="HQ40" s="326"/>
      <c r="HR40" s="326"/>
      <c r="HS40" s="326"/>
      <c r="HT40" s="326"/>
      <c r="HU40" s="326"/>
      <c r="HV40" s="326"/>
      <c r="HW40" s="326"/>
      <c r="HX40" s="326"/>
      <c r="HY40" s="326"/>
      <c r="HZ40" s="326"/>
      <c r="IA40" s="326"/>
      <c r="IB40" s="326"/>
      <c r="IC40" s="326"/>
      <c r="ID40" s="326"/>
      <c r="IE40" s="326"/>
      <c r="IF40" s="326"/>
      <c r="IG40" s="326"/>
      <c r="IH40" s="326"/>
      <c r="II40" s="326"/>
      <c r="IJ40" s="326"/>
      <c r="IK40" s="326"/>
      <c r="IL40" s="326"/>
      <c r="IM40" s="326"/>
      <c r="IN40" s="326"/>
      <c r="IO40" s="326"/>
      <c r="IP40" s="326"/>
      <c r="IQ40" s="326"/>
      <c r="IR40" s="326"/>
      <c r="IS40" s="326"/>
      <c r="IT40" s="326"/>
      <c r="IU40" s="326"/>
      <c r="IV40" s="326"/>
    </row>
    <row r="41" spans="1:256" s="555" customFormat="1" ht="18" customHeight="1">
      <c r="A41" s="569">
        <v>32</v>
      </c>
      <c r="B41" s="563"/>
      <c r="C41" s="366"/>
      <c r="D41" s="478" t="s">
        <v>757</v>
      </c>
      <c r="E41" s="335"/>
      <c r="F41" s="559"/>
      <c r="G41" s="336"/>
      <c r="H41" s="766"/>
      <c r="I41" s="781"/>
      <c r="J41" s="777"/>
      <c r="K41" s="777"/>
      <c r="L41" s="777"/>
      <c r="M41" s="556">
        <v>1084455</v>
      </c>
      <c r="N41" s="556"/>
      <c r="O41" s="564">
        <f>SUM(I41:N41)</f>
        <v>1084455</v>
      </c>
      <c r="P41" s="560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26"/>
      <c r="BX41" s="326"/>
      <c r="BY41" s="326"/>
      <c r="BZ41" s="326"/>
      <c r="CA41" s="326"/>
      <c r="CB41" s="326"/>
      <c r="CC41" s="326"/>
      <c r="CD41" s="326"/>
      <c r="CE41" s="326"/>
      <c r="CF41" s="326"/>
      <c r="CG41" s="326"/>
      <c r="CH41" s="326"/>
      <c r="CI41" s="326"/>
      <c r="CJ41" s="326"/>
      <c r="CK41" s="326"/>
      <c r="CL41" s="326"/>
      <c r="CM41" s="326"/>
      <c r="CN41" s="326"/>
      <c r="CO41" s="326"/>
      <c r="CP41" s="326"/>
      <c r="CQ41" s="326"/>
      <c r="CR41" s="326"/>
      <c r="CS41" s="326"/>
      <c r="CT41" s="326"/>
      <c r="CU41" s="326"/>
      <c r="CV41" s="326"/>
      <c r="CW41" s="326"/>
      <c r="CX41" s="326"/>
      <c r="CY41" s="326"/>
      <c r="CZ41" s="326"/>
      <c r="DA41" s="326"/>
      <c r="DB41" s="326"/>
      <c r="DC41" s="326"/>
      <c r="DD41" s="326"/>
      <c r="DE41" s="326"/>
      <c r="DF41" s="326"/>
      <c r="DG41" s="326"/>
      <c r="DH41" s="326"/>
      <c r="DI41" s="326"/>
      <c r="DJ41" s="326"/>
      <c r="DK41" s="326"/>
      <c r="DL41" s="326"/>
      <c r="DM41" s="326"/>
      <c r="DN41" s="326"/>
      <c r="DO41" s="326"/>
      <c r="DP41" s="326"/>
      <c r="DQ41" s="326"/>
      <c r="DR41" s="326"/>
      <c r="DS41" s="326"/>
      <c r="DT41" s="326"/>
      <c r="DU41" s="326"/>
      <c r="DV41" s="326"/>
      <c r="DW41" s="326"/>
      <c r="DX41" s="326"/>
      <c r="DY41" s="326"/>
      <c r="DZ41" s="326"/>
      <c r="EA41" s="326"/>
      <c r="EB41" s="326"/>
      <c r="EC41" s="326"/>
      <c r="ED41" s="326"/>
      <c r="EE41" s="326"/>
      <c r="EF41" s="326"/>
      <c r="EG41" s="326"/>
      <c r="EH41" s="326"/>
      <c r="EI41" s="326"/>
      <c r="EJ41" s="326"/>
      <c r="EK41" s="326"/>
      <c r="EL41" s="326"/>
      <c r="EM41" s="326"/>
      <c r="EN41" s="326"/>
      <c r="EO41" s="326"/>
      <c r="EP41" s="326"/>
      <c r="EQ41" s="326"/>
      <c r="ER41" s="326"/>
      <c r="ES41" s="326"/>
      <c r="ET41" s="326"/>
      <c r="EU41" s="326"/>
      <c r="EV41" s="326"/>
      <c r="EW41" s="326"/>
      <c r="EX41" s="326"/>
      <c r="EY41" s="326"/>
      <c r="EZ41" s="326"/>
      <c r="FA41" s="326"/>
      <c r="FB41" s="326"/>
      <c r="FC41" s="326"/>
      <c r="FD41" s="326"/>
      <c r="FE41" s="326"/>
      <c r="FF41" s="326"/>
      <c r="FG41" s="326"/>
      <c r="FH41" s="326"/>
      <c r="FI41" s="326"/>
      <c r="FJ41" s="326"/>
      <c r="FK41" s="326"/>
      <c r="FL41" s="326"/>
      <c r="FM41" s="326"/>
      <c r="FN41" s="326"/>
      <c r="FO41" s="326"/>
      <c r="FP41" s="326"/>
      <c r="FQ41" s="326"/>
      <c r="FR41" s="326"/>
      <c r="FS41" s="326"/>
      <c r="FT41" s="326"/>
      <c r="FU41" s="326"/>
      <c r="FV41" s="326"/>
      <c r="FW41" s="326"/>
      <c r="FX41" s="326"/>
      <c r="FY41" s="326"/>
      <c r="FZ41" s="326"/>
      <c r="GA41" s="326"/>
      <c r="GB41" s="326"/>
      <c r="GC41" s="326"/>
      <c r="GD41" s="326"/>
      <c r="GE41" s="326"/>
      <c r="GF41" s="326"/>
      <c r="GG41" s="326"/>
      <c r="GH41" s="326"/>
      <c r="GI41" s="326"/>
      <c r="GJ41" s="326"/>
      <c r="GK41" s="326"/>
      <c r="GL41" s="326"/>
      <c r="GM41" s="326"/>
      <c r="GN41" s="326"/>
      <c r="GO41" s="326"/>
      <c r="GP41" s="326"/>
      <c r="GQ41" s="326"/>
      <c r="GR41" s="326"/>
      <c r="GS41" s="326"/>
      <c r="GT41" s="326"/>
      <c r="GU41" s="326"/>
      <c r="GV41" s="326"/>
      <c r="GW41" s="326"/>
      <c r="GX41" s="326"/>
      <c r="GY41" s="326"/>
      <c r="GZ41" s="326"/>
      <c r="HA41" s="326"/>
      <c r="HB41" s="326"/>
      <c r="HC41" s="326"/>
      <c r="HD41" s="326"/>
      <c r="HE41" s="326"/>
      <c r="HF41" s="326"/>
      <c r="HG41" s="326"/>
      <c r="HH41" s="326"/>
      <c r="HI41" s="326"/>
      <c r="HJ41" s="326"/>
      <c r="HK41" s="326"/>
      <c r="HL41" s="326"/>
      <c r="HM41" s="326"/>
      <c r="HN41" s="326"/>
      <c r="HO41" s="326"/>
      <c r="HP41" s="326"/>
      <c r="HQ41" s="326"/>
      <c r="HR41" s="326"/>
      <c r="HS41" s="326"/>
      <c r="HT41" s="326"/>
      <c r="HU41" s="326"/>
      <c r="HV41" s="326"/>
      <c r="HW41" s="326"/>
      <c r="HX41" s="326"/>
      <c r="HY41" s="326"/>
      <c r="HZ41" s="326"/>
      <c r="IA41" s="326"/>
      <c r="IB41" s="326"/>
      <c r="IC41" s="326"/>
      <c r="ID41" s="326"/>
      <c r="IE41" s="326"/>
      <c r="IF41" s="326"/>
      <c r="IG41" s="326"/>
      <c r="IH41" s="326"/>
      <c r="II41" s="326"/>
      <c r="IJ41" s="326"/>
      <c r="IK41" s="326"/>
      <c r="IL41" s="326"/>
      <c r="IM41" s="326"/>
      <c r="IN41" s="326"/>
      <c r="IO41" s="326"/>
      <c r="IP41" s="326"/>
      <c r="IQ41" s="326"/>
      <c r="IR41" s="326"/>
      <c r="IS41" s="326"/>
      <c r="IT41" s="326"/>
      <c r="IU41" s="326"/>
      <c r="IV41" s="326"/>
    </row>
    <row r="42" spans="1:256" s="555" customFormat="1" ht="18" customHeight="1">
      <c r="A42" s="569">
        <v>33</v>
      </c>
      <c r="B42" s="563"/>
      <c r="C42" s="366"/>
      <c r="D42" s="1090" t="s">
        <v>893</v>
      </c>
      <c r="E42" s="335"/>
      <c r="F42" s="559"/>
      <c r="G42" s="336"/>
      <c r="H42" s="766"/>
      <c r="I42" s="781"/>
      <c r="J42" s="777"/>
      <c r="K42" s="777"/>
      <c r="L42" s="777"/>
      <c r="M42" s="1186">
        <v>0</v>
      </c>
      <c r="N42" s="1186"/>
      <c r="O42" s="1723">
        <f>SUM(I42:N42)</f>
        <v>0</v>
      </c>
      <c r="P42" s="560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  <c r="DA42" s="326"/>
      <c r="DB42" s="326"/>
      <c r="DC42" s="326"/>
      <c r="DD42" s="326"/>
      <c r="DE42" s="326"/>
      <c r="DF42" s="326"/>
      <c r="DG42" s="326"/>
      <c r="DH42" s="326"/>
      <c r="DI42" s="326"/>
      <c r="DJ42" s="326"/>
      <c r="DK42" s="326"/>
      <c r="DL42" s="326"/>
      <c r="DM42" s="326"/>
      <c r="DN42" s="326"/>
      <c r="DO42" s="326"/>
      <c r="DP42" s="326"/>
      <c r="DQ42" s="326"/>
      <c r="DR42" s="326"/>
      <c r="DS42" s="326"/>
      <c r="DT42" s="326"/>
      <c r="DU42" s="326"/>
      <c r="DV42" s="326"/>
      <c r="DW42" s="326"/>
      <c r="DX42" s="326"/>
      <c r="DY42" s="326"/>
      <c r="DZ42" s="326"/>
      <c r="EA42" s="326"/>
      <c r="EB42" s="326"/>
      <c r="EC42" s="326"/>
      <c r="ED42" s="326"/>
      <c r="EE42" s="326"/>
      <c r="EF42" s="326"/>
      <c r="EG42" s="326"/>
      <c r="EH42" s="326"/>
      <c r="EI42" s="326"/>
      <c r="EJ42" s="326"/>
      <c r="EK42" s="326"/>
      <c r="EL42" s="326"/>
      <c r="EM42" s="326"/>
      <c r="EN42" s="326"/>
      <c r="EO42" s="326"/>
      <c r="EP42" s="326"/>
      <c r="EQ42" s="326"/>
      <c r="ER42" s="326"/>
      <c r="ES42" s="326"/>
      <c r="ET42" s="326"/>
      <c r="EU42" s="326"/>
      <c r="EV42" s="326"/>
      <c r="EW42" s="326"/>
      <c r="EX42" s="326"/>
      <c r="EY42" s="326"/>
      <c r="EZ42" s="326"/>
      <c r="FA42" s="326"/>
      <c r="FB42" s="326"/>
      <c r="FC42" s="326"/>
      <c r="FD42" s="326"/>
      <c r="FE42" s="326"/>
      <c r="FF42" s="326"/>
      <c r="FG42" s="326"/>
      <c r="FH42" s="326"/>
      <c r="FI42" s="326"/>
      <c r="FJ42" s="326"/>
      <c r="FK42" s="326"/>
      <c r="FL42" s="326"/>
      <c r="FM42" s="326"/>
      <c r="FN42" s="326"/>
      <c r="FO42" s="326"/>
      <c r="FP42" s="326"/>
      <c r="FQ42" s="326"/>
      <c r="FR42" s="326"/>
      <c r="FS42" s="326"/>
      <c r="FT42" s="326"/>
      <c r="FU42" s="326"/>
      <c r="FV42" s="326"/>
      <c r="FW42" s="326"/>
      <c r="FX42" s="326"/>
      <c r="FY42" s="326"/>
      <c r="FZ42" s="326"/>
      <c r="GA42" s="326"/>
      <c r="GB42" s="326"/>
      <c r="GC42" s="326"/>
      <c r="GD42" s="326"/>
      <c r="GE42" s="326"/>
      <c r="GF42" s="326"/>
      <c r="GG42" s="326"/>
      <c r="GH42" s="326"/>
      <c r="GI42" s="326"/>
      <c r="GJ42" s="326"/>
      <c r="GK42" s="326"/>
      <c r="GL42" s="326"/>
      <c r="GM42" s="326"/>
      <c r="GN42" s="326"/>
      <c r="GO42" s="326"/>
      <c r="GP42" s="326"/>
      <c r="GQ42" s="326"/>
      <c r="GR42" s="326"/>
      <c r="GS42" s="326"/>
      <c r="GT42" s="326"/>
      <c r="GU42" s="326"/>
      <c r="GV42" s="326"/>
      <c r="GW42" s="326"/>
      <c r="GX42" s="326"/>
      <c r="GY42" s="326"/>
      <c r="GZ42" s="326"/>
      <c r="HA42" s="326"/>
      <c r="HB42" s="326"/>
      <c r="HC42" s="326"/>
      <c r="HD42" s="326"/>
      <c r="HE42" s="326"/>
      <c r="HF42" s="326"/>
      <c r="HG42" s="326"/>
      <c r="HH42" s="326"/>
      <c r="HI42" s="326"/>
      <c r="HJ42" s="326"/>
      <c r="HK42" s="326"/>
      <c r="HL42" s="326"/>
      <c r="HM42" s="326"/>
      <c r="HN42" s="326"/>
      <c r="HO42" s="326"/>
      <c r="HP42" s="326"/>
      <c r="HQ42" s="326"/>
      <c r="HR42" s="326"/>
      <c r="HS42" s="326"/>
      <c r="HT42" s="326"/>
      <c r="HU42" s="326"/>
      <c r="HV42" s="326"/>
      <c r="HW42" s="326"/>
      <c r="HX42" s="326"/>
      <c r="HY42" s="326"/>
      <c r="HZ42" s="326"/>
      <c r="IA42" s="326"/>
      <c r="IB42" s="326"/>
      <c r="IC42" s="326"/>
      <c r="ID42" s="326"/>
      <c r="IE42" s="326"/>
      <c r="IF42" s="326"/>
      <c r="IG42" s="326"/>
      <c r="IH42" s="326"/>
      <c r="II42" s="326"/>
      <c r="IJ42" s="326"/>
      <c r="IK42" s="326"/>
      <c r="IL42" s="326"/>
      <c r="IM42" s="326"/>
      <c r="IN42" s="326"/>
      <c r="IO42" s="326"/>
      <c r="IP42" s="326"/>
      <c r="IQ42" s="326"/>
      <c r="IR42" s="326"/>
      <c r="IS42" s="326"/>
      <c r="IT42" s="326"/>
      <c r="IU42" s="326"/>
      <c r="IV42" s="326"/>
    </row>
    <row r="43" spans="1:16" ht="22.5" customHeight="1">
      <c r="A43" s="569">
        <v>34</v>
      </c>
      <c r="B43" s="462"/>
      <c r="C43" s="366">
        <v>9</v>
      </c>
      <c r="D43" s="567" t="s">
        <v>457</v>
      </c>
      <c r="E43" s="335"/>
      <c r="F43" s="559"/>
      <c r="G43" s="336"/>
      <c r="H43" s="766" t="s">
        <v>23</v>
      </c>
      <c r="I43" s="781"/>
      <c r="J43" s="777"/>
      <c r="K43" s="777"/>
      <c r="L43" s="777"/>
      <c r="M43" s="777"/>
      <c r="N43" s="777"/>
      <c r="O43" s="564"/>
      <c r="P43" s="560"/>
    </row>
    <row r="44" spans="1:256" s="555" customFormat="1" ht="18" customHeight="1">
      <c r="A44" s="569">
        <v>35</v>
      </c>
      <c r="B44" s="563"/>
      <c r="C44" s="327"/>
      <c r="D44" s="1194" t="s">
        <v>283</v>
      </c>
      <c r="E44" s="335">
        <f>F44+G44+O45+P44</f>
        <v>3095</v>
      </c>
      <c r="F44" s="559"/>
      <c r="G44" s="336"/>
      <c r="H44" s="766"/>
      <c r="I44" s="781"/>
      <c r="J44" s="777"/>
      <c r="K44" s="777">
        <f>5000-1905</f>
        <v>3095</v>
      </c>
      <c r="L44" s="777"/>
      <c r="M44" s="777"/>
      <c r="N44" s="777"/>
      <c r="O44" s="751">
        <f>SUM(I44:N44)</f>
        <v>3095</v>
      </c>
      <c r="P44" s="560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6"/>
      <c r="BD44" s="326"/>
      <c r="BE44" s="326"/>
      <c r="BF44" s="326"/>
      <c r="BG44" s="326"/>
      <c r="BH44" s="326"/>
      <c r="BI44" s="326"/>
      <c r="BJ44" s="326"/>
      <c r="BK44" s="326"/>
      <c r="BL44" s="326"/>
      <c r="BM44" s="326"/>
      <c r="BN44" s="326"/>
      <c r="BO44" s="326"/>
      <c r="BP44" s="326"/>
      <c r="BQ44" s="326"/>
      <c r="BR44" s="326"/>
      <c r="BS44" s="326"/>
      <c r="BT44" s="326"/>
      <c r="BU44" s="326"/>
      <c r="BV44" s="326"/>
      <c r="BW44" s="326"/>
      <c r="BX44" s="326"/>
      <c r="BY44" s="326"/>
      <c r="BZ44" s="326"/>
      <c r="CA44" s="326"/>
      <c r="CB44" s="326"/>
      <c r="CC44" s="326"/>
      <c r="CD44" s="326"/>
      <c r="CE44" s="326"/>
      <c r="CF44" s="326"/>
      <c r="CG44" s="326"/>
      <c r="CH44" s="326"/>
      <c r="CI44" s="326"/>
      <c r="CJ44" s="326"/>
      <c r="CK44" s="326"/>
      <c r="CL44" s="326"/>
      <c r="CM44" s="326"/>
      <c r="CN44" s="326"/>
      <c r="CO44" s="326"/>
      <c r="CP44" s="326"/>
      <c r="CQ44" s="326"/>
      <c r="CR44" s="326"/>
      <c r="CS44" s="326"/>
      <c r="CT44" s="326"/>
      <c r="CU44" s="326"/>
      <c r="CV44" s="326"/>
      <c r="CW44" s="326"/>
      <c r="CX44" s="326"/>
      <c r="CY44" s="326"/>
      <c r="CZ44" s="326"/>
      <c r="DA44" s="326"/>
      <c r="DB44" s="326"/>
      <c r="DC44" s="326"/>
      <c r="DD44" s="326"/>
      <c r="DE44" s="326"/>
      <c r="DF44" s="326"/>
      <c r="DG44" s="326"/>
      <c r="DH44" s="326"/>
      <c r="DI44" s="326"/>
      <c r="DJ44" s="326"/>
      <c r="DK44" s="326"/>
      <c r="DL44" s="326"/>
      <c r="DM44" s="326"/>
      <c r="DN44" s="326"/>
      <c r="DO44" s="326"/>
      <c r="DP44" s="326"/>
      <c r="DQ44" s="326"/>
      <c r="DR44" s="326"/>
      <c r="DS44" s="326"/>
      <c r="DT44" s="326"/>
      <c r="DU44" s="326"/>
      <c r="DV44" s="326"/>
      <c r="DW44" s="326"/>
      <c r="DX44" s="326"/>
      <c r="DY44" s="326"/>
      <c r="DZ44" s="326"/>
      <c r="EA44" s="326"/>
      <c r="EB44" s="326"/>
      <c r="EC44" s="326"/>
      <c r="ED44" s="326"/>
      <c r="EE44" s="326"/>
      <c r="EF44" s="326"/>
      <c r="EG44" s="326"/>
      <c r="EH44" s="326"/>
      <c r="EI44" s="326"/>
      <c r="EJ44" s="326"/>
      <c r="EK44" s="326"/>
      <c r="EL44" s="326"/>
      <c r="EM44" s="326"/>
      <c r="EN44" s="326"/>
      <c r="EO44" s="326"/>
      <c r="EP44" s="326"/>
      <c r="EQ44" s="326"/>
      <c r="ER44" s="326"/>
      <c r="ES44" s="326"/>
      <c r="ET44" s="326"/>
      <c r="EU44" s="326"/>
      <c r="EV44" s="326"/>
      <c r="EW44" s="326"/>
      <c r="EX44" s="326"/>
      <c r="EY44" s="326"/>
      <c r="EZ44" s="326"/>
      <c r="FA44" s="326"/>
      <c r="FB44" s="326"/>
      <c r="FC44" s="326"/>
      <c r="FD44" s="326"/>
      <c r="FE44" s="326"/>
      <c r="FF44" s="326"/>
      <c r="FG44" s="326"/>
      <c r="FH44" s="326"/>
      <c r="FI44" s="326"/>
      <c r="FJ44" s="326"/>
      <c r="FK44" s="326"/>
      <c r="FL44" s="326"/>
      <c r="FM44" s="326"/>
      <c r="FN44" s="326"/>
      <c r="FO44" s="326"/>
      <c r="FP44" s="326"/>
      <c r="FQ44" s="326"/>
      <c r="FR44" s="326"/>
      <c r="FS44" s="326"/>
      <c r="FT44" s="326"/>
      <c r="FU44" s="326"/>
      <c r="FV44" s="326"/>
      <c r="FW44" s="326"/>
      <c r="FX44" s="326"/>
      <c r="FY44" s="326"/>
      <c r="FZ44" s="326"/>
      <c r="GA44" s="326"/>
      <c r="GB44" s="326"/>
      <c r="GC44" s="326"/>
      <c r="GD44" s="326"/>
      <c r="GE44" s="326"/>
      <c r="GF44" s="326"/>
      <c r="GG44" s="326"/>
      <c r="GH44" s="326"/>
      <c r="GI44" s="326"/>
      <c r="GJ44" s="326"/>
      <c r="GK44" s="326"/>
      <c r="GL44" s="326"/>
      <c r="GM44" s="326"/>
      <c r="GN44" s="326"/>
      <c r="GO44" s="326"/>
      <c r="GP44" s="326"/>
      <c r="GQ44" s="326"/>
      <c r="GR44" s="326"/>
      <c r="GS44" s="326"/>
      <c r="GT44" s="326"/>
      <c r="GU44" s="326"/>
      <c r="GV44" s="326"/>
      <c r="GW44" s="326"/>
      <c r="GX44" s="326"/>
      <c r="GY44" s="326"/>
      <c r="GZ44" s="326"/>
      <c r="HA44" s="326"/>
      <c r="HB44" s="326"/>
      <c r="HC44" s="326"/>
      <c r="HD44" s="326"/>
      <c r="HE44" s="326"/>
      <c r="HF44" s="326"/>
      <c r="HG44" s="326"/>
      <c r="HH44" s="326"/>
      <c r="HI44" s="326"/>
      <c r="HJ44" s="326"/>
      <c r="HK44" s="326"/>
      <c r="HL44" s="326"/>
      <c r="HM44" s="326"/>
      <c r="HN44" s="326"/>
      <c r="HO44" s="326"/>
      <c r="HP44" s="326"/>
      <c r="HQ44" s="326"/>
      <c r="HR44" s="326"/>
      <c r="HS44" s="326"/>
      <c r="HT44" s="326"/>
      <c r="HU44" s="326"/>
      <c r="HV44" s="326"/>
      <c r="HW44" s="326"/>
      <c r="HX44" s="326"/>
      <c r="HY44" s="326"/>
      <c r="HZ44" s="326"/>
      <c r="IA44" s="326"/>
      <c r="IB44" s="326"/>
      <c r="IC44" s="326"/>
      <c r="ID44" s="326"/>
      <c r="IE44" s="326"/>
      <c r="IF44" s="326"/>
      <c r="IG44" s="326"/>
      <c r="IH44" s="326"/>
      <c r="II44" s="326"/>
      <c r="IJ44" s="326"/>
      <c r="IK44" s="326"/>
      <c r="IL44" s="326"/>
      <c r="IM44" s="326"/>
      <c r="IN44" s="326"/>
      <c r="IO44" s="326"/>
      <c r="IP44" s="326"/>
      <c r="IQ44" s="326"/>
      <c r="IR44" s="326"/>
      <c r="IS44" s="326"/>
      <c r="IT44" s="326"/>
      <c r="IU44" s="326"/>
      <c r="IV44" s="326"/>
    </row>
    <row r="45" spans="1:256" s="555" customFormat="1" ht="18" customHeight="1">
      <c r="A45" s="569">
        <v>36</v>
      </c>
      <c r="B45" s="563"/>
      <c r="C45" s="327"/>
      <c r="D45" s="478" t="s">
        <v>757</v>
      </c>
      <c r="E45" s="335"/>
      <c r="F45" s="559"/>
      <c r="G45" s="336"/>
      <c r="H45" s="766"/>
      <c r="I45" s="781"/>
      <c r="J45" s="777"/>
      <c r="K45" s="556">
        <v>3095</v>
      </c>
      <c r="L45" s="556"/>
      <c r="M45" s="556"/>
      <c r="N45" s="556"/>
      <c r="O45" s="564">
        <f>SUM(I45:N45)</f>
        <v>3095</v>
      </c>
      <c r="P45" s="560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  <c r="CX45" s="326"/>
      <c r="CY45" s="326"/>
      <c r="CZ45" s="326"/>
      <c r="DA45" s="326"/>
      <c r="DB45" s="326"/>
      <c r="DC45" s="326"/>
      <c r="DD45" s="326"/>
      <c r="DE45" s="326"/>
      <c r="DF45" s="326"/>
      <c r="DG45" s="326"/>
      <c r="DH45" s="326"/>
      <c r="DI45" s="326"/>
      <c r="DJ45" s="326"/>
      <c r="DK45" s="326"/>
      <c r="DL45" s="326"/>
      <c r="DM45" s="326"/>
      <c r="DN45" s="326"/>
      <c r="DO45" s="326"/>
      <c r="DP45" s="326"/>
      <c r="DQ45" s="326"/>
      <c r="DR45" s="326"/>
      <c r="DS45" s="326"/>
      <c r="DT45" s="326"/>
      <c r="DU45" s="326"/>
      <c r="DV45" s="326"/>
      <c r="DW45" s="326"/>
      <c r="DX45" s="326"/>
      <c r="DY45" s="326"/>
      <c r="DZ45" s="326"/>
      <c r="EA45" s="326"/>
      <c r="EB45" s="326"/>
      <c r="EC45" s="326"/>
      <c r="ED45" s="326"/>
      <c r="EE45" s="326"/>
      <c r="EF45" s="326"/>
      <c r="EG45" s="326"/>
      <c r="EH45" s="326"/>
      <c r="EI45" s="326"/>
      <c r="EJ45" s="326"/>
      <c r="EK45" s="326"/>
      <c r="EL45" s="326"/>
      <c r="EM45" s="326"/>
      <c r="EN45" s="326"/>
      <c r="EO45" s="326"/>
      <c r="EP45" s="326"/>
      <c r="EQ45" s="326"/>
      <c r="ER45" s="326"/>
      <c r="ES45" s="326"/>
      <c r="ET45" s="326"/>
      <c r="EU45" s="326"/>
      <c r="EV45" s="326"/>
      <c r="EW45" s="326"/>
      <c r="EX45" s="326"/>
      <c r="EY45" s="326"/>
      <c r="EZ45" s="326"/>
      <c r="FA45" s="326"/>
      <c r="FB45" s="326"/>
      <c r="FC45" s="326"/>
      <c r="FD45" s="326"/>
      <c r="FE45" s="326"/>
      <c r="FF45" s="326"/>
      <c r="FG45" s="326"/>
      <c r="FH45" s="326"/>
      <c r="FI45" s="326"/>
      <c r="FJ45" s="326"/>
      <c r="FK45" s="326"/>
      <c r="FL45" s="326"/>
      <c r="FM45" s="326"/>
      <c r="FN45" s="326"/>
      <c r="FO45" s="326"/>
      <c r="FP45" s="326"/>
      <c r="FQ45" s="326"/>
      <c r="FR45" s="326"/>
      <c r="FS45" s="326"/>
      <c r="FT45" s="326"/>
      <c r="FU45" s="326"/>
      <c r="FV45" s="326"/>
      <c r="FW45" s="326"/>
      <c r="FX45" s="326"/>
      <c r="FY45" s="326"/>
      <c r="FZ45" s="326"/>
      <c r="GA45" s="326"/>
      <c r="GB45" s="326"/>
      <c r="GC45" s="326"/>
      <c r="GD45" s="326"/>
      <c r="GE45" s="326"/>
      <c r="GF45" s="326"/>
      <c r="GG45" s="326"/>
      <c r="GH45" s="326"/>
      <c r="GI45" s="326"/>
      <c r="GJ45" s="326"/>
      <c r="GK45" s="326"/>
      <c r="GL45" s="326"/>
      <c r="GM45" s="326"/>
      <c r="GN45" s="326"/>
      <c r="GO45" s="326"/>
      <c r="GP45" s="326"/>
      <c r="GQ45" s="326"/>
      <c r="GR45" s="326"/>
      <c r="GS45" s="326"/>
      <c r="GT45" s="326"/>
      <c r="GU45" s="326"/>
      <c r="GV45" s="326"/>
      <c r="GW45" s="326"/>
      <c r="GX45" s="326"/>
      <c r="GY45" s="326"/>
      <c r="GZ45" s="326"/>
      <c r="HA45" s="326"/>
      <c r="HB45" s="326"/>
      <c r="HC45" s="326"/>
      <c r="HD45" s="326"/>
      <c r="HE45" s="326"/>
      <c r="HF45" s="326"/>
      <c r="HG45" s="326"/>
      <c r="HH45" s="326"/>
      <c r="HI45" s="326"/>
      <c r="HJ45" s="326"/>
      <c r="HK45" s="326"/>
      <c r="HL45" s="326"/>
      <c r="HM45" s="326"/>
      <c r="HN45" s="326"/>
      <c r="HO45" s="326"/>
      <c r="HP45" s="326"/>
      <c r="HQ45" s="326"/>
      <c r="HR45" s="326"/>
      <c r="HS45" s="326"/>
      <c r="HT45" s="326"/>
      <c r="HU45" s="326"/>
      <c r="HV45" s="326"/>
      <c r="HW45" s="326"/>
      <c r="HX45" s="326"/>
      <c r="HY45" s="326"/>
      <c r="HZ45" s="326"/>
      <c r="IA45" s="326"/>
      <c r="IB45" s="326"/>
      <c r="IC45" s="326"/>
      <c r="ID45" s="326"/>
      <c r="IE45" s="326"/>
      <c r="IF45" s="326"/>
      <c r="IG45" s="326"/>
      <c r="IH45" s="326"/>
      <c r="II45" s="326"/>
      <c r="IJ45" s="326"/>
      <c r="IK45" s="326"/>
      <c r="IL45" s="326"/>
      <c r="IM45" s="326"/>
      <c r="IN45" s="326"/>
      <c r="IO45" s="326"/>
      <c r="IP45" s="326"/>
      <c r="IQ45" s="326"/>
      <c r="IR45" s="326"/>
      <c r="IS45" s="326"/>
      <c r="IT45" s="326"/>
      <c r="IU45" s="326"/>
      <c r="IV45" s="326"/>
    </row>
    <row r="46" spans="1:256" s="555" customFormat="1" ht="18" customHeight="1">
      <c r="A46" s="569">
        <v>37</v>
      </c>
      <c r="B46" s="563"/>
      <c r="C46" s="327"/>
      <c r="D46" s="1090" t="s">
        <v>893</v>
      </c>
      <c r="E46" s="335"/>
      <c r="F46" s="559"/>
      <c r="G46" s="336"/>
      <c r="H46" s="766"/>
      <c r="I46" s="781"/>
      <c r="J46" s="777"/>
      <c r="K46" s="1186">
        <v>0</v>
      </c>
      <c r="L46" s="1186"/>
      <c r="M46" s="1186"/>
      <c r="N46" s="1186"/>
      <c r="O46" s="1723">
        <f>SUM(I46:N46)</f>
        <v>0</v>
      </c>
      <c r="P46" s="560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6"/>
      <c r="BS46" s="326"/>
      <c r="BT46" s="326"/>
      <c r="BU46" s="326"/>
      <c r="BV46" s="326"/>
      <c r="BW46" s="326"/>
      <c r="BX46" s="326"/>
      <c r="BY46" s="326"/>
      <c r="BZ46" s="326"/>
      <c r="CA46" s="326"/>
      <c r="CB46" s="326"/>
      <c r="CC46" s="326"/>
      <c r="CD46" s="326"/>
      <c r="CE46" s="326"/>
      <c r="CF46" s="326"/>
      <c r="CG46" s="326"/>
      <c r="CH46" s="326"/>
      <c r="CI46" s="326"/>
      <c r="CJ46" s="326"/>
      <c r="CK46" s="326"/>
      <c r="CL46" s="326"/>
      <c r="CM46" s="326"/>
      <c r="CN46" s="326"/>
      <c r="CO46" s="326"/>
      <c r="CP46" s="326"/>
      <c r="CQ46" s="326"/>
      <c r="CR46" s="326"/>
      <c r="CS46" s="326"/>
      <c r="CT46" s="326"/>
      <c r="CU46" s="326"/>
      <c r="CV46" s="326"/>
      <c r="CW46" s="326"/>
      <c r="CX46" s="326"/>
      <c r="CY46" s="326"/>
      <c r="CZ46" s="326"/>
      <c r="DA46" s="326"/>
      <c r="DB46" s="326"/>
      <c r="DC46" s="326"/>
      <c r="DD46" s="326"/>
      <c r="DE46" s="326"/>
      <c r="DF46" s="326"/>
      <c r="DG46" s="326"/>
      <c r="DH46" s="326"/>
      <c r="DI46" s="326"/>
      <c r="DJ46" s="326"/>
      <c r="DK46" s="326"/>
      <c r="DL46" s="326"/>
      <c r="DM46" s="326"/>
      <c r="DN46" s="326"/>
      <c r="DO46" s="326"/>
      <c r="DP46" s="326"/>
      <c r="DQ46" s="326"/>
      <c r="DR46" s="326"/>
      <c r="DS46" s="326"/>
      <c r="DT46" s="326"/>
      <c r="DU46" s="326"/>
      <c r="DV46" s="326"/>
      <c r="DW46" s="326"/>
      <c r="DX46" s="326"/>
      <c r="DY46" s="326"/>
      <c r="DZ46" s="326"/>
      <c r="EA46" s="326"/>
      <c r="EB46" s="326"/>
      <c r="EC46" s="326"/>
      <c r="ED46" s="326"/>
      <c r="EE46" s="326"/>
      <c r="EF46" s="326"/>
      <c r="EG46" s="326"/>
      <c r="EH46" s="326"/>
      <c r="EI46" s="326"/>
      <c r="EJ46" s="326"/>
      <c r="EK46" s="326"/>
      <c r="EL46" s="326"/>
      <c r="EM46" s="326"/>
      <c r="EN46" s="326"/>
      <c r="EO46" s="326"/>
      <c r="EP46" s="326"/>
      <c r="EQ46" s="326"/>
      <c r="ER46" s="326"/>
      <c r="ES46" s="326"/>
      <c r="ET46" s="326"/>
      <c r="EU46" s="326"/>
      <c r="EV46" s="326"/>
      <c r="EW46" s="326"/>
      <c r="EX46" s="326"/>
      <c r="EY46" s="326"/>
      <c r="EZ46" s="326"/>
      <c r="FA46" s="326"/>
      <c r="FB46" s="326"/>
      <c r="FC46" s="326"/>
      <c r="FD46" s="326"/>
      <c r="FE46" s="326"/>
      <c r="FF46" s="326"/>
      <c r="FG46" s="326"/>
      <c r="FH46" s="326"/>
      <c r="FI46" s="326"/>
      <c r="FJ46" s="326"/>
      <c r="FK46" s="326"/>
      <c r="FL46" s="326"/>
      <c r="FM46" s="326"/>
      <c r="FN46" s="326"/>
      <c r="FO46" s="326"/>
      <c r="FP46" s="326"/>
      <c r="FQ46" s="326"/>
      <c r="FR46" s="326"/>
      <c r="FS46" s="326"/>
      <c r="FT46" s="326"/>
      <c r="FU46" s="326"/>
      <c r="FV46" s="326"/>
      <c r="FW46" s="326"/>
      <c r="FX46" s="326"/>
      <c r="FY46" s="326"/>
      <c r="FZ46" s="326"/>
      <c r="GA46" s="326"/>
      <c r="GB46" s="326"/>
      <c r="GC46" s="326"/>
      <c r="GD46" s="326"/>
      <c r="GE46" s="326"/>
      <c r="GF46" s="326"/>
      <c r="GG46" s="326"/>
      <c r="GH46" s="326"/>
      <c r="GI46" s="326"/>
      <c r="GJ46" s="326"/>
      <c r="GK46" s="326"/>
      <c r="GL46" s="326"/>
      <c r="GM46" s="326"/>
      <c r="GN46" s="326"/>
      <c r="GO46" s="326"/>
      <c r="GP46" s="326"/>
      <c r="GQ46" s="326"/>
      <c r="GR46" s="326"/>
      <c r="GS46" s="326"/>
      <c r="GT46" s="326"/>
      <c r="GU46" s="326"/>
      <c r="GV46" s="326"/>
      <c r="GW46" s="326"/>
      <c r="GX46" s="326"/>
      <c r="GY46" s="326"/>
      <c r="GZ46" s="326"/>
      <c r="HA46" s="326"/>
      <c r="HB46" s="326"/>
      <c r="HC46" s="326"/>
      <c r="HD46" s="326"/>
      <c r="HE46" s="326"/>
      <c r="HF46" s="326"/>
      <c r="HG46" s="326"/>
      <c r="HH46" s="326"/>
      <c r="HI46" s="326"/>
      <c r="HJ46" s="326"/>
      <c r="HK46" s="326"/>
      <c r="HL46" s="326"/>
      <c r="HM46" s="326"/>
      <c r="HN46" s="326"/>
      <c r="HO46" s="326"/>
      <c r="HP46" s="326"/>
      <c r="HQ46" s="326"/>
      <c r="HR46" s="326"/>
      <c r="HS46" s="326"/>
      <c r="HT46" s="326"/>
      <c r="HU46" s="326"/>
      <c r="HV46" s="326"/>
      <c r="HW46" s="326"/>
      <c r="HX46" s="326"/>
      <c r="HY46" s="326"/>
      <c r="HZ46" s="326"/>
      <c r="IA46" s="326"/>
      <c r="IB46" s="326"/>
      <c r="IC46" s="326"/>
      <c r="ID46" s="326"/>
      <c r="IE46" s="326"/>
      <c r="IF46" s="326"/>
      <c r="IG46" s="326"/>
      <c r="IH46" s="326"/>
      <c r="II46" s="326"/>
      <c r="IJ46" s="326"/>
      <c r="IK46" s="326"/>
      <c r="IL46" s="326"/>
      <c r="IM46" s="326"/>
      <c r="IN46" s="326"/>
      <c r="IO46" s="326"/>
      <c r="IP46" s="326"/>
      <c r="IQ46" s="326"/>
      <c r="IR46" s="326"/>
      <c r="IS46" s="326"/>
      <c r="IT46" s="326"/>
      <c r="IU46" s="326"/>
      <c r="IV46" s="326"/>
    </row>
    <row r="47" spans="1:256" s="555" customFormat="1" ht="22.5" customHeight="1">
      <c r="A47" s="569">
        <v>38</v>
      </c>
      <c r="B47" s="563"/>
      <c r="C47" s="366">
        <v>10</v>
      </c>
      <c r="D47" s="567" t="s">
        <v>509</v>
      </c>
      <c r="E47" s="335"/>
      <c r="F47" s="559"/>
      <c r="G47" s="336"/>
      <c r="H47" s="766" t="s">
        <v>23</v>
      </c>
      <c r="I47" s="781"/>
      <c r="J47" s="777"/>
      <c r="K47" s="777"/>
      <c r="L47" s="777"/>
      <c r="M47" s="777"/>
      <c r="N47" s="777"/>
      <c r="O47" s="751"/>
      <c r="P47" s="560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6"/>
      <c r="CL47" s="326"/>
      <c r="CM47" s="326"/>
      <c r="CN47" s="326"/>
      <c r="CO47" s="326"/>
      <c r="CP47" s="326"/>
      <c r="CQ47" s="326"/>
      <c r="CR47" s="326"/>
      <c r="CS47" s="326"/>
      <c r="CT47" s="326"/>
      <c r="CU47" s="326"/>
      <c r="CV47" s="326"/>
      <c r="CW47" s="326"/>
      <c r="CX47" s="326"/>
      <c r="CY47" s="326"/>
      <c r="CZ47" s="326"/>
      <c r="DA47" s="326"/>
      <c r="DB47" s="326"/>
      <c r="DC47" s="326"/>
      <c r="DD47" s="326"/>
      <c r="DE47" s="326"/>
      <c r="DF47" s="326"/>
      <c r="DG47" s="326"/>
      <c r="DH47" s="326"/>
      <c r="DI47" s="326"/>
      <c r="DJ47" s="326"/>
      <c r="DK47" s="326"/>
      <c r="DL47" s="326"/>
      <c r="DM47" s="326"/>
      <c r="DN47" s="326"/>
      <c r="DO47" s="326"/>
      <c r="DP47" s="326"/>
      <c r="DQ47" s="326"/>
      <c r="DR47" s="326"/>
      <c r="DS47" s="326"/>
      <c r="DT47" s="326"/>
      <c r="DU47" s="326"/>
      <c r="DV47" s="326"/>
      <c r="DW47" s="326"/>
      <c r="DX47" s="326"/>
      <c r="DY47" s="326"/>
      <c r="DZ47" s="326"/>
      <c r="EA47" s="326"/>
      <c r="EB47" s="326"/>
      <c r="EC47" s="326"/>
      <c r="ED47" s="326"/>
      <c r="EE47" s="326"/>
      <c r="EF47" s="326"/>
      <c r="EG47" s="326"/>
      <c r="EH47" s="326"/>
      <c r="EI47" s="326"/>
      <c r="EJ47" s="326"/>
      <c r="EK47" s="326"/>
      <c r="EL47" s="326"/>
      <c r="EM47" s="326"/>
      <c r="EN47" s="326"/>
      <c r="EO47" s="326"/>
      <c r="EP47" s="326"/>
      <c r="EQ47" s="326"/>
      <c r="ER47" s="326"/>
      <c r="ES47" s="326"/>
      <c r="ET47" s="326"/>
      <c r="EU47" s="326"/>
      <c r="EV47" s="326"/>
      <c r="EW47" s="326"/>
      <c r="EX47" s="326"/>
      <c r="EY47" s="326"/>
      <c r="EZ47" s="326"/>
      <c r="FA47" s="326"/>
      <c r="FB47" s="326"/>
      <c r="FC47" s="326"/>
      <c r="FD47" s="326"/>
      <c r="FE47" s="326"/>
      <c r="FF47" s="326"/>
      <c r="FG47" s="326"/>
      <c r="FH47" s="326"/>
      <c r="FI47" s="326"/>
      <c r="FJ47" s="326"/>
      <c r="FK47" s="326"/>
      <c r="FL47" s="326"/>
      <c r="FM47" s="326"/>
      <c r="FN47" s="326"/>
      <c r="FO47" s="326"/>
      <c r="FP47" s="326"/>
      <c r="FQ47" s="326"/>
      <c r="FR47" s="326"/>
      <c r="FS47" s="326"/>
      <c r="FT47" s="326"/>
      <c r="FU47" s="326"/>
      <c r="FV47" s="326"/>
      <c r="FW47" s="326"/>
      <c r="FX47" s="326"/>
      <c r="FY47" s="326"/>
      <c r="FZ47" s="326"/>
      <c r="GA47" s="326"/>
      <c r="GB47" s="326"/>
      <c r="GC47" s="326"/>
      <c r="GD47" s="326"/>
      <c r="GE47" s="326"/>
      <c r="GF47" s="326"/>
      <c r="GG47" s="326"/>
      <c r="GH47" s="326"/>
      <c r="GI47" s="326"/>
      <c r="GJ47" s="326"/>
      <c r="GK47" s="326"/>
      <c r="GL47" s="326"/>
      <c r="GM47" s="326"/>
      <c r="GN47" s="326"/>
      <c r="GO47" s="326"/>
      <c r="GP47" s="326"/>
      <c r="GQ47" s="326"/>
      <c r="GR47" s="326"/>
      <c r="GS47" s="326"/>
      <c r="GT47" s="326"/>
      <c r="GU47" s="326"/>
      <c r="GV47" s="326"/>
      <c r="GW47" s="326"/>
      <c r="GX47" s="326"/>
      <c r="GY47" s="326"/>
      <c r="GZ47" s="326"/>
      <c r="HA47" s="326"/>
      <c r="HB47" s="326"/>
      <c r="HC47" s="326"/>
      <c r="HD47" s="326"/>
      <c r="HE47" s="326"/>
      <c r="HF47" s="326"/>
      <c r="HG47" s="326"/>
      <c r="HH47" s="326"/>
      <c r="HI47" s="326"/>
      <c r="HJ47" s="326"/>
      <c r="HK47" s="326"/>
      <c r="HL47" s="326"/>
      <c r="HM47" s="326"/>
      <c r="HN47" s="326"/>
      <c r="HO47" s="326"/>
      <c r="HP47" s="326"/>
      <c r="HQ47" s="326"/>
      <c r="HR47" s="326"/>
      <c r="HS47" s="326"/>
      <c r="HT47" s="326"/>
      <c r="HU47" s="326"/>
      <c r="HV47" s="326"/>
      <c r="HW47" s="326"/>
      <c r="HX47" s="326"/>
      <c r="HY47" s="326"/>
      <c r="HZ47" s="326"/>
      <c r="IA47" s="326"/>
      <c r="IB47" s="326"/>
      <c r="IC47" s="326"/>
      <c r="ID47" s="326"/>
      <c r="IE47" s="326"/>
      <c r="IF47" s="326"/>
      <c r="IG47" s="326"/>
      <c r="IH47" s="326"/>
      <c r="II47" s="326"/>
      <c r="IJ47" s="326"/>
      <c r="IK47" s="326"/>
      <c r="IL47" s="326"/>
      <c r="IM47" s="326"/>
      <c r="IN47" s="326"/>
      <c r="IO47" s="326"/>
      <c r="IP47" s="326"/>
      <c r="IQ47" s="326"/>
      <c r="IR47" s="326"/>
      <c r="IS47" s="326"/>
      <c r="IT47" s="326"/>
      <c r="IU47" s="326"/>
      <c r="IV47" s="326"/>
    </row>
    <row r="48" spans="1:256" s="555" customFormat="1" ht="18" customHeight="1">
      <c r="A48" s="569">
        <v>39</v>
      </c>
      <c r="B48" s="563"/>
      <c r="C48" s="327"/>
      <c r="D48" s="1194" t="s">
        <v>283</v>
      </c>
      <c r="E48" s="335">
        <f>F48+G48+O49+P48</f>
        <v>1905</v>
      </c>
      <c r="F48" s="559"/>
      <c r="G48" s="336"/>
      <c r="H48" s="766"/>
      <c r="I48" s="781"/>
      <c r="J48" s="777"/>
      <c r="K48" s="777"/>
      <c r="L48" s="777"/>
      <c r="M48" s="777">
        <v>1905</v>
      </c>
      <c r="N48" s="777"/>
      <c r="O48" s="751">
        <f>SUM(I48:N48)</f>
        <v>1905</v>
      </c>
      <c r="P48" s="560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6"/>
      <c r="BR48" s="326"/>
      <c r="BS48" s="326"/>
      <c r="BT48" s="326"/>
      <c r="BU48" s="326"/>
      <c r="BV48" s="326"/>
      <c r="BW48" s="326"/>
      <c r="BX48" s="326"/>
      <c r="BY48" s="326"/>
      <c r="BZ48" s="326"/>
      <c r="CA48" s="326"/>
      <c r="CB48" s="326"/>
      <c r="CC48" s="326"/>
      <c r="CD48" s="326"/>
      <c r="CE48" s="326"/>
      <c r="CF48" s="326"/>
      <c r="CG48" s="326"/>
      <c r="CH48" s="326"/>
      <c r="CI48" s="326"/>
      <c r="CJ48" s="326"/>
      <c r="CK48" s="326"/>
      <c r="CL48" s="326"/>
      <c r="CM48" s="326"/>
      <c r="CN48" s="326"/>
      <c r="CO48" s="326"/>
      <c r="CP48" s="326"/>
      <c r="CQ48" s="326"/>
      <c r="CR48" s="326"/>
      <c r="CS48" s="326"/>
      <c r="CT48" s="326"/>
      <c r="CU48" s="326"/>
      <c r="CV48" s="326"/>
      <c r="CW48" s="326"/>
      <c r="CX48" s="326"/>
      <c r="CY48" s="326"/>
      <c r="CZ48" s="326"/>
      <c r="DA48" s="326"/>
      <c r="DB48" s="326"/>
      <c r="DC48" s="326"/>
      <c r="DD48" s="326"/>
      <c r="DE48" s="326"/>
      <c r="DF48" s="326"/>
      <c r="DG48" s="326"/>
      <c r="DH48" s="326"/>
      <c r="DI48" s="326"/>
      <c r="DJ48" s="326"/>
      <c r="DK48" s="326"/>
      <c r="DL48" s="326"/>
      <c r="DM48" s="326"/>
      <c r="DN48" s="326"/>
      <c r="DO48" s="326"/>
      <c r="DP48" s="326"/>
      <c r="DQ48" s="326"/>
      <c r="DR48" s="326"/>
      <c r="DS48" s="326"/>
      <c r="DT48" s="326"/>
      <c r="DU48" s="326"/>
      <c r="DV48" s="326"/>
      <c r="DW48" s="326"/>
      <c r="DX48" s="326"/>
      <c r="DY48" s="326"/>
      <c r="DZ48" s="326"/>
      <c r="EA48" s="326"/>
      <c r="EB48" s="326"/>
      <c r="EC48" s="326"/>
      <c r="ED48" s="326"/>
      <c r="EE48" s="326"/>
      <c r="EF48" s="326"/>
      <c r="EG48" s="326"/>
      <c r="EH48" s="326"/>
      <c r="EI48" s="326"/>
      <c r="EJ48" s="326"/>
      <c r="EK48" s="326"/>
      <c r="EL48" s="326"/>
      <c r="EM48" s="326"/>
      <c r="EN48" s="326"/>
      <c r="EO48" s="326"/>
      <c r="EP48" s="326"/>
      <c r="EQ48" s="326"/>
      <c r="ER48" s="326"/>
      <c r="ES48" s="326"/>
      <c r="ET48" s="326"/>
      <c r="EU48" s="326"/>
      <c r="EV48" s="326"/>
      <c r="EW48" s="326"/>
      <c r="EX48" s="326"/>
      <c r="EY48" s="326"/>
      <c r="EZ48" s="326"/>
      <c r="FA48" s="326"/>
      <c r="FB48" s="326"/>
      <c r="FC48" s="326"/>
      <c r="FD48" s="326"/>
      <c r="FE48" s="326"/>
      <c r="FF48" s="326"/>
      <c r="FG48" s="326"/>
      <c r="FH48" s="326"/>
      <c r="FI48" s="326"/>
      <c r="FJ48" s="326"/>
      <c r="FK48" s="326"/>
      <c r="FL48" s="326"/>
      <c r="FM48" s="326"/>
      <c r="FN48" s="326"/>
      <c r="FO48" s="326"/>
      <c r="FP48" s="326"/>
      <c r="FQ48" s="326"/>
      <c r="FR48" s="326"/>
      <c r="FS48" s="326"/>
      <c r="FT48" s="326"/>
      <c r="FU48" s="326"/>
      <c r="FV48" s="326"/>
      <c r="FW48" s="326"/>
      <c r="FX48" s="326"/>
      <c r="FY48" s="326"/>
      <c r="FZ48" s="326"/>
      <c r="GA48" s="326"/>
      <c r="GB48" s="326"/>
      <c r="GC48" s="326"/>
      <c r="GD48" s="326"/>
      <c r="GE48" s="326"/>
      <c r="GF48" s="326"/>
      <c r="GG48" s="326"/>
      <c r="GH48" s="326"/>
      <c r="GI48" s="326"/>
      <c r="GJ48" s="326"/>
      <c r="GK48" s="326"/>
      <c r="GL48" s="326"/>
      <c r="GM48" s="326"/>
      <c r="GN48" s="326"/>
      <c r="GO48" s="326"/>
      <c r="GP48" s="326"/>
      <c r="GQ48" s="326"/>
      <c r="GR48" s="326"/>
      <c r="GS48" s="326"/>
      <c r="GT48" s="326"/>
      <c r="GU48" s="326"/>
      <c r="GV48" s="326"/>
      <c r="GW48" s="326"/>
      <c r="GX48" s="326"/>
      <c r="GY48" s="326"/>
      <c r="GZ48" s="326"/>
      <c r="HA48" s="326"/>
      <c r="HB48" s="326"/>
      <c r="HC48" s="326"/>
      <c r="HD48" s="326"/>
      <c r="HE48" s="326"/>
      <c r="HF48" s="326"/>
      <c r="HG48" s="326"/>
      <c r="HH48" s="326"/>
      <c r="HI48" s="326"/>
      <c r="HJ48" s="326"/>
      <c r="HK48" s="326"/>
      <c r="HL48" s="326"/>
      <c r="HM48" s="326"/>
      <c r="HN48" s="326"/>
      <c r="HO48" s="326"/>
      <c r="HP48" s="326"/>
      <c r="HQ48" s="326"/>
      <c r="HR48" s="326"/>
      <c r="HS48" s="326"/>
      <c r="HT48" s="326"/>
      <c r="HU48" s="326"/>
      <c r="HV48" s="326"/>
      <c r="HW48" s="326"/>
      <c r="HX48" s="326"/>
      <c r="HY48" s="326"/>
      <c r="HZ48" s="326"/>
      <c r="IA48" s="326"/>
      <c r="IB48" s="326"/>
      <c r="IC48" s="326"/>
      <c r="ID48" s="326"/>
      <c r="IE48" s="326"/>
      <c r="IF48" s="326"/>
      <c r="IG48" s="326"/>
      <c r="IH48" s="326"/>
      <c r="II48" s="326"/>
      <c r="IJ48" s="326"/>
      <c r="IK48" s="326"/>
      <c r="IL48" s="326"/>
      <c r="IM48" s="326"/>
      <c r="IN48" s="326"/>
      <c r="IO48" s="326"/>
      <c r="IP48" s="326"/>
      <c r="IQ48" s="326"/>
      <c r="IR48" s="326"/>
      <c r="IS48" s="326"/>
      <c r="IT48" s="326"/>
      <c r="IU48" s="326"/>
      <c r="IV48" s="326"/>
    </row>
    <row r="49" spans="1:256" s="555" customFormat="1" ht="18" customHeight="1">
      <c r="A49" s="569">
        <v>40</v>
      </c>
      <c r="B49" s="563"/>
      <c r="C49" s="327"/>
      <c r="D49" s="478" t="s">
        <v>757</v>
      </c>
      <c r="E49" s="335"/>
      <c r="F49" s="559"/>
      <c r="G49" s="336"/>
      <c r="H49" s="766"/>
      <c r="I49" s="781"/>
      <c r="J49" s="777"/>
      <c r="K49" s="777"/>
      <c r="L49" s="777"/>
      <c r="M49" s="556">
        <v>1905</v>
      </c>
      <c r="N49" s="556"/>
      <c r="O49" s="564">
        <f>SUM(I49:N49)</f>
        <v>1905</v>
      </c>
      <c r="P49" s="560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6"/>
      <c r="BO49" s="326"/>
      <c r="BP49" s="326"/>
      <c r="BQ49" s="326"/>
      <c r="BR49" s="326"/>
      <c r="BS49" s="326"/>
      <c r="BT49" s="326"/>
      <c r="BU49" s="326"/>
      <c r="BV49" s="326"/>
      <c r="BW49" s="326"/>
      <c r="BX49" s="326"/>
      <c r="BY49" s="326"/>
      <c r="BZ49" s="326"/>
      <c r="CA49" s="326"/>
      <c r="CB49" s="326"/>
      <c r="CC49" s="326"/>
      <c r="CD49" s="326"/>
      <c r="CE49" s="326"/>
      <c r="CF49" s="326"/>
      <c r="CG49" s="326"/>
      <c r="CH49" s="326"/>
      <c r="CI49" s="326"/>
      <c r="CJ49" s="326"/>
      <c r="CK49" s="326"/>
      <c r="CL49" s="326"/>
      <c r="CM49" s="326"/>
      <c r="CN49" s="326"/>
      <c r="CO49" s="326"/>
      <c r="CP49" s="326"/>
      <c r="CQ49" s="326"/>
      <c r="CR49" s="326"/>
      <c r="CS49" s="326"/>
      <c r="CT49" s="326"/>
      <c r="CU49" s="326"/>
      <c r="CV49" s="326"/>
      <c r="CW49" s="326"/>
      <c r="CX49" s="326"/>
      <c r="CY49" s="326"/>
      <c r="CZ49" s="326"/>
      <c r="DA49" s="326"/>
      <c r="DB49" s="326"/>
      <c r="DC49" s="326"/>
      <c r="DD49" s="326"/>
      <c r="DE49" s="326"/>
      <c r="DF49" s="326"/>
      <c r="DG49" s="326"/>
      <c r="DH49" s="326"/>
      <c r="DI49" s="326"/>
      <c r="DJ49" s="326"/>
      <c r="DK49" s="326"/>
      <c r="DL49" s="326"/>
      <c r="DM49" s="326"/>
      <c r="DN49" s="326"/>
      <c r="DO49" s="326"/>
      <c r="DP49" s="326"/>
      <c r="DQ49" s="326"/>
      <c r="DR49" s="326"/>
      <c r="DS49" s="326"/>
      <c r="DT49" s="326"/>
      <c r="DU49" s="326"/>
      <c r="DV49" s="326"/>
      <c r="DW49" s="326"/>
      <c r="DX49" s="326"/>
      <c r="DY49" s="326"/>
      <c r="DZ49" s="326"/>
      <c r="EA49" s="326"/>
      <c r="EB49" s="326"/>
      <c r="EC49" s="326"/>
      <c r="ED49" s="326"/>
      <c r="EE49" s="326"/>
      <c r="EF49" s="326"/>
      <c r="EG49" s="326"/>
      <c r="EH49" s="326"/>
      <c r="EI49" s="326"/>
      <c r="EJ49" s="326"/>
      <c r="EK49" s="326"/>
      <c r="EL49" s="326"/>
      <c r="EM49" s="326"/>
      <c r="EN49" s="326"/>
      <c r="EO49" s="326"/>
      <c r="EP49" s="326"/>
      <c r="EQ49" s="326"/>
      <c r="ER49" s="326"/>
      <c r="ES49" s="326"/>
      <c r="ET49" s="326"/>
      <c r="EU49" s="326"/>
      <c r="EV49" s="326"/>
      <c r="EW49" s="326"/>
      <c r="EX49" s="326"/>
      <c r="EY49" s="326"/>
      <c r="EZ49" s="326"/>
      <c r="FA49" s="326"/>
      <c r="FB49" s="326"/>
      <c r="FC49" s="326"/>
      <c r="FD49" s="326"/>
      <c r="FE49" s="326"/>
      <c r="FF49" s="326"/>
      <c r="FG49" s="326"/>
      <c r="FH49" s="326"/>
      <c r="FI49" s="326"/>
      <c r="FJ49" s="326"/>
      <c r="FK49" s="326"/>
      <c r="FL49" s="326"/>
      <c r="FM49" s="326"/>
      <c r="FN49" s="326"/>
      <c r="FO49" s="326"/>
      <c r="FP49" s="326"/>
      <c r="FQ49" s="326"/>
      <c r="FR49" s="326"/>
      <c r="FS49" s="326"/>
      <c r="FT49" s="326"/>
      <c r="FU49" s="326"/>
      <c r="FV49" s="326"/>
      <c r="FW49" s="326"/>
      <c r="FX49" s="326"/>
      <c r="FY49" s="326"/>
      <c r="FZ49" s="326"/>
      <c r="GA49" s="326"/>
      <c r="GB49" s="326"/>
      <c r="GC49" s="326"/>
      <c r="GD49" s="326"/>
      <c r="GE49" s="326"/>
      <c r="GF49" s="326"/>
      <c r="GG49" s="326"/>
      <c r="GH49" s="326"/>
      <c r="GI49" s="326"/>
      <c r="GJ49" s="326"/>
      <c r="GK49" s="326"/>
      <c r="GL49" s="326"/>
      <c r="GM49" s="326"/>
      <c r="GN49" s="326"/>
      <c r="GO49" s="326"/>
      <c r="GP49" s="326"/>
      <c r="GQ49" s="326"/>
      <c r="GR49" s="326"/>
      <c r="GS49" s="326"/>
      <c r="GT49" s="326"/>
      <c r="GU49" s="326"/>
      <c r="GV49" s="326"/>
      <c r="GW49" s="326"/>
      <c r="GX49" s="326"/>
      <c r="GY49" s="326"/>
      <c r="GZ49" s="326"/>
      <c r="HA49" s="326"/>
      <c r="HB49" s="326"/>
      <c r="HC49" s="326"/>
      <c r="HD49" s="326"/>
      <c r="HE49" s="326"/>
      <c r="HF49" s="326"/>
      <c r="HG49" s="326"/>
      <c r="HH49" s="326"/>
      <c r="HI49" s="326"/>
      <c r="HJ49" s="326"/>
      <c r="HK49" s="326"/>
      <c r="HL49" s="326"/>
      <c r="HM49" s="326"/>
      <c r="HN49" s="326"/>
      <c r="HO49" s="326"/>
      <c r="HP49" s="326"/>
      <c r="HQ49" s="326"/>
      <c r="HR49" s="326"/>
      <c r="HS49" s="326"/>
      <c r="HT49" s="326"/>
      <c r="HU49" s="326"/>
      <c r="HV49" s="326"/>
      <c r="HW49" s="326"/>
      <c r="HX49" s="326"/>
      <c r="HY49" s="326"/>
      <c r="HZ49" s="326"/>
      <c r="IA49" s="326"/>
      <c r="IB49" s="326"/>
      <c r="IC49" s="326"/>
      <c r="ID49" s="326"/>
      <c r="IE49" s="326"/>
      <c r="IF49" s="326"/>
      <c r="IG49" s="326"/>
      <c r="IH49" s="326"/>
      <c r="II49" s="326"/>
      <c r="IJ49" s="326"/>
      <c r="IK49" s="326"/>
      <c r="IL49" s="326"/>
      <c r="IM49" s="326"/>
      <c r="IN49" s="326"/>
      <c r="IO49" s="326"/>
      <c r="IP49" s="326"/>
      <c r="IQ49" s="326"/>
      <c r="IR49" s="326"/>
      <c r="IS49" s="326"/>
      <c r="IT49" s="326"/>
      <c r="IU49" s="326"/>
      <c r="IV49" s="326"/>
    </row>
    <row r="50" spans="1:256" s="555" customFormat="1" ht="18" customHeight="1">
      <c r="A50" s="569">
        <v>41</v>
      </c>
      <c r="B50" s="563"/>
      <c r="C50" s="327"/>
      <c r="D50" s="1090" t="s">
        <v>893</v>
      </c>
      <c r="E50" s="335"/>
      <c r="F50" s="559"/>
      <c r="G50" s="336"/>
      <c r="H50" s="766"/>
      <c r="I50" s="781"/>
      <c r="J50" s="777"/>
      <c r="K50" s="777"/>
      <c r="L50" s="777"/>
      <c r="M50" s="1186">
        <v>0</v>
      </c>
      <c r="N50" s="1186"/>
      <c r="O50" s="1723">
        <f>SUM(I50:N50)</f>
        <v>0</v>
      </c>
      <c r="P50" s="560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26"/>
      <c r="BT50" s="326"/>
      <c r="BU50" s="326"/>
      <c r="BV50" s="326"/>
      <c r="BW50" s="326"/>
      <c r="BX50" s="326"/>
      <c r="BY50" s="326"/>
      <c r="BZ50" s="326"/>
      <c r="CA50" s="326"/>
      <c r="CB50" s="326"/>
      <c r="CC50" s="326"/>
      <c r="CD50" s="326"/>
      <c r="CE50" s="326"/>
      <c r="CF50" s="326"/>
      <c r="CG50" s="326"/>
      <c r="CH50" s="326"/>
      <c r="CI50" s="326"/>
      <c r="CJ50" s="326"/>
      <c r="CK50" s="326"/>
      <c r="CL50" s="326"/>
      <c r="CM50" s="326"/>
      <c r="CN50" s="326"/>
      <c r="CO50" s="326"/>
      <c r="CP50" s="326"/>
      <c r="CQ50" s="326"/>
      <c r="CR50" s="326"/>
      <c r="CS50" s="326"/>
      <c r="CT50" s="326"/>
      <c r="CU50" s="326"/>
      <c r="CV50" s="326"/>
      <c r="CW50" s="326"/>
      <c r="CX50" s="326"/>
      <c r="CY50" s="326"/>
      <c r="CZ50" s="326"/>
      <c r="DA50" s="326"/>
      <c r="DB50" s="326"/>
      <c r="DC50" s="326"/>
      <c r="DD50" s="326"/>
      <c r="DE50" s="326"/>
      <c r="DF50" s="326"/>
      <c r="DG50" s="326"/>
      <c r="DH50" s="326"/>
      <c r="DI50" s="326"/>
      <c r="DJ50" s="326"/>
      <c r="DK50" s="326"/>
      <c r="DL50" s="326"/>
      <c r="DM50" s="326"/>
      <c r="DN50" s="326"/>
      <c r="DO50" s="326"/>
      <c r="DP50" s="326"/>
      <c r="DQ50" s="326"/>
      <c r="DR50" s="326"/>
      <c r="DS50" s="326"/>
      <c r="DT50" s="326"/>
      <c r="DU50" s="326"/>
      <c r="DV50" s="326"/>
      <c r="DW50" s="326"/>
      <c r="DX50" s="326"/>
      <c r="DY50" s="326"/>
      <c r="DZ50" s="326"/>
      <c r="EA50" s="326"/>
      <c r="EB50" s="326"/>
      <c r="EC50" s="326"/>
      <c r="ED50" s="326"/>
      <c r="EE50" s="326"/>
      <c r="EF50" s="326"/>
      <c r="EG50" s="326"/>
      <c r="EH50" s="326"/>
      <c r="EI50" s="326"/>
      <c r="EJ50" s="326"/>
      <c r="EK50" s="326"/>
      <c r="EL50" s="326"/>
      <c r="EM50" s="326"/>
      <c r="EN50" s="326"/>
      <c r="EO50" s="326"/>
      <c r="EP50" s="326"/>
      <c r="EQ50" s="326"/>
      <c r="ER50" s="326"/>
      <c r="ES50" s="326"/>
      <c r="ET50" s="326"/>
      <c r="EU50" s="326"/>
      <c r="EV50" s="326"/>
      <c r="EW50" s="326"/>
      <c r="EX50" s="326"/>
      <c r="EY50" s="326"/>
      <c r="EZ50" s="326"/>
      <c r="FA50" s="326"/>
      <c r="FB50" s="326"/>
      <c r="FC50" s="326"/>
      <c r="FD50" s="326"/>
      <c r="FE50" s="326"/>
      <c r="FF50" s="326"/>
      <c r="FG50" s="326"/>
      <c r="FH50" s="326"/>
      <c r="FI50" s="326"/>
      <c r="FJ50" s="326"/>
      <c r="FK50" s="326"/>
      <c r="FL50" s="326"/>
      <c r="FM50" s="326"/>
      <c r="FN50" s="326"/>
      <c r="FO50" s="326"/>
      <c r="FP50" s="326"/>
      <c r="FQ50" s="326"/>
      <c r="FR50" s="326"/>
      <c r="FS50" s="326"/>
      <c r="FT50" s="326"/>
      <c r="FU50" s="326"/>
      <c r="FV50" s="326"/>
      <c r="FW50" s="326"/>
      <c r="FX50" s="326"/>
      <c r="FY50" s="326"/>
      <c r="FZ50" s="326"/>
      <c r="GA50" s="326"/>
      <c r="GB50" s="326"/>
      <c r="GC50" s="326"/>
      <c r="GD50" s="326"/>
      <c r="GE50" s="326"/>
      <c r="GF50" s="326"/>
      <c r="GG50" s="326"/>
      <c r="GH50" s="326"/>
      <c r="GI50" s="326"/>
      <c r="GJ50" s="326"/>
      <c r="GK50" s="326"/>
      <c r="GL50" s="326"/>
      <c r="GM50" s="326"/>
      <c r="GN50" s="326"/>
      <c r="GO50" s="326"/>
      <c r="GP50" s="326"/>
      <c r="GQ50" s="326"/>
      <c r="GR50" s="326"/>
      <c r="GS50" s="326"/>
      <c r="GT50" s="326"/>
      <c r="GU50" s="326"/>
      <c r="GV50" s="326"/>
      <c r="GW50" s="326"/>
      <c r="GX50" s="326"/>
      <c r="GY50" s="326"/>
      <c r="GZ50" s="326"/>
      <c r="HA50" s="326"/>
      <c r="HB50" s="326"/>
      <c r="HC50" s="326"/>
      <c r="HD50" s="326"/>
      <c r="HE50" s="326"/>
      <c r="HF50" s="326"/>
      <c r="HG50" s="326"/>
      <c r="HH50" s="326"/>
      <c r="HI50" s="326"/>
      <c r="HJ50" s="326"/>
      <c r="HK50" s="326"/>
      <c r="HL50" s="326"/>
      <c r="HM50" s="326"/>
      <c r="HN50" s="326"/>
      <c r="HO50" s="326"/>
      <c r="HP50" s="326"/>
      <c r="HQ50" s="326"/>
      <c r="HR50" s="326"/>
      <c r="HS50" s="326"/>
      <c r="HT50" s="326"/>
      <c r="HU50" s="326"/>
      <c r="HV50" s="326"/>
      <c r="HW50" s="326"/>
      <c r="HX50" s="326"/>
      <c r="HY50" s="326"/>
      <c r="HZ50" s="326"/>
      <c r="IA50" s="326"/>
      <c r="IB50" s="326"/>
      <c r="IC50" s="326"/>
      <c r="ID50" s="326"/>
      <c r="IE50" s="326"/>
      <c r="IF50" s="326"/>
      <c r="IG50" s="326"/>
      <c r="IH50" s="326"/>
      <c r="II50" s="326"/>
      <c r="IJ50" s="326"/>
      <c r="IK50" s="326"/>
      <c r="IL50" s="326"/>
      <c r="IM50" s="326"/>
      <c r="IN50" s="326"/>
      <c r="IO50" s="326"/>
      <c r="IP50" s="326"/>
      <c r="IQ50" s="326"/>
      <c r="IR50" s="326"/>
      <c r="IS50" s="326"/>
      <c r="IT50" s="326"/>
      <c r="IU50" s="326"/>
      <c r="IV50" s="326"/>
    </row>
    <row r="51" spans="1:256" s="555" customFormat="1" ht="22.5" customHeight="1">
      <c r="A51" s="569">
        <v>42</v>
      </c>
      <c r="B51" s="563"/>
      <c r="C51" s="366">
        <v>11</v>
      </c>
      <c r="D51" s="918" t="s">
        <v>598</v>
      </c>
      <c r="E51" s="335"/>
      <c r="F51" s="559"/>
      <c r="G51" s="336"/>
      <c r="H51" s="766" t="s">
        <v>23</v>
      </c>
      <c r="I51" s="781"/>
      <c r="J51" s="777"/>
      <c r="K51" s="777"/>
      <c r="L51" s="777"/>
      <c r="M51" s="777"/>
      <c r="N51" s="777"/>
      <c r="O51" s="751"/>
      <c r="P51" s="560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  <c r="BC51" s="326"/>
      <c r="BD51" s="326"/>
      <c r="BE51" s="326"/>
      <c r="BF51" s="326"/>
      <c r="BG51" s="326"/>
      <c r="BH51" s="326"/>
      <c r="BI51" s="326"/>
      <c r="BJ51" s="326"/>
      <c r="BK51" s="326"/>
      <c r="BL51" s="326"/>
      <c r="BM51" s="326"/>
      <c r="BN51" s="326"/>
      <c r="BO51" s="326"/>
      <c r="BP51" s="326"/>
      <c r="BQ51" s="326"/>
      <c r="BR51" s="326"/>
      <c r="BS51" s="326"/>
      <c r="BT51" s="326"/>
      <c r="BU51" s="326"/>
      <c r="BV51" s="326"/>
      <c r="BW51" s="326"/>
      <c r="BX51" s="326"/>
      <c r="BY51" s="326"/>
      <c r="BZ51" s="326"/>
      <c r="CA51" s="326"/>
      <c r="CB51" s="326"/>
      <c r="CC51" s="326"/>
      <c r="CD51" s="326"/>
      <c r="CE51" s="326"/>
      <c r="CF51" s="326"/>
      <c r="CG51" s="326"/>
      <c r="CH51" s="326"/>
      <c r="CI51" s="326"/>
      <c r="CJ51" s="326"/>
      <c r="CK51" s="326"/>
      <c r="CL51" s="326"/>
      <c r="CM51" s="326"/>
      <c r="CN51" s="326"/>
      <c r="CO51" s="326"/>
      <c r="CP51" s="326"/>
      <c r="CQ51" s="326"/>
      <c r="CR51" s="326"/>
      <c r="CS51" s="326"/>
      <c r="CT51" s="326"/>
      <c r="CU51" s="326"/>
      <c r="CV51" s="326"/>
      <c r="CW51" s="326"/>
      <c r="CX51" s="326"/>
      <c r="CY51" s="326"/>
      <c r="CZ51" s="326"/>
      <c r="DA51" s="326"/>
      <c r="DB51" s="326"/>
      <c r="DC51" s="326"/>
      <c r="DD51" s="326"/>
      <c r="DE51" s="326"/>
      <c r="DF51" s="326"/>
      <c r="DG51" s="326"/>
      <c r="DH51" s="326"/>
      <c r="DI51" s="326"/>
      <c r="DJ51" s="326"/>
      <c r="DK51" s="326"/>
      <c r="DL51" s="326"/>
      <c r="DM51" s="326"/>
      <c r="DN51" s="326"/>
      <c r="DO51" s="326"/>
      <c r="DP51" s="326"/>
      <c r="DQ51" s="326"/>
      <c r="DR51" s="326"/>
      <c r="DS51" s="326"/>
      <c r="DT51" s="326"/>
      <c r="DU51" s="326"/>
      <c r="DV51" s="326"/>
      <c r="DW51" s="326"/>
      <c r="DX51" s="326"/>
      <c r="DY51" s="326"/>
      <c r="DZ51" s="326"/>
      <c r="EA51" s="326"/>
      <c r="EB51" s="326"/>
      <c r="EC51" s="326"/>
      <c r="ED51" s="326"/>
      <c r="EE51" s="326"/>
      <c r="EF51" s="326"/>
      <c r="EG51" s="326"/>
      <c r="EH51" s="326"/>
      <c r="EI51" s="326"/>
      <c r="EJ51" s="326"/>
      <c r="EK51" s="326"/>
      <c r="EL51" s="326"/>
      <c r="EM51" s="326"/>
      <c r="EN51" s="326"/>
      <c r="EO51" s="326"/>
      <c r="EP51" s="326"/>
      <c r="EQ51" s="326"/>
      <c r="ER51" s="326"/>
      <c r="ES51" s="326"/>
      <c r="ET51" s="326"/>
      <c r="EU51" s="326"/>
      <c r="EV51" s="326"/>
      <c r="EW51" s="326"/>
      <c r="EX51" s="326"/>
      <c r="EY51" s="326"/>
      <c r="EZ51" s="326"/>
      <c r="FA51" s="326"/>
      <c r="FB51" s="326"/>
      <c r="FC51" s="326"/>
      <c r="FD51" s="326"/>
      <c r="FE51" s="326"/>
      <c r="FF51" s="326"/>
      <c r="FG51" s="326"/>
      <c r="FH51" s="326"/>
      <c r="FI51" s="326"/>
      <c r="FJ51" s="326"/>
      <c r="FK51" s="326"/>
      <c r="FL51" s="326"/>
      <c r="FM51" s="326"/>
      <c r="FN51" s="326"/>
      <c r="FO51" s="326"/>
      <c r="FP51" s="326"/>
      <c r="FQ51" s="326"/>
      <c r="FR51" s="326"/>
      <c r="FS51" s="326"/>
      <c r="FT51" s="326"/>
      <c r="FU51" s="326"/>
      <c r="FV51" s="326"/>
      <c r="FW51" s="326"/>
      <c r="FX51" s="326"/>
      <c r="FY51" s="326"/>
      <c r="FZ51" s="326"/>
      <c r="GA51" s="326"/>
      <c r="GB51" s="326"/>
      <c r="GC51" s="326"/>
      <c r="GD51" s="326"/>
      <c r="GE51" s="326"/>
      <c r="GF51" s="326"/>
      <c r="GG51" s="326"/>
      <c r="GH51" s="326"/>
      <c r="GI51" s="326"/>
      <c r="GJ51" s="326"/>
      <c r="GK51" s="326"/>
      <c r="GL51" s="326"/>
      <c r="GM51" s="326"/>
      <c r="GN51" s="326"/>
      <c r="GO51" s="326"/>
      <c r="GP51" s="326"/>
      <c r="GQ51" s="326"/>
      <c r="GR51" s="326"/>
      <c r="GS51" s="326"/>
      <c r="GT51" s="326"/>
      <c r="GU51" s="326"/>
      <c r="GV51" s="326"/>
      <c r="GW51" s="326"/>
      <c r="GX51" s="326"/>
      <c r="GY51" s="326"/>
      <c r="GZ51" s="326"/>
      <c r="HA51" s="326"/>
      <c r="HB51" s="326"/>
      <c r="HC51" s="326"/>
      <c r="HD51" s="326"/>
      <c r="HE51" s="326"/>
      <c r="HF51" s="326"/>
      <c r="HG51" s="326"/>
      <c r="HH51" s="326"/>
      <c r="HI51" s="326"/>
      <c r="HJ51" s="326"/>
      <c r="HK51" s="326"/>
      <c r="HL51" s="326"/>
      <c r="HM51" s="326"/>
      <c r="HN51" s="326"/>
      <c r="HO51" s="326"/>
      <c r="HP51" s="326"/>
      <c r="HQ51" s="326"/>
      <c r="HR51" s="326"/>
      <c r="HS51" s="326"/>
      <c r="HT51" s="326"/>
      <c r="HU51" s="326"/>
      <c r="HV51" s="326"/>
      <c r="HW51" s="326"/>
      <c r="HX51" s="326"/>
      <c r="HY51" s="326"/>
      <c r="HZ51" s="326"/>
      <c r="IA51" s="326"/>
      <c r="IB51" s="326"/>
      <c r="IC51" s="326"/>
      <c r="ID51" s="326"/>
      <c r="IE51" s="326"/>
      <c r="IF51" s="326"/>
      <c r="IG51" s="326"/>
      <c r="IH51" s="326"/>
      <c r="II51" s="326"/>
      <c r="IJ51" s="326"/>
      <c r="IK51" s="326"/>
      <c r="IL51" s="326"/>
      <c r="IM51" s="326"/>
      <c r="IN51" s="326"/>
      <c r="IO51" s="326"/>
      <c r="IP51" s="326"/>
      <c r="IQ51" s="326"/>
      <c r="IR51" s="326"/>
      <c r="IS51" s="326"/>
      <c r="IT51" s="326"/>
      <c r="IU51" s="326"/>
      <c r="IV51" s="326"/>
    </row>
    <row r="52" spans="1:256" s="555" customFormat="1" ht="18" customHeight="1">
      <c r="A52" s="569">
        <v>43</v>
      </c>
      <c r="B52" s="563"/>
      <c r="C52" s="327"/>
      <c r="D52" s="1194" t="s">
        <v>283</v>
      </c>
      <c r="E52" s="335">
        <f>F52+G52+O53+P52</f>
        <v>500000</v>
      </c>
      <c r="F52" s="559"/>
      <c r="G52" s="336"/>
      <c r="H52" s="766"/>
      <c r="I52" s="781"/>
      <c r="J52" s="777"/>
      <c r="K52" s="777"/>
      <c r="L52" s="777"/>
      <c r="M52" s="777">
        <v>217000</v>
      </c>
      <c r="N52" s="777"/>
      <c r="O52" s="751">
        <f>SUM(I52:N52)</f>
        <v>217000</v>
      </c>
      <c r="P52" s="560">
        <v>283000</v>
      </c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  <c r="DP52" s="326"/>
      <c r="DQ52" s="326"/>
      <c r="DR52" s="326"/>
      <c r="DS52" s="326"/>
      <c r="DT52" s="326"/>
      <c r="DU52" s="326"/>
      <c r="DV52" s="326"/>
      <c r="DW52" s="326"/>
      <c r="DX52" s="326"/>
      <c r="DY52" s="326"/>
      <c r="DZ52" s="326"/>
      <c r="EA52" s="326"/>
      <c r="EB52" s="326"/>
      <c r="EC52" s="326"/>
      <c r="ED52" s="326"/>
      <c r="EE52" s="326"/>
      <c r="EF52" s="326"/>
      <c r="EG52" s="326"/>
      <c r="EH52" s="326"/>
      <c r="EI52" s="326"/>
      <c r="EJ52" s="326"/>
      <c r="EK52" s="326"/>
      <c r="EL52" s="326"/>
      <c r="EM52" s="326"/>
      <c r="EN52" s="326"/>
      <c r="EO52" s="326"/>
      <c r="EP52" s="326"/>
      <c r="EQ52" s="326"/>
      <c r="ER52" s="326"/>
      <c r="ES52" s="326"/>
      <c r="ET52" s="326"/>
      <c r="EU52" s="326"/>
      <c r="EV52" s="326"/>
      <c r="EW52" s="326"/>
      <c r="EX52" s="326"/>
      <c r="EY52" s="326"/>
      <c r="EZ52" s="326"/>
      <c r="FA52" s="326"/>
      <c r="FB52" s="326"/>
      <c r="FC52" s="326"/>
      <c r="FD52" s="326"/>
      <c r="FE52" s="326"/>
      <c r="FF52" s="326"/>
      <c r="FG52" s="326"/>
      <c r="FH52" s="326"/>
      <c r="FI52" s="326"/>
      <c r="FJ52" s="326"/>
      <c r="FK52" s="326"/>
      <c r="FL52" s="326"/>
      <c r="FM52" s="326"/>
      <c r="FN52" s="326"/>
      <c r="FO52" s="326"/>
      <c r="FP52" s="326"/>
      <c r="FQ52" s="326"/>
      <c r="FR52" s="326"/>
      <c r="FS52" s="326"/>
      <c r="FT52" s="326"/>
      <c r="FU52" s="326"/>
      <c r="FV52" s="326"/>
      <c r="FW52" s="326"/>
      <c r="FX52" s="326"/>
      <c r="FY52" s="326"/>
      <c r="FZ52" s="326"/>
      <c r="GA52" s="326"/>
      <c r="GB52" s="326"/>
      <c r="GC52" s="326"/>
      <c r="GD52" s="326"/>
      <c r="GE52" s="326"/>
      <c r="GF52" s="326"/>
      <c r="GG52" s="326"/>
      <c r="GH52" s="326"/>
      <c r="GI52" s="326"/>
      <c r="GJ52" s="326"/>
      <c r="GK52" s="326"/>
      <c r="GL52" s="326"/>
      <c r="GM52" s="326"/>
      <c r="GN52" s="326"/>
      <c r="GO52" s="326"/>
      <c r="GP52" s="326"/>
      <c r="GQ52" s="326"/>
      <c r="GR52" s="326"/>
      <c r="GS52" s="326"/>
      <c r="GT52" s="326"/>
      <c r="GU52" s="326"/>
      <c r="GV52" s="326"/>
      <c r="GW52" s="326"/>
      <c r="GX52" s="326"/>
      <c r="GY52" s="326"/>
      <c r="GZ52" s="326"/>
      <c r="HA52" s="326"/>
      <c r="HB52" s="326"/>
      <c r="HC52" s="326"/>
      <c r="HD52" s="326"/>
      <c r="HE52" s="326"/>
      <c r="HF52" s="326"/>
      <c r="HG52" s="326"/>
      <c r="HH52" s="326"/>
      <c r="HI52" s="326"/>
      <c r="HJ52" s="326"/>
      <c r="HK52" s="326"/>
      <c r="HL52" s="326"/>
      <c r="HM52" s="326"/>
      <c r="HN52" s="326"/>
      <c r="HO52" s="326"/>
      <c r="HP52" s="326"/>
      <c r="HQ52" s="326"/>
      <c r="HR52" s="326"/>
      <c r="HS52" s="326"/>
      <c r="HT52" s="326"/>
      <c r="HU52" s="326"/>
      <c r="HV52" s="326"/>
      <c r="HW52" s="326"/>
      <c r="HX52" s="326"/>
      <c r="HY52" s="326"/>
      <c r="HZ52" s="326"/>
      <c r="IA52" s="326"/>
      <c r="IB52" s="326"/>
      <c r="IC52" s="326"/>
      <c r="ID52" s="326"/>
      <c r="IE52" s="326"/>
      <c r="IF52" s="326"/>
      <c r="IG52" s="326"/>
      <c r="IH52" s="326"/>
      <c r="II52" s="326"/>
      <c r="IJ52" s="326"/>
      <c r="IK52" s="326"/>
      <c r="IL52" s="326"/>
      <c r="IM52" s="326"/>
      <c r="IN52" s="326"/>
      <c r="IO52" s="326"/>
      <c r="IP52" s="326"/>
      <c r="IQ52" s="326"/>
      <c r="IR52" s="326"/>
      <c r="IS52" s="326"/>
      <c r="IT52" s="326"/>
      <c r="IU52" s="326"/>
      <c r="IV52" s="326"/>
    </row>
    <row r="53" spans="1:256" s="555" customFormat="1" ht="18" customHeight="1">
      <c r="A53" s="569">
        <v>44</v>
      </c>
      <c r="B53" s="563"/>
      <c r="C53" s="327"/>
      <c r="D53" s="478" t="s">
        <v>757</v>
      </c>
      <c r="E53" s="335"/>
      <c r="F53" s="559"/>
      <c r="G53" s="336"/>
      <c r="H53" s="766"/>
      <c r="I53" s="781"/>
      <c r="J53" s="777"/>
      <c r="K53" s="777"/>
      <c r="L53" s="777"/>
      <c r="M53" s="556">
        <v>217000</v>
      </c>
      <c r="N53" s="777"/>
      <c r="O53" s="564">
        <f>SUM(I53:N53)</f>
        <v>217000</v>
      </c>
      <c r="P53" s="560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326"/>
      <c r="BN53" s="326"/>
      <c r="BO53" s="326"/>
      <c r="BP53" s="326"/>
      <c r="BQ53" s="326"/>
      <c r="BR53" s="326"/>
      <c r="BS53" s="326"/>
      <c r="BT53" s="326"/>
      <c r="BU53" s="326"/>
      <c r="BV53" s="326"/>
      <c r="BW53" s="326"/>
      <c r="BX53" s="326"/>
      <c r="BY53" s="326"/>
      <c r="BZ53" s="326"/>
      <c r="CA53" s="326"/>
      <c r="CB53" s="326"/>
      <c r="CC53" s="326"/>
      <c r="CD53" s="326"/>
      <c r="CE53" s="326"/>
      <c r="CF53" s="326"/>
      <c r="CG53" s="326"/>
      <c r="CH53" s="326"/>
      <c r="CI53" s="326"/>
      <c r="CJ53" s="326"/>
      <c r="CK53" s="326"/>
      <c r="CL53" s="326"/>
      <c r="CM53" s="326"/>
      <c r="CN53" s="326"/>
      <c r="CO53" s="326"/>
      <c r="CP53" s="326"/>
      <c r="CQ53" s="326"/>
      <c r="CR53" s="326"/>
      <c r="CS53" s="326"/>
      <c r="CT53" s="326"/>
      <c r="CU53" s="326"/>
      <c r="CV53" s="326"/>
      <c r="CW53" s="326"/>
      <c r="CX53" s="326"/>
      <c r="CY53" s="326"/>
      <c r="CZ53" s="326"/>
      <c r="DA53" s="326"/>
      <c r="DB53" s="326"/>
      <c r="DC53" s="326"/>
      <c r="DD53" s="326"/>
      <c r="DE53" s="326"/>
      <c r="DF53" s="326"/>
      <c r="DG53" s="326"/>
      <c r="DH53" s="326"/>
      <c r="DI53" s="326"/>
      <c r="DJ53" s="326"/>
      <c r="DK53" s="326"/>
      <c r="DL53" s="326"/>
      <c r="DM53" s="326"/>
      <c r="DN53" s="326"/>
      <c r="DO53" s="326"/>
      <c r="DP53" s="326"/>
      <c r="DQ53" s="326"/>
      <c r="DR53" s="326"/>
      <c r="DS53" s="326"/>
      <c r="DT53" s="326"/>
      <c r="DU53" s="326"/>
      <c r="DV53" s="326"/>
      <c r="DW53" s="326"/>
      <c r="DX53" s="326"/>
      <c r="DY53" s="326"/>
      <c r="DZ53" s="326"/>
      <c r="EA53" s="326"/>
      <c r="EB53" s="326"/>
      <c r="EC53" s="326"/>
      <c r="ED53" s="326"/>
      <c r="EE53" s="326"/>
      <c r="EF53" s="326"/>
      <c r="EG53" s="326"/>
      <c r="EH53" s="326"/>
      <c r="EI53" s="326"/>
      <c r="EJ53" s="326"/>
      <c r="EK53" s="326"/>
      <c r="EL53" s="326"/>
      <c r="EM53" s="326"/>
      <c r="EN53" s="326"/>
      <c r="EO53" s="326"/>
      <c r="EP53" s="326"/>
      <c r="EQ53" s="326"/>
      <c r="ER53" s="326"/>
      <c r="ES53" s="326"/>
      <c r="ET53" s="326"/>
      <c r="EU53" s="326"/>
      <c r="EV53" s="326"/>
      <c r="EW53" s="326"/>
      <c r="EX53" s="326"/>
      <c r="EY53" s="326"/>
      <c r="EZ53" s="326"/>
      <c r="FA53" s="326"/>
      <c r="FB53" s="326"/>
      <c r="FC53" s="326"/>
      <c r="FD53" s="326"/>
      <c r="FE53" s="326"/>
      <c r="FF53" s="326"/>
      <c r="FG53" s="326"/>
      <c r="FH53" s="326"/>
      <c r="FI53" s="326"/>
      <c r="FJ53" s="326"/>
      <c r="FK53" s="326"/>
      <c r="FL53" s="326"/>
      <c r="FM53" s="326"/>
      <c r="FN53" s="326"/>
      <c r="FO53" s="326"/>
      <c r="FP53" s="326"/>
      <c r="FQ53" s="326"/>
      <c r="FR53" s="326"/>
      <c r="FS53" s="326"/>
      <c r="FT53" s="326"/>
      <c r="FU53" s="326"/>
      <c r="FV53" s="326"/>
      <c r="FW53" s="326"/>
      <c r="FX53" s="326"/>
      <c r="FY53" s="326"/>
      <c r="FZ53" s="326"/>
      <c r="GA53" s="326"/>
      <c r="GB53" s="326"/>
      <c r="GC53" s="326"/>
      <c r="GD53" s="326"/>
      <c r="GE53" s="326"/>
      <c r="GF53" s="326"/>
      <c r="GG53" s="326"/>
      <c r="GH53" s="326"/>
      <c r="GI53" s="326"/>
      <c r="GJ53" s="326"/>
      <c r="GK53" s="326"/>
      <c r="GL53" s="326"/>
      <c r="GM53" s="326"/>
      <c r="GN53" s="326"/>
      <c r="GO53" s="326"/>
      <c r="GP53" s="326"/>
      <c r="GQ53" s="326"/>
      <c r="GR53" s="326"/>
      <c r="GS53" s="326"/>
      <c r="GT53" s="326"/>
      <c r="GU53" s="326"/>
      <c r="GV53" s="326"/>
      <c r="GW53" s="326"/>
      <c r="GX53" s="326"/>
      <c r="GY53" s="326"/>
      <c r="GZ53" s="326"/>
      <c r="HA53" s="326"/>
      <c r="HB53" s="326"/>
      <c r="HC53" s="326"/>
      <c r="HD53" s="326"/>
      <c r="HE53" s="326"/>
      <c r="HF53" s="326"/>
      <c r="HG53" s="326"/>
      <c r="HH53" s="326"/>
      <c r="HI53" s="326"/>
      <c r="HJ53" s="326"/>
      <c r="HK53" s="326"/>
      <c r="HL53" s="326"/>
      <c r="HM53" s="326"/>
      <c r="HN53" s="326"/>
      <c r="HO53" s="326"/>
      <c r="HP53" s="326"/>
      <c r="HQ53" s="326"/>
      <c r="HR53" s="326"/>
      <c r="HS53" s="326"/>
      <c r="HT53" s="326"/>
      <c r="HU53" s="326"/>
      <c r="HV53" s="326"/>
      <c r="HW53" s="326"/>
      <c r="HX53" s="326"/>
      <c r="HY53" s="326"/>
      <c r="HZ53" s="326"/>
      <c r="IA53" s="326"/>
      <c r="IB53" s="326"/>
      <c r="IC53" s="326"/>
      <c r="ID53" s="326"/>
      <c r="IE53" s="326"/>
      <c r="IF53" s="326"/>
      <c r="IG53" s="326"/>
      <c r="IH53" s="326"/>
      <c r="II53" s="326"/>
      <c r="IJ53" s="326"/>
      <c r="IK53" s="326"/>
      <c r="IL53" s="326"/>
      <c r="IM53" s="326"/>
      <c r="IN53" s="326"/>
      <c r="IO53" s="326"/>
      <c r="IP53" s="326"/>
      <c r="IQ53" s="326"/>
      <c r="IR53" s="326"/>
      <c r="IS53" s="326"/>
      <c r="IT53" s="326"/>
      <c r="IU53" s="326"/>
      <c r="IV53" s="326"/>
    </row>
    <row r="54" spans="1:256" s="555" customFormat="1" ht="18.75" customHeight="1">
      <c r="A54" s="569">
        <v>45</v>
      </c>
      <c r="B54" s="563"/>
      <c r="C54" s="327"/>
      <c r="D54" s="1090" t="s">
        <v>893</v>
      </c>
      <c r="E54" s="335"/>
      <c r="F54" s="559"/>
      <c r="G54" s="336"/>
      <c r="H54" s="766"/>
      <c r="I54" s="781"/>
      <c r="J54" s="777"/>
      <c r="K54" s="777"/>
      <c r="L54" s="777"/>
      <c r="M54" s="1186">
        <v>0</v>
      </c>
      <c r="N54" s="1186"/>
      <c r="O54" s="1723">
        <f>SUM(I54:N54)</f>
        <v>0</v>
      </c>
      <c r="P54" s="560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326"/>
      <c r="DH54" s="326"/>
      <c r="DI54" s="326"/>
      <c r="DJ54" s="326"/>
      <c r="DK54" s="326"/>
      <c r="DL54" s="326"/>
      <c r="DM54" s="326"/>
      <c r="DN54" s="326"/>
      <c r="DO54" s="326"/>
      <c r="DP54" s="326"/>
      <c r="DQ54" s="326"/>
      <c r="DR54" s="326"/>
      <c r="DS54" s="326"/>
      <c r="DT54" s="326"/>
      <c r="DU54" s="326"/>
      <c r="DV54" s="326"/>
      <c r="DW54" s="326"/>
      <c r="DX54" s="326"/>
      <c r="DY54" s="326"/>
      <c r="DZ54" s="326"/>
      <c r="EA54" s="326"/>
      <c r="EB54" s="326"/>
      <c r="EC54" s="326"/>
      <c r="ED54" s="326"/>
      <c r="EE54" s="326"/>
      <c r="EF54" s="326"/>
      <c r="EG54" s="326"/>
      <c r="EH54" s="326"/>
      <c r="EI54" s="326"/>
      <c r="EJ54" s="326"/>
      <c r="EK54" s="326"/>
      <c r="EL54" s="326"/>
      <c r="EM54" s="326"/>
      <c r="EN54" s="326"/>
      <c r="EO54" s="326"/>
      <c r="EP54" s="326"/>
      <c r="EQ54" s="326"/>
      <c r="ER54" s="326"/>
      <c r="ES54" s="326"/>
      <c r="ET54" s="326"/>
      <c r="EU54" s="326"/>
      <c r="EV54" s="326"/>
      <c r="EW54" s="326"/>
      <c r="EX54" s="326"/>
      <c r="EY54" s="326"/>
      <c r="EZ54" s="326"/>
      <c r="FA54" s="326"/>
      <c r="FB54" s="326"/>
      <c r="FC54" s="326"/>
      <c r="FD54" s="326"/>
      <c r="FE54" s="326"/>
      <c r="FF54" s="326"/>
      <c r="FG54" s="326"/>
      <c r="FH54" s="326"/>
      <c r="FI54" s="326"/>
      <c r="FJ54" s="326"/>
      <c r="FK54" s="326"/>
      <c r="FL54" s="326"/>
      <c r="FM54" s="326"/>
      <c r="FN54" s="326"/>
      <c r="FO54" s="326"/>
      <c r="FP54" s="326"/>
      <c r="FQ54" s="326"/>
      <c r="FR54" s="326"/>
      <c r="FS54" s="326"/>
      <c r="FT54" s="326"/>
      <c r="FU54" s="326"/>
      <c r="FV54" s="326"/>
      <c r="FW54" s="326"/>
      <c r="FX54" s="326"/>
      <c r="FY54" s="326"/>
      <c r="FZ54" s="326"/>
      <c r="GA54" s="326"/>
      <c r="GB54" s="326"/>
      <c r="GC54" s="326"/>
      <c r="GD54" s="326"/>
      <c r="GE54" s="326"/>
      <c r="GF54" s="326"/>
      <c r="GG54" s="326"/>
      <c r="GH54" s="326"/>
      <c r="GI54" s="326"/>
      <c r="GJ54" s="326"/>
      <c r="GK54" s="326"/>
      <c r="GL54" s="326"/>
      <c r="GM54" s="326"/>
      <c r="GN54" s="326"/>
      <c r="GO54" s="326"/>
      <c r="GP54" s="326"/>
      <c r="GQ54" s="326"/>
      <c r="GR54" s="326"/>
      <c r="GS54" s="326"/>
      <c r="GT54" s="326"/>
      <c r="GU54" s="326"/>
      <c r="GV54" s="326"/>
      <c r="GW54" s="326"/>
      <c r="GX54" s="326"/>
      <c r="GY54" s="326"/>
      <c r="GZ54" s="326"/>
      <c r="HA54" s="326"/>
      <c r="HB54" s="326"/>
      <c r="HC54" s="326"/>
      <c r="HD54" s="326"/>
      <c r="HE54" s="326"/>
      <c r="HF54" s="326"/>
      <c r="HG54" s="326"/>
      <c r="HH54" s="326"/>
      <c r="HI54" s="326"/>
      <c r="HJ54" s="326"/>
      <c r="HK54" s="326"/>
      <c r="HL54" s="326"/>
      <c r="HM54" s="326"/>
      <c r="HN54" s="326"/>
      <c r="HO54" s="326"/>
      <c r="HP54" s="326"/>
      <c r="HQ54" s="326"/>
      <c r="HR54" s="326"/>
      <c r="HS54" s="326"/>
      <c r="HT54" s="326"/>
      <c r="HU54" s="326"/>
      <c r="HV54" s="326"/>
      <c r="HW54" s="326"/>
      <c r="HX54" s="326"/>
      <c r="HY54" s="326"/>
      <c r="HZ54" s="326"/>
      <c r="IA54" s="326"/>
      <c r="IB54" s="326"/>
      <c r="IC54" s="326"/>
      <c r="ID54" s="326"/>
      <c r="IE54" s="326"/>
      <c r="IF54" s="326"/>
      <c r="IG54" s="326"/>
      <c r="IH54" s="326"/>
      <c r="II54" s="326"/>
      <c r="IJ54" s="326"/>
      <c r="IK54" s="326"/>
      <c r="IL54" s="326"/>
      <c r="IM54" s="326"/>
      <c r="IN54" s="326"/>
      <c r="IO54" s="326"/>
      <c r="IP54" s="326"/>
      <c r="IQ54" s="326"/>
      <c r="IR54" s="326"/>
      <c r="IS54" s="326"/>
      <c r="IT54" s="326"/>
      <c r="IU54" s="326"/>
      <c r="IV54" s="326"/>
    </row>
    <row r="55" spans="1:256" s="555" customFormat="1" ht="22.5" customHeight="1">
      <c r="A55" s="569">
        <v>46</v>
      </c>
      <c r="B55" s="563"/>
      <c r="C55" s="366">
        <v>12</v>
      </c>
      <c r="D55" s="918" t="s">
        <v>599</v>
      </c>
      <c r="E55" s="335"/>
      <c r="F55" s="559"/>
      <c r="G55" s="336"/>
      <c r="H55" s="766" t="s">
        <v>23</v>
      </c>
      <c r="I55" s="781"/>
      <c r="J55" s="777"/>
      <c r="K55" s="777"/>
      <c r="L55" s="777"/>
      <c r="M55" s="777"/>
      <c r="N55" s="777"/>
      <c r="O55" s="751"/>
      <c r="P55" s="560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  <c r="CZ55" s="326"/>
      <c r="DA55" s="326"/>
      <c r="DB55" s="326"/>
      <c r="DC55" s="326"/>
      <c r="DD55" s="326"/>
      <c r="DE55" s="326"/>
      <c r="DF55" s="326"/>
      <c r="DG55" s="326"/>
      <c r="DH55" s="326"/>
      <c r="DI55" s="326"/>
      <c r="DJ55" s="326"/>
      <c r="DK55" s="326"/>
      <c r="DL55" s="326"/>
      <c r="DM55" s="326"/>
      <c r="DN55" s="326"/>
      <c r="DO55" s="326"/>
      <c r="DP55" s="326"/>
      <c r="DQ55" s="326"/>
      <c r="DR55" s="326"/>
      <c r="DS55" s="326"/>
      <c r="DT55" s="326"/>
      <c r="DU55" s="326"/>
      <c r="DV55" s="326"/>
      <c r="DW55" s="326"/>
      <c r="DX55" s="326"/>
      <c r="DY55" s="326"/>
      <c r="DZ55" s="326"/>
      <c r="EA55" s="326"/>
      <c r="EB55" s="326"/>
      <c r="EC55" s="326"/>
      <c r="ED55" s="326"/>
      <c r="EE55" s="326"/>
      <c r="EF55" s="326"/>
      <c r="EG55" s="326"/>
      <c r="EH55" s="326"/>
      <c r="EI55" s="326"/>
      <c r="EJ55" s="326"/>
      <c r="EK55" s="326"/>
      <c r="EL55" s="326"/>
      <c r="EM55" s="326"/>
      <c r="EN55" s="326"/>
      <c r="EO55" s="326"/>
      <c r="EP55" s="326"/>
      <c r="EQ55" s="326"/>
      <c r="ER55" s="326"/>
      <c r="ES55" s="326"/>
      <c r="ET55" s="326"/>
      <c r="EU55" s="326"/>
      <c r="EV55" s="326"/>
      <c r="EW55" s="326"/>
      <c r="EX55" s="326"/>
      <c r="EY55" s="326"/>
      <c r="EZ55" s="326"/>
      <c r="FA55" s="326"/>
      <c r="FB55" s="326"/>
      <c r="FC55" s="326"/>
      <c r="FD55" s="326"/>
      <c r="FE55" s="326"/>
      <c r="FF55" s="326"/>
      <c r="FG55" s="326"/>
      <c r="FH55" s="326"/>
      <c r="FI55" s="326"/>
      <c r="FJ55" s="326"/>
      <c r="FK55" s="326"/>
      <c r="FL55" s="326"/>
      <c r="FM55" s="326"/>
      <c r="FN55" s="326"/>
      <c r="FO55" s="326"/>
      <c r="FP55" s="326"/>
      <c r="FQ55" s="326"/>
      <c r="FR55" s="326"/>
      <c r="FS55" s="326"/>
      <c r="FT55" s="326"/>
      <c r="FU55" s="326"/>
      <c r="FV55" s="326"/>
      <c r="FW55" s="326"/>
      <c r="FX55" s="326"/>
      <c r="FY55" s="326"/>
      <c r="FZ55" s="326"/>
      <c r="GA55" s="326"/>
      <c r="GB55" s="326"/>
      <c r="GC55" s="326"/>
      <c r="GD55" s="326"/>
      <c r="GE55" s="326"/>
      <c r="GF55" s="326"/>
      <c r="GG55" s="326"/>
      <c r="GH55" s="326"/>
      <c r="GI55" s="326"/>
      <c r="GJ55" s="326"/>
      <c r="GK55" s="326"/>
      <c r="GL55" s="326"/>
      <c r="GM55" s="326"/>
      <c r="GN55" s="326"/>
      <c r="GO55" s="326"/>
      <c r="GP55" s="326"/>
      <c r="GQ55" s="326"/>
      <c r="GR55" s="326"/>
      <c r="GS55" s="326"/>
      <c r="GT55" s="326"/>
      <c r="GU55" s="326"/>
      <c r="GV55" s="326"/>
      <c r="GW55" s="326"/>
      <c r="GX55" s="326"/>
      <c r="GY55" s="326"/>
      <c r="GZ55" s="326"/>
      <c r="HA55" s="326"/>
      <c r="HB55" s="326"/>
      <c r="HC55" s="326"/>
      <c r="HD55" s="326"/>
      <c r="HE55" s="326"/>
      <c r="HF55" s="326"/>
      <c r="HG55" s="326"/>
      <c r="HH55" s="326"/>
      <c r="HI55" s="326"/>
      <c r="HJ55" s="326"/>
      <c r="HK55" s="326"/>
      <c r="HL55" s="326"/>
      <c r="HM55" s="326"/>
      <c r="HN55" s="326"/>
      <c r="HO55" s="326"/>
      <c r="HP55" s="326"/>
      <c r="HQ55" s="326"/>
      <c r="HR55" s="326"/>
      <c r="HS55" s="326"/>
      <c r="HT55" s="326"/>
      <c r="HU55" s="326"/>
      <c r="HV55" s="326"/>
      <c r="HW55" s="326"/>
      <c r="HX55" s="326"/>
      <c r="HY55" s="326"/>
      <c r="HZ55" s="326"/>
      <c r="IA55" s="326"/>
      <c r="IB55" s="326"/>
      <c r="IC55" s="326"/>
      <c r="ID55" s="326"/>
      <c r="IE55" s="326"/>
      <c r="IF55" s="326"/>
      <c r="IG55" s="326"/>
      <c r="IH55" s="326"/>
      <c r="II55" s="326"/>
      <c r="IJ55" s="326"/>
      <c r="IK55" s="326"/>
      <c r="IL55" s="326"/>
      <c r="IM55" s="326"/>
      <c r="IN55" s="326"/>
      <c r="IO55" s="326"/>
      <c r="IP55" s="326"/>
      <c r="IQ55" s="326"/>
      <c r="IR55" s="326"/>
      <c r="IS55" s="326"/>
      <c r="IT55" s="326"/>
      <c r="IU55" s="326"/>
      <c r="IV55" s="326"/>
    </row>
    <row r="56" spans="1:256" s="555" customFormat="1" ht="18" customHeight="1">
      <c r="A56" s="569">
        <v>47</v>
      </c>
      <c r="B56" s="563"/>
      <c r="C56" s="327"/>
      <c r="D56" s="1194" t="s">
        <v>283</v>
      </c>
      <c r="E56" s="335">
        <f>F56+G56+O57+P56</f>
        <v>10</v>
      </c>
      <c r="F56" s="559"/>
      <c r="G56" s="336"/>
      <c r="H56" s="766"/>
      <c r="I56" s="781"/>
      <c r="J56" s="777"/>
      <c r="K56" s="777"/>
      <c r="L56" s="777"/>
      <c r="M56" s="777">
        <v>10</v>
      </c>
      <c r="N56" s="777"/>
      <c r="O56" s="751">
        <f>SUM(I56:N56)</f>
        <v>10</v>
      </c>
      <c r="P56" s="560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6"/>
      <c r="BO56" s="326"/>
      <c r="BP56" s="326"/>
      <c r="BQ56" s="326"/>
      <c r="BR56" s="326"/>
      <c r="BS56" s="326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6"/>
      <c r="CW56" s="326"/>
      <c r="CX56" s="326"/>
      <c r="CY56" s="326"/>
      <c r="CZ56" s="326"/>
      <c r="DA56" s="326"/>
      <c r="DB56" s="326"/>
      <c r="DC56" s="326"/>
      <c r="DD56" s="326"/>
      <c r="DE56" s="326"/>
      <c r="DF56" s="326"/>
      <c r="DG56" s="326"/>
      <c r="DH56" s="326"/>
      <c r="DI56" s="326"/>
      <c r="DJ56" s="326"/>
      <c r="DK56" s="326"/>
      <c r="DL56" s="326"/>
      <c r="DM56" s="326"/>
      <c r="DN56" s="326"/>
      <c r="DO56" s="326"/>
      <c r="DP56" s="326"/>
      <c r="DQ56" s="326"/>
      <c r="DR56" s="326"/>
      <c r="DS56" s="326"/>
      <c r="DT56" s="326"/>
      <c r="DU56" s="326"/>
      <c r="DV56" s="326"/>
      <c r="DW56" s="326"/>
      <c r="DX56" s="326"/>
      <c r="DY56" s="326"/>
      <c r="DZ56" s="326"/>
      <c r="EA56" s="326"/>
      <c r="EB56" s="326"/>
      <c r="EC56" s="326"/>
      <c r="ED56" s="326"/>
      <c r="EE56" s="326"/>
      <c r="EF56" s="326"/>
      <c r="EG56" s="326"/>
      <c r="EH56" s="326"/>
      <c r="EI56" s="326"/>
      <c r="EJ56" s="326"/>
      <c r="EK56" s="326"/>
      <c r="EL56" s="326"/>
      <c r="EM56" s="326"/>
      <c r="EN56" s="326"/>
      <c r="EO56" s="326"/>
      <c r="EP56" s="326"/>
      <c r="EQ56" s="326"/>
      <c r="ER56" s="326"/>
      <c r="ES56" s="326"/>
      <c r="ET56" s="326"/>
      <c r="EU56" s="326"/>
      <c r="EV56" s="326"/>
      <c r="EW56" s="326"/>
      <c r="EX56" s="326"/>
      <c r="EY56" s="326"/>
      <c r="EZ56" s="326"/>
      <c r="FA56" s="326"/>
      <c r="FB56" s="326"/>
      <c r="FC56" s="326"/>
      <c r="FD56" s="326"/>
      <c r="FE56" s="326"/>
      <c r="FF56" s="326"/>
      <c r="FG56" s="326"/>
      <c r="FH56" s="326"/>
      <c r="FI56" s="326"/>
      <c r="FJ56" s="326"/>
      <c r="FK56" s="326"/>
      <c r="FL56" s="326"/>
      <c r="FM56" s="326"/>
      <c r="FN56" s="326"/>
      <c r="FO56" s="326"/>
      <c r="FP56" s="326"/>
      <c r="FQ56" s="326"/>
      <c r="FR56" s="326"/>
      <c r="FS56" s="326"/>
      <c r="FT56" s="326"/>
      <c r="FU56" s="326"/>
      <c r="FV56" s="326"/>
      <c r="FW56" s="326"/>
      <c r="FX56" s="326"/>
      <c r="FY56" s="326"/>
      <c r="FZ56" s="326"/>
      <c r="GA56" s="326"/>
      <c r="GB56" s="326"/>
      <c r="GC56" s="326"/>
      <c r="GD56" s="326"/>
      <c r="GE56" s="326"/>
      <c r="GF56" s="326"/>
      <c r="GG56" s="326"/>
      <c r="GH56" s="326"/>
      <c r="GI56" s="326"/>
      <c r="GJ56" s="326"/>
      <c r="GK56" s="326"/>
      <c r="GL56" s="326"/>
      <c r="GM56" s="326"/>
      <c r="GN56" s="326"/>
      <c r="GO56" s="326"/>
      <c r="GP56" s="326"/>
      <c r="GQ56" s="326"/>
      <c r="GR56" s="326"/>
      <c r="GS56" s="326"/>
      <c r="GT56" s="326"/>
      <c r="GU56" s="326"/>
      <c r="GV56" s="326"/>
      <c r="GW56" s="326"/>
      <c r="GX56" s="326"/>
      <c r="GY56" s="326"/>
      <c r="GZ56" s="326"/>
      <c r="HA56" s="326"/>
      <c r="HB56" s="326"/>
      <c r="HC56" s="326"/>
      <c r="HD56" s="326"/>
      <c r="HE56" s="326"/>
      <c r="HF56" s="326"/>
      <c r="HG56" s="326"/>
      <c r="HH56" s="326"/>
      <c r="HI56" s="326"/>
      <c r="HJ56" s="326"/>
      <c r="HK56" s="326"/>
      <c r="HL56" s="326"/>
      <c r="HM56" s="326"/>
      <c r="HN56" s="326"/>
      <c r="HO56" s="326"/>
      <c r="HP56" s="326"/>
      <c r="HQ56" s="326"/>
      <c r="HR56" s="326"/>
      <c r="HS56" s="326"/>
      <c r="HT56" s="326"/>
      <c r="HU56" s="326"/>
      <c r="HV56" s="326"/>
      <c r="HW56" s="326"/>
      <c r="HX56" s="326"/>
      <c r="HY56" s="326"/>
      <c r="HZ56" s="326"/>
      <c r="IA56" s="326"/>
      <c r="IB56" s="326"/>
      <c r="IC56" s="326"/>
      <c r="ID56" s="326"/>
      <c r="IE56" s="326"/>
      <c r="IF56" s="326"/>
      <c r="IG56" s="326"/>
      <c r="IH56" s="326"/>
      <c r="II56" s="326"/>
      <c r="IJ56" s="326"/>
      <c r="IK56" s="326"/>
      <c r="IL56" s="326"/>
      <c r="IM56" s="326"/>
      <c r="IN56" s="326"/>
      <c r="IO56" s="326"/>
      <c r="IP56" s="326"/>
      <c r="IQ56" s="326"/>
      <c r="IR56" s="326"/>
      <c r="IS56" s="326"/>
      <c r="IT56" s="326"/>
      <c r="IU56" s="326"/>
      <c r="IV56" s="326"/>
    </row>
    <row r="57" spans="1:256" s="555" customFormat="1" ht="18" customHeight="1">
      <c r="A57" s="569">
        <v>48</v>
      </c>
      <c r="B57" s="563"/>
      <c r="C57" s="327"/>
      <c r="D57" s="478" t="s">
        <v>757</v>
      </c>
      <c r="E57" s="335"/>
      <c r="F57" s="559"/>
      <c r="G57" s="336"/>
      <c r="H57" s="766"/>
      <c r="I57" s="781"/>
      <c r="J57" s="777"/>
      <c r="K57" s="777"/>
      <c r="L57" s="777"/>
      <c r="M57" s="556">
        <v>10</v>
      </c>
      <c r="N57" s="556"/>
      <c r="O57" s="564">
        <f>SUM(I57:N57)</f>
        <v>10</v>
      </c>
      <c r="P57" s="560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6"/>
      <c r="BD57" s="326"/>
      <c r="BE57" s="326"/>
      <c r="BF57" s="326"/>
      <c r="BG57" s="326"/>
      <c r="BH57" s="326"/>
      <c r="BI57" s="326"/>
      <c r="BJ57" s="326"/>
      <c r="BK57" s="326"/>
      <c r="BL57" s="326"/>
      <c r="BM57" s="326"/>
      <c r="BN57" s="326"/>
      <c r="BO57" s="326"/>
      <c r="BP57" s="326"/>
      <c r="BQ57" s="326"/>
      <c r="BR57" s="326"/>
      <c r="BS57" s="326"/>
      <c r="BT57" s="326"/>
      <c r="BU57" s="326"/>
      <c r="BV57" s="326"/>
      <c r="BW57" s="326"/>
      <c r="BX57" s="326"/>
      <c r="BY57" s="326"/>
      <c r="BZ57" s="326"/>
      <c r="CA57" s="326"/>
      <c r="CB57" s="326"/>
      <c r="CC57" s="326"/>
      <c r="CD57" s="326"/>
      <c r="CE57" s="326"/>
      <c r="CF57" s="326"/>
      <c r="CG57" s="326"/>
      <c r="CH57" s="326"/>
      <c r="CI57" s="326"/>
      <c r="CJ57" s="326"/>
      <c r="CK57" s="326"/>
      <c r="CL57" s="326"/>
      <c r="CM57" s="326"/>
      <c r="CN57" s="326"/>
      <c r="CO57" s="326"/>
      <c r="CP57" s="326"/>
      <c r="CQ57" s="326"/>
      <c r="CR57" s="326"/>
      <c r="CS57" s="326"/>
      <c r="CT57" s="326"/>
      <c r="CU57" s="326"/>
      <c r="CV57" s="326"/>
      <c r="CW57" s="326"/>
      <c r="CX57" s="326"/>
      <c r="CY57" s="326"/>
      <c r="CZ57" s="326"/>
      <c r="DA57" s="326"/>
      <c r="DB57" s="326"/>
      <c r="DC57" s="326"/>
      <c r="DD57" s="326"/>
      <c r="DE57" s="326"/>
      <c r="DF57" s="326"/>
      <c r="DG57" s="326"/>
      <c r="DH57" s="326"/>
      <c r="DI57" s="326"/>
      <c r="DJ57" s="326"/>
      <c r="DK57" s="326"/>
      <c r="DL57" s="326"/>
      <c r="DM57" s="326"/>
      <c r="DN57" s="326"/>
      <c r="DO57" s="326"/>
      <c r="DP57" s="326"/>
      <c r="DQ57" s="326"/>
      <c r="DR57" s="326"/>
      <c r="DS57" s="326"/>
      <c r="DT57" s="326"/>
      <c r="DU57" s="326"/>
      <c r="DV57" s="326"/>
      <c r="DW57" s="326"/>
      <c r="DX57" s="326"/>
      <c r="DY57" s="326"/>
      <c r="DZ57" s="326"/>
      <c r="EA57" s="326"/>
      <c r="EB57" s="326"/>
      <c r="EC57" s="326"/>
      <c r="ED57" s="326"/>
      <c r="EE57" s="326"/>
      <c r="EF57" s="326"/>
      <c r="EG57" s="326"/>
      <c r="EH57" s="326"/>
      <c r="EI57" s="326"/>
      <c r="EJ57" s="326"/>
      <c r="EK57" s="326"/>
      <c r="EL57" s="326"/>
      <c r="EM57" s="326"/>
      <c r="EN57" s="326"/>
      <c r="EO57" s="326"/>
      <c r="EP57" s="326"/>
      <c r="EQ57" s="326"/>
      <c r="ER57" s="326"/>
      <c r="ES57" s="326"/>
      <c r="ET57" s="326"/>
      <c r="EU57" s="326"/>
      <c r="EV57" s="326"/>
      <c r="EW57" s="326"/>
      <c r="EX57" s="326"/>
      <c r="EY57" s="326"/>
      <c r="EZ57" s="326"/>
      <c r="FA57" s="326"/>
      <c r="FB57" s="326"/>
      <c r="FC57" s="326"/>
      <c r="FD57" s="326"/>
      <c r="FE57" s="326"/>
      <c r="FF57" s="326"/>
      <c r="FG57" s="326"/>
      <c r="FH57" s="326"/>
      <c r="FI57" s="326"/>
      <c r="FJ57" s="326"/>
      <c r="FK57" s="326"/>
      <c r="FL57" s="326"/>
      <c r="FM57" s="326"/>
      <c r="FN57" s="326"/>
      <c r="FO57" s="326"/>
      <c r="FP57" s="326"/>
      <c r="FQ57" s="326"/>
      <c r="FR57" s="326"/>
      <c r="FS57" s="326"/>
      <c r="FT57" s="326"/>
      <c r="FU57" s="326"/>
      <c r="FV57" s="326"/>
      <c r="FW57" s="326"/>
      <c r="FX57" s="326"/>
      <c r="FY57" s="326"/>
      <c r="FZ57" s="326"/>
      <c r="GA57" s="326"/>
      <c r="GB57" s="326"/>
      <c r="GC57" s="326"/>
      <c r="GD57" s="326"/>
      <c r="GE57" s="326"/>
      <c r="GF57" s="326"/>
      <c r="GG57" s="326"/>
      <c r="GH57" s="326"/>
      <c r="GI57" s="326"/>
      <c r="GJ57" s="326"/>
      <c r="GK57" s="326"/>
      <c r="GL57" s="326"/>
      <c r="GM57" s="326"/>
      <c r="GN57" s="326"/>
      <c r="GO57" s="326"/>
      <c r="GP57" s="326"/>
      <c r="GQ57" s="326"/>
      <c r="GR57" s="326"/>
      <c r="GS57" s="326"/>
      <c r="GT57" s="326"/>
      <c r="GU57" s="326"/>
      <c r="GV57" s="326"/>
      <c r="GW57" s="326"/>
      <c r="GX57" s="326"/>
      <c r="GY57" s="326"/>
      <c r="GZ57" s="326"/>
      <c r="HA57" s="326"/>
      <c r="HB57" s="326"/>
      <c r="HC57" s="326"/>
      <c r="HD57" s="326"/>
      <c r="HE57" s="326"/>
      <c r="HF57" s="326"/>
      <c r="HG57" s="326"/>
      <c r="HH57" s="326"/>
      <c r="HI57" s="326"/>
      <c r="HJ57" s="326"/>
      <c r="HK57" s="326"/>
      <c r="HL57" s="326"/>
      <c r="HM57" s="326"/>
      <c r="HN57" s="326"/>
      <c r="HO57" s="326"/>
      <c r="HP57" s="326"/>
      <c r="HQ57" s="326"/>
      <c r="HR57" s="326"/>
      <c r="HS57" s="326"/>
      <c r="HT57" s="326"/>
      <c r="HU57" s="326"/>
      <c r="HV57" s="326"/>
      <c r="HW57" s="326"/>
      <c r="HX57" s="326"/>
      <c r="HY57" s="326"/>
      <c r="HZ57" s="326"/>
      <c r="IA57" s="326"/>
      <c r="IB57" s="326"/>
      <c r="IC57" s="326"/>
      <c r="ID57" s="326"/>
      <c r="IE57" s="326"/>
      <c r="IF57" s="326"/>
      <c r="IG57" s="326"/>
      <c r="IH57" s="326"/>
      <c r="II57" s="326"/>
      <c r="IJ57" s="326"/>
      <c r="IK57" s="326"/>
      <c r="IL57" s="326"/>
      <c r="IM57" s="326"/>
      <c r="IN57" s="326"/>
      <c r="IO57" s="326"/>
      <c r="IP57" s="326"/>
      <c r="IQ57" s="326"/>
      <c r="IR57" s="326"/>
      <c r="IS57" s="326"/>
      <c r="IT57" s="326"/>
      <c r="IU57" s="326"/>
      <c r="IV57" s="326"/>
    </row>
    <row r="58" spans="1:256" s="555" customFormat="1" ht="18" customHeight="1">
      <c r="A58" s="569">
        <v>49</v>
      </c>
      <c r="B58" s="563"/>
      <c r="C58" s="327"/>
      <c r="D58" s="1090" t="s">
        <v>893</v>
      </c>
      <c r="E58" s="335"/>
      <c r="F58" s="559"/>
      <c r="G58" s="336"/>
      <c r="H58" s="766"/>
      <c r="I58" s="781"/>
      <c r="J58" s="777"/>
      <c r="K58" s="777"/>
      <c r="L58" s="777"/>
      <c r="M58" s="1186">
        <v>10</v>
      </c>
      <c r="N58" s="1186"/>
      <c r="O58" s="1723">
        <f>SUM(I58:N58)</f>
        <v>10</v>
      </c>
      <c r="P58" s="560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6"/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  <c r="DB58" s="326"/>
      <c r="DC58" s="326"/>
      <c r="DD58" s="326"/>
      <c r="DE58" s="326"/>
      <c r="DF58" s="326"/>
      <c r="DG58" s="326"/>
      <c r="DH58" s="326"/>
      <c r="DI58" s="326"/>
      <c r="DJ58" s="326"/>
      <c r="DK58" s="326"/>
      <c r="DL58" s="326"/>
      <c r="DM58" s="326"/>
      <c r="DN58" s="326"/>
      <c r="DO58" s="326"/>
      <c r="DP58" s="326"/>
      <c r="DQ58" s="326"/>
      <c r="DR58" s="326"/>
      <c r="DS58" s="326"/>
      <c r="DT58" s="326"/>
      <c r="DU58" s="326"/>
      <c r="DV58" s="326"/>
      <c r="DW58" s="326"/>
      <c r="DX58" s="326"/>
      <c r="DY58" s="326"/>
      <c r="DZ58" s="326"/>
      <c r="EA58" s="326"/>
      <c r="EB58" s="326"/>
      <c r="EC58" s="326"/>
      <c r="ED58" s="326"/>
      <c r="EE58" s="326"/>
      <c r="EF58" s="326"/>
      <c r="EG58" s="326"/>
      <c r="EH58" s="326"/>
      <c r="EI58" s="326"/>
      <c r="EJ58" s="326"/>
      <c r="EK58" s="326"/>
      <c r="EL58" s="326"/>
      <c r="EM58" s="326"/>
      <c r="EN58" s="326"/>
      <c r="EO58" s="326"/>
      <c r="EP58" s="326"/>
      <c r="EQ58" s="326"/>
      <c r="ER58" s="326"/>
      <c r="ES58" s="326"/>
      <c r="ET58" s="326"/>
      <c r="EU58" s="326"/>
      <c r="EV58" s="326"/>
      <c r="EW58" s="326"/>
      <c r="EX58" s="326"/>
      <c r="EY58" s="326"/>
      <c r="EZ58" s="326"/>
      <c r="FA58" s="326"/>
      <c r="FB58" s="326"/>
      <c r="FC58" s="326"/>
      <c r="FD58" s="326"/>
      <c r="FE58" s="326"/>
      <c r="FF58" s="326"/>
      <c r="FG58" s="326"/>
      <c r="FH58" s="326"/>
      <c r="FI58" s="326"/>
      <c r="FJ58" s="326"/>
      <c r="FK58" s="326"/>
      <c r="FL58" s="326"/>
      <c r="FM58" s="326"/>
      <c r="FN58" s="326"/>
      <c r="FO58" s="326"/>
      <c r="FP58" s="326"/>
      <c r="FQ58" s="326"/>
      <c r="FR58" s="326"/>
      <c r="FS58" s="326"/>
      <c r="FT58" s="326"/>
      <c r="FU58" s="326"/>
      <c r="FV58" s="326"/>
      <c r="FW58" s="326"/>
      <c r="FX58" s="326"/>
      <c r="FY58" s="326"/>
      <c r="FZ58" s="326"/>
      <c r="GA58" s="326"/>
      <c r="GB58" s="326"/>
      <c r="GC58" s="326"/>
      <c r="GD58" s="326"/>
      <c r="GE58" s="326"/>
      <c r="GF58" s="326"/>
      <c r="GG58" s="326"/>
      <c r="GH58" s="326"/>
      <c r="GI58" s="326"/>
      <c r="GJ58" s="326"/>
      <c r="GK58" s="326"/>
      <c r="GL58" s="326"/>
      <c r="GM58" s="326"/>
      <c r="GN58" s="326"/>
      <c r="GO58" s="326"/>
      <c r="GP58" s="326"/>
      <c r="GQ58" s="326"/>
      <c r="GR58" s="326"/>
      <c r="GS58" s="326"/>
      <c r="GT58" s="326"/>
      <c r="GU58" s="326"/>
      <c r="GV58" s="326"/>
      <c r="GW58" s="326"/>
      <c r="GX58" s="326"/>
      <c r="GY58" s="326"/>
      <c r="GZ58" s="326"/>
      <c r="HA58" s="326"/>
      <c r="HB58" s="326"/>
      <c r="HC58" s="326"/>
      <c r="HD58" s="326"/>
      <c r="HE58" s="326"/>
      <c r="HF58" s="326"/>
      <c r="HG58" s="326"/>
      <c r="HH58" s="326"/>
      <c r="HI58" s="326"/>
      <c r="HJ58" s="326"/>
      <c r="HK58" s="326"/>
      <c r="HL58" s="326"/>
      <c r="HM58" s="326"/>
      <c r="HN58" s="326"/>
      <c r="HO58" s="326"/>
      <c r="HP58" s="326"/>
      <c r="HQ58" s="326"/>
      <c r="HR58" s="326"/>
      <c r="HS58" s="326"/>
      <c r="HT58" s="326"/>
      <c r="HU58" s="326"/>
      <c r="HV58" s="326"/>
      <c r="HW58" s="326"/>
      <c r="HX58" s="326"/>
      <c r="HY58" s="326"/>
      <c r="HZ58" s="326"/>
      <c r="IA58" s="326"/>
      <c r="IB58" s="326"/>
      <c r="IC58" s="326"/>
      <c r="ID58" s="326"/>
      <c r="IE58" s="326"/>
      <c r="IF58" s="326"/>
      <c r="IG58" s="326"/>
      <c r="IH58" s="326"/>
      <c r="II58" s="326"/>
      <c r="IJ58" s="326"/>
      <c r="IK58" s="326"/>
      <c r="IL58" s="326"/>
      <c r="IM58" s="326"/>
      <c r="IN58" s="326"/>
      <c r="IO58" s="326"/>
      <c r="IP58" s="326"/>
      <c r="IQ58" s="326"/>
      <c r="IR58" s="326"/>
      <c r="IS58" s="326"/>
      <c r="IT58" s="326"/>
      <c r="IU58" s="326"/>
      <c r="IV58" s="326"/>
    </row>
    <row r="59" spans="1:256" s="555" customFormat="1" ht="22.5" customHeight="1">
      <c r="A59" s="569">
        <v>50</v>
      </c>
      <c r="B59" s="563"/>
      <c r="C59" s="366">
        <v>13</v>
      </c>
      <c r="D59" s="918" t="s">
        <v>670</v>
      </c>
      <c r="E59" s="335"/>
      <c r="F59" s="559"/>
      <c r="G59" s="336"/>
      <c r="H59" s="766" t="s">
        <v>23</v>
      </c>
      <c r="I59" s="781"/>
      <c r="J59" s="777"/>
      <c r="K59" s="777"/>
      <c r="L59" s="777"/>
      <c r="M59" s="777"/>
      <c r="N59" s="777"/>
      <c r="O59" s="751"/>
      <c r="P59" s="560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326"/>
      <c r="BC59" s="326"/>
      <c r="BD59" s="326"/>
      <c r="BE59" s="326"/>
      <c r="BF59" s="326"/>
      <c r="BG59" s="326"/>
      <c r="BH59" s="326"/>
      <c r="BI59" s="326"/>
      <c r="BJ59" s="326"/>
      <c r="BK59" s="326"/>
      <c r="BL59" s="326"/>
      <c r="BM59" s="326"/>
      <c r="BN59" s="326"/>
      <c r="BO59" s="326"/>
      <c r="BP59" s="326"/>
      <c r="BQ59" s="326"/>
      <c r="BR59" s="326"/>
      <c r="BS59" s="326"/>
      <c r="BT59" s="326"/>
      <c r="BU59" s="326"/>
      <c r="BV59" s="326"/>
      <c r="BW59" s="326"/>
      <c r="BX59" s="326"/>
      <c r="BY59" s="326"/>
      <c r="BZ59" s="326"/>
      <c r="CA59" s="326"/>
      <c r="CB59" s="326"/>
      <c r="CC59" s="326"/>
      <c r="CD59" s="326"/>
      <c r="CE59" s="326"/>
      <c r="CF59" s="326"/>
      <c r="CG59" s="326"/>
      <c r="CH59" s="326"/>
      <c r="CI59" s="326"/>
      <c r="CJ59" s="326"/>
      <c r="CK59" s="326"/>
      <c r="CL59" s="326"/>
      <c r="CM59" s="326"/>
      <c r="CN59" s="326"/>
      <c r="CO59" s="326"/>
      <c r="CP59" s="326"/>
      <c r="CQ59" s="326"/>
      <c r="CR59" s="326"/>
      <c r="CS59" s="326"/>
      <c r="CT59" s="326"/>
      <c r="CU59" s="326"/>
      <c r="CV59" s="326"/>
      <c r="CW59" s="326"/>
      <c r="CX59" s="326"/>
      <c r="CY59" s="326"/>
      <c r="CZ59" s="326"/>
      <c r="DA59" s="326"/>
      <c r="DB59" s="326"/>
      <c r="DC59" s="326"/>
      <c r="DD59" s="326"/>
      <c r="DE59" s="326"/>
      <c r="DF59" s="326"/>
      <c r="DG59" s="326"/>
      <c r="DH59" s="326"/>
      <c r="DI59" s="326"/>
      <c r="DJ59" s="326"/>
      <c r="DK59" s="326"/>
      <c r="DL59" s="326"/>
      <c r="DM59" s="326"/>
      <c r="DN59" s="326"/>
      <c r="DO59" s="326"/>
      <c r="DP59" s="326"/>
      <c r="DQ59" s="326"/>
      <c r="DR59" s="326"/>
      <c r="DS59" s="326"/>
      <c r="DT59" s="326"/>
      <c r="DU59" s="326"/>
      <c r="DV59" s="326"/>
      <c r="DW59" s="326"/>
      <c r="DX59" s="326"/>
      <c r="DY59" s="326"/>
      <c r="DZ59" s="326"/>
      <c r="EA59" s="326"/>
      <c r="EB59" s="326"/>
      <c r="EC59" s="326"/>
      <c r="ED59" s="326"/>
      <c r="EE59" s="326"/>
      <c r="EF59" s="326"/>
      <c r="EG59" s="326"/>
      <c r="EH59" s="326"/>
      <c r="EI59" s="326"/>
      <c r="EJ59" s="326"/>
      <c r="EK59" s="326"/>
      <c r="EL59" s="326"/>
      <c r="EM59" s="326"/>
      <c r="EN59" s="326"/>
      <c r="EO59" s="326"/>
      <c r="EP59" s="326"/>
      <c r="EQ59" s="326"/>
      <c r="ER59" s="326"/>
      <c r="ES59" s="326"/>
      <c r="ET59" s="326"/>
      <c r="EU59" s="326"/>
      <c r="EV59" s="326"/>
      <c r="EW59" s="326"/>
      <c r="EX59" s="326"/>
      <c r="EY59" s="326"/>
      <c r="EZ59" s="326"/>
      <c r="FA59" s="326"/>
      <c r="FB59" s="326"/>
      <c r="FC59" s="326"/>
      <c r="FD59" s="326"/>
      <c r="FE59" s="326"/>
      <c r="FF59" s="326"/>
      <c r="FG59" s="326"/>
      <c r="FH59" s="326"/>
      <c r="FI59" s="326"/>
      <c r="FJ59" s="326"/>
      <c r="FK59" s="326"/>
      <c r="FL59" s="326"/>
      <c r="FM59" s="326"/>
      <c r="FN59" s="326"/>
      <c r="FO59" s="326"/>
      <c r="FP59" s="326"/>
      <c r="FQ59" s="326"/>
      <c r="FR59" s="326"/>
      <c r="FS59" s="326"/>
      <c r="FT59" s="326"/>
      <c r="FU59" s="326"/>
      <c r="FV59" s="326"/>
      <c r="FW59" s="326"/>
      <c r="FX59" s="326"/>
      <c r="FY59" s="326"/>
      <c r="FZ59" s="326"/>
      <c r="GA59" s="326"/>
      <c r="GB59" s="326"/>
      <c r="GC59" s="326"/>
      <c r="GD59" s="326"/>
      <c r="GE59" s="326"/>
      <c r="GF59" s="326"/>
      <c r="GG59" s="326"/>
      <c r="GH59" s="326"/>
      <c r="GI59" s="326"/>
      <c r="GJ59" s="326"/>
      <c r="GK59" s="326"/>
      <c r="GL59" s="326"/>
      <c r="GM59" s="326"/>
      <c r="GN59" s="326"/>
      <c r="GO59" s="326"/>
      <c r="GP59" s="326"/>
      <c r="GQ59" s="326"/>
      <c r="GR59" s="326"/>
      <c r="GS59" s="326"/>
      <c r="GT59" s="326"/>
      <c r="GU59" s="326"/>
      <c r="GV59" s="326"/>
      <c r="GW59" s="326"/>
      <c r="GX59" s="326"/>
      <c r="GY59" s="326"/>
      <c r="GZ59" s="326"/>
      <c r="HA59" s="326"/>
      <c r="HB59" s="326"/>
      <c r="HC59" s="326"/>
      <c r="HD59" s="326"/>
      <c r="HE59" s="326"/>
      <c r="HF59" s="326"/>
      <c r="HG59" s="326"/>
      <c r="HH59" s="326"/>
      <c r="HI59" s="326"/>
      <c r="HJ59" s="326"/>
      <c r="HK59" s="326"/>
      <c r="HL59" s="326"/>
      <c r="HM59" s="326"/>
      <c r="HN59" s="326"/>
      <c r="HO59" s="326"/>
      <c r="HP59" s="326"/>
      <c r="HQ59" s="326"/>
      <c r="HR59" s="326"/>
      <c r="HS59" s="326"/>
      <c r="HT59" s="326"/>
      <c r="HU59" s="326"/>
      <c r="HV59" s="326"/>
      <c r="HW59" s="326"/>
      <c r="HX59" s="326"/>
      <c r="HY59" s="326"/>
      <c r="HZ59" s="326"/>
      <c r="IA59" s="326"/>
      <c r="IB59" s="326"/>
      <c r="IC59" s="326"/>
      <c r="ID59" s="326"/>
      <c r="IE59" s="326"/>
      <c r="IF59" s="326"/>
      <c r="IG59" s="326"/>
      <c r="IH59" s="326"/>
      <c r="II59" s="326"/>
      <c r="IJ59" s="326"/>
      <c r="IK59" s="326"/>
      <c r="IL59" s="326"/>
      <c r="IM59" s="326"/>
      <c r="IN59" s="326"/>
      <c r="IO59" s="326"/>
      <c r="IP59" s="326"/>
      <c r="IQ59" s="326"/>
      <c r="IR59" s="326"/>
      <c r="IS59" s="326"/>
      <c r="IT59" s="326"/>
      <c r="IU59" s="326"/>
      <c r="IV59" s="326"/>
    </row>
    <row r="60" spans="1:256" s="555" customFormat="1" ht="18" customHeight="1">
      <c r="A60" s="569">
        <v>51</v>
      </c>
      <c r="B60" s="563"/>
      <c r="C60" s="327"/>
      <c r="D60" s="1194" t="s">
        <v>283</v>
      </c>
      <c r="E60" s="335">
        <f>F60+G60+O61+P60</f>
        <v>499990</v>
      </c>
      <c r="F60" s="559"/>
      <c r="G60" s="336"/>
      <c r="H60" s="766"/>
      <c r="I60" s="781"/>
      <c r="J60" s="777"/>
      <c r="K60" s="777"/>
      <c r="L60" s="777"/>
      <c r="M60" s="777">
        <v>499990</v>
      </c>
      <c r="N60" s="777"/>
      <c r="O60" s="751">
        <f>SUM(I60:N60)</f>
        <v>499990</v>
      </c>
      <c r="P60" s="560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6"/>
      <c r="DG60" s="326"/>
      <c r="DH60" s="326"/>
      <c r="DI60" s="326"/>
      <c r="DJ60" s="326"/>
      <c r="DK60" s="326"/>
      <c r="DL60" s="326"/>
      <c r="DM60" s="326"/>
      <c r="DN60" s="326"/>
      <c r="DO60" s="326"/>
      <c r="DP60" s="326"/>
      <c r="DQ60" s="326"/>
      <c r="DR60" s="326"/>
      <c r="DS60" s="326"/>
      <c r="DT60" s="326"/>
      <c r="DU60" s="326"/>
      <c r="DV60" s="326"/>
      <c r="DW60" s="326"/>
      <c r="DX60" s="326"/>
      <c r="DY60" s="326"/>
      <c r="DZ60" s="326"/>
      <c r="EA60" s="326"/>
      <c r="EB60" s="326"/>
      <c r="EC60" s="326"/>
      <c r="ED60" s="326"/>
      <c r="EE60" s="326"/>
      <c r="EF60" s="326"/>
      <c r="EG60" s="326"/>
      <c r="EH60" s="326"/>
      <c r="EI60" s="326"/>
      <c r="EJ60" s="326"/>
      <c r="EK60" s="326"/>
      <c r="EL60" s="326"/>
      <c r="EM60" s="326"/>
      <c r="EN60" s="326"/>
      <c r="EO60" s="326"/>
      <c r="EP60" s="326"/>
      <c r="EQ60" s="326"/>
      <c r="ER60" s="326"/>
      <c r="ES60" s="326"/>
      <c r="ET60" s="326"/>
      <c r="EU60" s="326"/>
      <c r="EV60" s="326"/>
      <c r="EW60" s="326"/>
      <c r="EX60" s="326"/>
      <c r="EY60" s="326"/>
      <c r="EZ60" s="326"/>
      <c r="FA60" s="326"/>
      <c r="FB60" s="326"/>
      <c r="FC60" s="326"/>
      <c r="FD60" s="326"/>
      <c r="FE60" s="326"/>
      <c r="FF60" s="326"/>
      <c r="FG60" s="326"/>
      <c r="FH60" s="326"/>
      <c r="FI60" s="326"/>
      <c r="FJ60" s="326"/>
      <c r="FK60" s="326"/>
      <c r="FL60" s="326"/>
      <c r="FM60" s="326"/>
      <c r="FN60" s="326"/>
      <c r="FO60" s="326"/>
      <c r="FP60" s="326"/>
      <c r="FQ60" s="326"/>
      <c r="FR60" s="326"/>
      <c r="FS60" s="326"/>
      <c r="FT60" s="326"/>
      <c r="FU60" s="326"/>
      <c r="FV60" s="326"/>
      <c r="FW60" s="326"/>
      <c r="FX60" s="326"/>
      <c r="FY60" s="326"/>
      <c r="FZ60" s="326"/>
      <c r="GA60" s="326"/>
      <c r="GB60" s="326"/>
      <c r="GC60" s="326"/>
      <c r="GD60" s="326"/>
      <c r="GE60" s="326"/>
      <c r="GF60" s="326"/>
      <c r="GG60" s="326"/>
      <c r="GH60" s="326"/>
      <c r="GI60" s="326"/>
      <c r="GJ60" s="326"/>
      <c r="GK60" s="326"/>
      <c r="GL60" s="326"/>
      <c r="GM60" s="326"/>
      <c r="GN60" s="326"/>
      <c r="GO60" s="326"/>
      <c r="GP60" s="326"/>
      <c r="GQ60" s="326"/>
      <c r="GR60" s="326"/>
      <c r="GS60" s="326"/>
      <c r="GT60" s="326"/>
      <c r="GU60" s="326"/>
      <c r="GV60" s="326"/>
      <c r="GW60" s="326"/>
      <c r="GX60" s="326"/>
      <c r="GY60" s="326"/>
      <c r="GZ60" s="326"/>
      <c r="HA60" s="326"/>
      <c r="HB60" s="326"/>
      <c r="HC60" s="326"/>
      <c r="HD60" s="326"/>
      <c r="HE60" s="326"/>
      <c r="HF60" s="326"/>
      <c r="HG60" s="326"/>
      <c r="HH60" s="326"/>
      <c r="HI60" s="326"/>
      <c r="HJ60" s="326"/>
      <c r="HK60" s="326"/>
      <c r="HL60" s="326"/>
      <c r="HM60" s="326"/>
      <c r="HN60" s="326"/>
      <c r="HO60" s="326"/>
      <c r="HP60" s="326"/>
      <c r="HQ60" s="326"/>
      <c r="HR60" s="326"/>
      <c r="HS60" s="326"/>
      <c r="HT60" s="326"/>
      <c r="HU60" s="326"/>
      <c r="HV60" s="326"/>
      <c r="HW60" s="326"/>
      <c r="HX60" s="326"/>
      <c r="HY60" s="326"/>
      <c r="HZ60" s="326"/>
      <c r="IA60" s="326"/>
      <c r="IB60" s="326"/>
      <c r="IC60" s="326"/>
      <c r="ID60" s="326"/>
      <c r="IE60" s="326"/>
      <c r="IF60" s="326"/>
      <c r="IG60" s="326"/>
      <c r="IH60" s="326"/>
      <c r="II60" s="326"/>
      <c r="IJ60" s="326"/>
      <c r="IK60" s="326"/>
      <c r="IL60" s="326"/>
      <c r="IM60" s="326"/>
      <c r="IN60" s="326"/>
      <c r="IO60" s="326"/>
      <c r="IP60" s="326"/>
      <c r="IQ60" s="326"/>
      <c r="IR60" s="326"/>
      <c r="IS60" s="326"/>
      <c r="IT60" s="326"/>
      <c r="IU60" s="326"/>
      <c r="IV60" s="326"/>
    </row>
    <row r="61" spans="1:256" s="555" customFormat="1" ht="18" customHeight="1">
      <c r="A61" s="569">
        <v>52</v>
      </c>
      <c r="B61" s="563"/>
      <c r="C61" s="327"/>
      <c r="D61" s="478" t="s">
        <v>757</v>
      </c>
      <c r="E61" s="335"/>
      <c r="F61" s="559"/>
      <c r="G61" s="336"/>
      <c r="H61" s="766"/>
      <c r="I61" s="781"/>
      <c r="J61" s="777"/>
      <c r="K61" s="777"/>
      <c r="L61" s="777"/>
      <c r="M61" s="556">
        <v>499990</v>
      </c>
      <c r="N61" s="556"/>
      <c r="O61" s="564">
        <f>SUM(I61:N61)</f>
        <v>499990</v>
      </c>
      <c r="P61" s="560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6"/>
      <c r="BW61" s="326"/>
      <c r="BX61" s="326"/>
      <c r="BY61" s="326"/>
      <c r="BZ61" s="326"/>
      <c r="CA61" s="326"/>
      <c r="CB61" s="326"/>
      <c r="CC61" s="326"/>
      <c r="CD61" s="326"/>
      <c r="CE61" s="326"/>
      <c r="CF61" s="326"/>
      <c r="CG61" s="326"/>
      <c r="CH61" s="326"/>
      <c r="CI61" s="326"/>
      <c r="CJ61" s="326"/>
      <c r="CK61" s="326"/>
      <c r="CL61" s="326"/>
      <c r="CM61" s="326"/>
      <c r="CN61" s="326"/>
      <c r="CO61" s="326"/>
      <c r="CP61" s="326"/>
      <c r="CQ61" s="326"/>
      <c r="CR61" s="326"/>
      <c r="CS61" s="326"/>
      <c r="CT61" s="326"/>
      <c r="CU61" s="326"/>
      <c r="CV61" s="326"/>
      <c r="CW61" s="326"/>
      <c r="CX61" s="326"/>
      <c r="CY61" s="326"/>
      <c r="CZ61" s="326"/>
      <c r="DA61" s="326"/>
      <c r="DB61" s="326"/>
      <c r="DC61" s="326"/>
      <c r="DD61" s="326"/>
      <c r="DE61" s="326"/>
      <c r="DF61" s="326"/>
      <c r="DG61" s="326"/>
      <c r="DH61" s="326"/>
      <c r="DI61" s="326"/>
      <c r="DJ61" s="326"/>
      <c r="DK61" s="326"/>
      <c r="DL61" s="326"/>
      <c r="DM61" s="326"/>
      <c r="DN61" s="326"/>
      <c r="DO61" s="326"/>
      <c r="DP61" s="326"/>
      <c r="DQ61" s="326"/>
      <c r="DR61" s="326"/>
      <c r="DS61" s="326"/>
      <c r="DT61" s="326"/>
      <c r="DU61" s="326"/>
      <c r="DV61" s="326"/>
      <c r="DW61" s="326"/>
      <c r="DX61" s="326"/>
      <c r="DY61" s="326"/>
      <c r="DZ61" s="326"/>
      <c r="EA61" s="326"/>
      <c r="EB61" s="326"/>
      <c r="EC61" s="326"/>
      <c r="ED61" s="326"/>
      <c r="EE61" s="326"/>
      <c r="EF61" s="326"/>
      <c r="EG61" s="326"/>
      <c r="EH61" s="326"/>
      <c r="EI61" s="326"/>
      <c r="EJ61" s="326"/>
      <c r="EK61" s="326"/>
      <c r="EL61" s="326"/>
      <c r="EM61" s="326"/>
      <c r="EN61" s="326"/>
      <c r="EO61" s="326"/>
      <c r="EP61" s="326"/>
      <c r="EQ61" s="326"/>
      <c r="ER61" s="326"/>
      <c r="ES61" s="326"/>
      <c r="ET61" s="326"/>
      <c r="EU61" s="326"/>
      <c r="EV61" s="326"/>
      <c r="EW61" s="326"/>
      <c r="EX61" s="326"/>
      <c r="EY61" s="326"/>
      <c r="EZ61" s="326"/>
      <c r="FA61" s="326"/>
      <c r="FB61" s="326"/>
      <c r="FC61" s="326"/>
      <c r="FD61" s="326"/>
      <c r="FE61" s="326"/>
      <c r="FF61" s="326"/>
      <c r="FG61" s="326"/>
      <c r="FH61" s="326"/>
      <c r="FI61" s="326"/>
      <c r="FJ61" s="326"/>
      <c r="FK61" s="326"/>
      <c r="FL61" s="326"/>
      <c r="FM61" s="326"/>
      <c r="FN61" s="326"/>
      <c r="FO61" s="326"/>
      <c r="FP61" s="326"/>
      <c r="FQ61" s="326"/>
      <c r="FR61" s="326"/>
      <c r="FS61" s="326"/>
      <c r="FT61" s="326"/>
      <c r="FU61" s="326"/>
      <c r="FV61" s="326"/>
      <c r="FW61" s="326"/>
      <c r="FX61" s="326"/>
      <c r="FY61" s="326"/>
      <c r="FZ61" s="326"/>
      <c r="GA61" s="326"/>
      <c r="GB61" s="326"/>
      <c r="GC61" s="326"/>
      <c r="GD61" s="326"/>
      <c r="GE61" s="326"/>
      <c r="GF61" s="326"/>
      <c r="GG61" s="326"/>
      <c r="GH61" s="326"/>
      <c r="GI61" s="326"/>
      <c r="GJ61" s="326"/>
      <c r="GK61" s="326"/>
      <c r="GL61" s="326"/>
      <c r="GM61" s="326"/>
      <c r="GN61" s="326"/>
      <c r="GO61" s="326"/>
      <c r="GP61" s="326"/>
      <c r="GQ61" s="326"/>
      <c r="GR61" s="326"/>
      <c r="GS61" s="326"/>
      <c r="GT61" s="326"/>
      <c r="GU61" s="326"/>
      <c r="GV61" s="326"/>
      <c r="GW61" s="326"/>
      <c r="GX61" s="326"/>
      <c r="GY61" s="326"/>
      <c r="GZ61" s="326"/>
      <c r="HA61" s="326"/>
      <c r="HB61" s="326"/>
      <c r="HC61" s="326"/>
      <c r="HD61" s="326"/>
      <c r="HE61" s="326"/>
      <c r="HF61" s="326"/>
      <c r="HG61" s="326"/>
      <c r="HH61" s="326"/>
      <c r="HI61" s="326"/>
      <c r="HJ61" s="326"/>
      <c r="HK61" s="326"/>
      <c r="HL61" s="326"/>
      <c r="HM61" s="326"/>
      <c r="HN61" s="326"/>
      <c r="HO61" s="326"/>
      <c r="HP61" s="326"/>
      <c r="HQ61" s="326"/>
      <c r="HR61" s="326"/>
      <c r="HS61" s="326"/>
      <c r="HT61" s="326"/>
      <c r="HU61" s="326"/>
      <c r="HV61" s="326"/>
      <c r="HW61" s="326"/>
      <c r="HX61" s="326"/>
      <c r="HY61" s="326"/>
      <c r="HZ61" s="326"/>
      <c r="IA61" s="326"/>
      <c r="IB61" s="326"/>
      <c r="IC61" s="326"/>
      <c r="ID61" s="326"/>
      <c r="IE61" s="326"/>
      <c r="IF61" s="326"/>
      <c r="IG61" s="326"/>
      <c r="IH61" s="326"/>
      <c r="II61" s="326"/>
      <c r="IJ61" s="326"/>
      <c r="IK61" s="326"/>
      <c r="IL61" s="326"/>
      <c r="IM61" s="326"/>
      <c r="IN61" s="326"/>
      <c r="IO61" s="326"/>
      <c r="IP61" s="326"/>
      <c r="IQ61" s="326"/>
      <c r="IR61" s="326"/>
      <c r="IS61" s="326"/>
      <c r="IT61" s="326"/>
      <c r="IU61" s="326"/>
      <c r="IV61" s="326"/>
    </row>
    <row r="62" spans="1:256" s="555" customFormat="1" ht="18" customHeight="1">
      <c r="A62" s="569">
        <v>53</v>
      </c>
      <c r="B62" s="563"/>
      <c r="C62" s="327"/>
      <c r="D62" s="1090" t="s">
        <v>893</v>
      </c>
      <c r="E62" s="335"/>
      <c r="F62" s="559"/>
      <c r="G62" s="336"/>
      <c r="H62" s="766"/>
      <c r="I62" s="781"/>
      <c r="J62" s="777"/>
      <c r="K62" s="777"/>
      <c r="L62" s="777"/>
      <c r="M62" s="1186">
        <v>499990</v>
      </c>
      <c r="N62" s="1186"/>
      <c r="O62" s="1723">
        <f>SUM(I62:N62)</f>
        <v>499990</v>
      </c>
      <c r="P62" s="560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  <c r="CY62" s="326"/>
      <c r="CZ62" s="326"/>
      <c r="DA62" s="326"/>
      <c r="DB62" s="326"/>
      <c r="DC62" s="326"/>
      <c r="DD62" s="326"/>
      <c r="DE62" s="326"/>
      <c r="DF62" s="326"/>
      <c r="DG62" s="326"/>
      <c r="DH62" s="326"/>
      <c r="DI62" s="326"/>
      <c r="DJ62" s="326"/>
      <c r="DK62" s="326"/>
      <c r="DL62" s="326"/>
      <c r="DM62" s="326"/>
      <c r="DN62" s="326"/>
      <c r="DO62" s="326"/>
      <c r="DP62" s="326"/>
      <c r="DQ62" s="326"/>
      <c r="DR62" s="326"/>
      <c r="DS62" s="326"/>
      <c r="DT62" s="326"/>
      <c r="DU62" s="326"/>
      <c r="DV62" s="326"/>
      <c r="DW62" s="326"/>
      <c r="DX62" s="326"/>
      <c r="DY62" s="326"/>
      <c r="DZ62" s="326"/>
      <c r="EA62" s="326"/>
      <c r="EB62" s="326"/>
      <c r="EC62" s="326"/>
      <c r="ED62" s="326"/>
      <c r="EE62" s="326"/>
      <c r="EF62" s="326"/>
      <c r="EG62" s="326"/>
      <c r="EH62" s="326"/>
      <c r="EI62" s="326"/>
      <c r="EJ62" s="326"/>
      <c r="EK62" s="326"/>
      <c r="EL62" s="326"/>
      <c r="EM62" s="326"/>
      <c r="EN62" s="326"/>
      <c r="EO62" s="326"/>
      <c r="EP62" s="326"/>
      <c r="EQ62" s="326"/>
      <c r="ER62" s="326"/>
      <c r="ES62" s="326"/>
      <c r="ET62" s="326"/>
      <c r="EU62" s="326"/>
      <c r="EV62" s="326"/>
      <c r="EW62" s="326"/>
      <c r="EX62" s="326"/>
      <c r="EY62" s="326"/>
      <c r="EZ62" s="326"/>
      <c r="FA62" s="326"/>
      <c r="FB62" s="326"/>
      <c r="FC62" s="326"/>
      <c r="FD62" s="326"/>
      <c r="FE62" s="326"/>
      <c r="FF62" s="326"/>
      <c r="FG62" s="326"/>
      <c r="FH62" s="326"/>
      <c r="FI62" s="326"/>
      <c r="FJ62" s="326"/>
      <c r="FK62" s="326"/>
      <c r="FL62" s="326"/>
      <c r="FM62" s="326"/>
      <c r="FN62" s="326"/>
      <c r="FO62" s="326"/>
      <c r="FP62" s="326"/>
      <c r="FQ62" s="326"/>
      <c r="FR62" s="326"/>
      <c r="FS62" s="326"/>
      <c r="FT62" s="326"/>
      <c r="FU62" s="326"/>
      <c r="FV62" s="326"/>
      <c r="FW62" s="326"/>
      <c r="FX62" s="326"/>
      <c r="FY62" s="326"/>
      <c r="FZ62" s="326"/>
      <c r="GA62" s="326"/>
      <c r="GB62" s="326"/>
      <c r="GC62" s="326"/>
      <c r="GD62" s="326"/>
      <c r="GE62" s="326"/>
      <c r="GF62" s="326"/>
      <c r="GG62" s="326"/>
      <c r="GH62" s="326"/>
      <c r="GI62" s="326"/>
      <c r="GJ62" s="326"/>
      <c r="GK62" s="326"/>
      <c r="GL62" s="326"/>
      <c r="GM62" s="326"/>
      <c r="GN62" s="326"/>
      <c r="GO62" s="326"/>
      <c r="GP62" s="326"/>
      <c r="GQ62" s="326"/>
      <c r="GR62" s="326"/>
      <c r="GS62" s="326"/>
      <c r="GT62" s="326"/>
      <c r="GU62" s="326"/>
      <c r="GV62" s="326"/>
      <c r="GW62" s="326"/>
      <c r="GX62" s="326"/>
      <c r="GY62" s="326"/>
      <c r="GZ62" s="326"/>
      <c r="HA62" s="326"/>
      <c r="HB62" s="326"/>
      <c r="HC62" s="326"/>
      <c r="HD62" s="326"/>
      <c r="HE62" s="326"/>
      <c r="HF62" s="326"/>
      <c r="HG62" s="326"/>
      <c r="HH62" s="326"/>
      <c r="HI62" s="326"/>
      <c r="HJ62" s="326"/>
      <c r="HK62" s="326"/>
      <c r="HL62" s="326"/>
      <c r="HM62" s="326"/>
      <c r="HN62" s="326"/>
      <c r="HO62" s="326"/>
      <c r="HP62" s="326"/>
      <c r="HQ62" s="326"/>
      <c r="HR62" s="326"/>
      <c r="HS62" s="326"/>
      <c r="HT62" s="326"/>
      <c r="HU62" s="326"/>
      <c r="HV62" s="326"/>
      <c r="HW62" s="326"/>
      <c r="HX62" s="326"/>
      <c r="HY62" s="326"/>
      <c r="HZ62" s="326"/>
      <c r="IA62" s="326"/>
      <c r="IB62" s="326"/>
      <c r="IC62" s="326"/>
      <c r="ID62" s="326"/>
      <c r="IE62" s="326"/>
      <c r="IF62" s="326"/>
      <c r="IG62" s="326"/>
      <c r="IH62" s="326"/>
      <c r="II62" s="326"/>
      <c r="IJ62" s="326"/>
      <c r="IK62" s="326"/>
      <c r="IL62" s="326"/>
      <c r="IM62" s="326"/>
      <c r="IN62" s="326"/>
      <c r="IO62" s="326"/>
      <c r="IP62" s="326"/>
      <c r="IQ62" s="326"/>
      <c r="IR62" s="326"/>
      <c r="IS62" s="326"/>
      <c r="IT62" s="326"/>
      <c r="IU62" s="326"/>
      <c r="IV62" s="326"/>
    </row>
    <row r="63" spans="1:256" s="555" customFormat="1" ht="22.5" customHeight="1">
      <c r="A63" s="569">
        <v>54</v>
      </c>
      <c r="B63" s="563"/>
      <c r="C63" s="366">
        <v>14</v>
      </c>
      <c r="D63" s="567" t="s">
        <v>597</v>
      </c>
      <c r="E63" s="335"/>
      <c r="F63" s="559"/>
      <c r="G63" s="336"/>
      <c r="H63" s="766" t="s">
        <v>23</v>
      </c>
      <c r="I63" s="781"/>
      <c r="J63" s="777"/>
      <c r="K63" s="777"/>
      <c r="L63" s="777"/>
      <c r="M63" s="777"/>
      <c r="N63" s="777"/>
      <c r="O63" s="751"/>
      <c r="P63" s="560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  <c r="DF63" s="326"/>
      <c r="DG63" s="326"/>
      <c r="DH63" s="326"/>
      <c r="DI63" s="326"/>
      <c r="DJ63" s="326"/>
      <c r="DK63" s="326"/>
      <c r="DL63" s="326"/>
      <c r="DM63" s="326"/>
      <c r="DN63" s="326"/>
      <c r="DO63" s="326"/>
      <c r="DP63" s="326"/>
      <c r="DQ63" s="326"/>
      <c r="DR63" s="326"/>
      <c r="DS63" s="326"/>
      <c r="DT63" s="326"/>
      <c r="DU63" s="326"/>
      <c r="DV63" s="326"/>
      <c r="DW63" s="326"/>
      <c r="DX63" s="326"/>
      <c r="DY63" s="326"/>
      <c r="DZ63" s="326"/>
      <c r="EA63" s="326"/>
      <c r="EB63" s="326"/>
      <c r="EC63" s="326"/>
      <c r="ED63" s="326"/>
      <c r="EE63" s="326"/>
      <c r="EF63" s="326"/>
      <c r="EG63" s="326"/>
      <c r="EH63" s="326"/>
      <c r="EI63" s="326"/>
      <c r="EJ63" s="326"/>
      <c r="EK63" s="326"/>
      <c r="EL63" s="326"/>
      <c r="EM63" s="326"/>
      <c r="EN63" s="326"/>
      <c r="EO63" s="326"/>
      <c r="EP63" s="326"/>
      <c r="EQ63" s="326"/>
      <c r="ER63" s="326"/>
      <c r="ES63" s="326"/>
      <c r="ET63" s="326"/>
      <c r="EU63" s="326"/>
      <c r="EV63" s="326"/>
      <c r="EW63" s="326"/>
      <c r="EX63" s="326"/>
      <c r="EY63" s="326"/>
      <c r="EZ63" s="326"/>
      <c r="FA63" s="326"/>
      <c r="FB63" s="326"/>
      <c r="FC63" s="326"/>
      <c r="FD63" s="326"/>
      <c r="FE63" s="326"/>
      <c r="FF63" s="326"/>
      <c r="FG63" s="326"/>
      <c r="FH63" s="326"/>
      <c r="FI63" s="326"/>
      <c r="FJ63" s="326"/>
      <c r="FK63" s="326"/>
      <c r="FL63" s="326"/>
      <c r="FM63" s="326"/>
      <c r="FN63" s="326"/>
      <c r="FO63" s="326"/>
      <c r="FP63" s="326"/>
      <c r="FQ63" s="326"/>
      <c r="FR63" s="326"/>
      <c r="FS63" s="326"/>
      <c r="FT63" s="326"/>
      <c r="FU63" s="326"/>
      <c r="FV63" s="326"/>
      <c r="FW63" s="326"/>
      <c r="FX63" s="326"/>
      <c r="FY63" s="326"/>
      <c r="FZ63" s="326"/>
      <c r="GA63" s="326"/>
      <c r="GB63" s="326"/>
      <c r="GC63" s="326"/>
      <c r="GD63" s="326"/>
      <c r="GE63" s="326"/>
      <c r="GF63" s="326"/>
      <c r="GG63" s="326"/>
      <c r="GH63" s="326"/>
      <c r="GI63" s="326"/>
      <c r="GJ63" s="326"/>
      <c r="GK63" s="326"/>
      <c r="GL63" s="326"/>
      <c r="GM63" s="326"/>
      <c r="GN63" s="326"/>
      <c r="GO63" s="326"/>
      <c r="GP63" s="326"/>
      <c r="GQ63" s="326"/>
      <c r="GR63" s="326"/>
      <c r="GS63" s="326"/>
      <c r="GT63" s="326"/>
      <c r="GU63" s="326"/>
      <c r="GV63" s="326"/>
      <c r="GW63" s="326"/>
      <c r="GX63" s="326"/>
      <c r="GY63" s="326"/>
      <c r="GZ63" s="326"/>
      <c r="HA63" s="326"/>
      <c r="HB63" s="326"/>
      <c r="HC63" s="326"/>
      <c r="HD63" s="326"/>
      <c r="HE63" s="326"/>
      <c r="HF63" s="326"/>
      <c r="HG63" s="326"/>
      <c r="HH63" s="326"/>
      <c r="HI63" s="326"/>
      <c r="HJ63" s="326"/>
      <c r="HK63" s="326"/>
      <c r="HL63" s="326"/>
      <c r="HM63" s="326"/>
      <c r="HN63" s="326"/>
      <c r="HO63" s="326"/>
      <c r="HP63" s="326"/>
      <c r="HQ63" s="326"/>
      <c r="HR63" s="326"/>
      <c r="HS63" s="326"/>
      <c r="HT63" s="326"/>
      <c r="HU63" s="326"/>
      <c r="HV63" s="326"/>
      <c r="HW63" s="326"/>
      <c r="HX63" s="326"/>
      <c r="HY63" s="326"/>
      <c r="HZ63" s="326"/>
      <c r="IA63" s="326"/>
      <c r="IB63" s="326"/>
      <c r="IC63" s="326"/>
      <c r="ID63" s="326"/>
      <c r="IE63" s="326"/>
      <c r="IF63" s="326"/>
      <c r="IG63" s="326"/>
      <c r="IH63" s="326"/>
      <c r="II63" s="326"/>
      <c r="IJ63" s="326"/>
      <c r="IK63" s="326"/>
      <c r="IL63" s="326"/>
      <c r="IM63" s="326"/>
      <c r="IN63" s="326"/>
      <c r="IO63" s="326"/>
      <c r="IP63" s="326"/>
      <c r="IQ63" s="326"/>
      <c r="IR63" s="326"/>
      <c r="IS63" s="326"/>
      <c r="IT63" s="326"/>
      <c r="IU63" s="326"/>
      <c r="IV63" s="326"/>
    </row>
    <row r="64" spans="1:256" s="555" customFormat="1" ht="18" customHeight="1">
      <c r="A64" s="569">
        <v>55</v>
      </c>
      <c r="B64" s="563"/>
      <c r="C64" s="327"/>
      <c r="D64" s="1194" t="s">
        <v>283</v>
      </c>
      <c r="E64" s="335">
        <f>F64+G64+O65+P64</f>
        <v>1500</v>
      </c>
      <c r="F64" s="559"/>
      <c r="G64" s="336"/>
      <c r="H64" s="766"/>
      <c r="I64" s="781"/>
      <c r="J64" s="777"/>
      <c r="K64" s="777">
        <v>1500</v>
      </c>
      <c r="L64" s="777"/>
      <c r="M64" s="777"/>
      <c r="N64" s="777"/>
      <c r="O64" s="751">
        <f>SUM(I64:N64)</f>
        <v>1500</v>
      </c>
      <c r="P64" s="560"/>
      <c r="Q64" s="326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6"/>
      <c r="CG64" s="326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6"/>
      <c r="DT64" s="326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6"/>
      <c r="EG64" s="326"/>
      <c r="EH64" s="326"/>
      <c r="EI64" s="326"/>
      <c r="EJ64" s="326"/>
      <c r="EK64" s="326"/>
      <c r="EL64" s="326"/>
      <c r="EM64" s="326"/>
      <c r="EN64" s="326"/>
      <c r="EO64" s="326"/>
      <c r="EP64" s="326"/>
      <c r="EQ64" s="326"/>
      <c r="ER64" s="326"/>
      <c r="ES64" s="326"/>
      <c r="ET64" s="326"/>
      <c r="EU64" s="326"/>
      <c r="EV64" s="326"/>
      <c r="EW64" s="326"/>
      <c r="EX64" s="326"/>
      <c r="EY64" s="326"/>
      <c r="EZ64" s="326"/>
      <c r="FA64" s="326"/>
      <c r="FB64" s="326"/>
      <c r="FC64" s="326"/>
      <c r="FD64" s="326"/>
      <c r="FE64" s="326"/>
      <c r="FF64" s="326"/>
      <c r="FG64" s="326"/>
      <c r="FH64" s="326"/>
      <c r="FI64" s="326"/>
      <c r="FJ64" s="326"/>
      <c r="FK64" s="326"/>
      <c r="FL64" s="326"/>
      <c r="FM64" s="326"/>
      <c r="FN64" s="326"/>
      <c r="FO64" s="326"/>
      <c r="FP64" s="326"/>
      <c r="FQ64" s="326"/>
      <c r="FR64" s="326"/>
      <c r="FS64" s="326"/>
      <c r="FT64" s="326"/>
      <c r="FU64" s="326"/>
      <c r="FV64" s="326"/>
      <c r="FW64" s="326"/>
      <c r="FX64" s="326"/>
      <c r="FY64" s="326"/>
      <c r="FZ64" s="326"/>
      <c r="GA64" s="326"/>
      <c r="GB64" s="326"/>
      <c r="GC64" s="326"/>
      <c r="GD64" s="326"/>
      <c r="GE64" s="326"/>
      <c r="GF64" s="326"/>
      <c r="GG64" s="326"/>
      <c r="GH64" s="326"/>
      <c r="GI64" s="326"/>
      <c r="GJ64" s="326"/>
      <c r="GK64" s="326"/>
      <c r="GL64" s="326"/>
      <c r="GM64" s="326"/>
      <c r="GN64" s="326"/>
      <c r="GO64" s="326"/>
      <c r="GP64" s="326"/>
      <c r="GQ64" s="326"/>
      <c r="GR64" s="326"/>
      <c r="GS64" s="326"/>
      <c r="GT64" s="326"/>
      <c r="GU64" s="326"/>
      <c r="GV64" s="326"/>
      <c r="GW64" s="326"/>
      <c r="GX64" s="326"/>
      <c r="GY64" s="326"/>
      <c r="GZ64" s="326"/>
      <c r="HA64" s="326"/>
      <c r="HB64" s="326"/>
      <c r="HC64" s="326"/>
      <c r="HD64" s="326"/>
      <c r="HE64" s="326"/>
      <c r="HF64" s="326"/>
      <c r="HG64" s="326"/>
      <c r="HH64" s="326"/>
      <c r="HI64" s="326"/>
      <c r="HJ64" s="326"/>
      <c r="HK64" s="326"/>
      <c r="HL64" s="326"/>
      <c r="HM64" s="326"/>
      <c r="HN64" s="326"/>
      <c r="HO64" s="326"/>
      <c r="HP64" s="326"/>
      <c r="HQ64" s="326"/>
      <c r="HR64" s="326"/>
      <c r="HS64" s="326"/>
      <c r="HT64" s="326"/>
      <c r="HU64" s="326"/>
      <c r="HV64" s="326"/>
      <c r="HW64" s="326"/>
      <c r="HX64" s="326"/>
      <c r="HY64" s="326"/>
      <c r="HZ64" s="326"/>
      <c r="IA64" s="326"/>
      <c r="IB64" s="326"/>
      <c r="IC64" s="326"/>
      <c r="ID64" s="326"/>
      <c r="IE64" s="326"/>
      <c r="IF64" s="326"/>
      <c r="IG64" s="326"/>
      <c r="IH64" s="326"/>
      <c r="II64" s="326"/>
      <c r="IJ64" s="326"/>
      <c r="IK64" s="326"/>
      <c r="IL64" s="326"/>
      <c r="IM64" s="326"/>
      <c r="IN64" s="326"/>
      <c r="IO64" s="326"/>
      <c r="IP64" s="326"/>
      <c r="IQ64" s="326"/>
      <c r="IR64" s="326"/>
      <c r="IS64" s="326"/>
      <c r="IT64" s="326"/>
      <c r="IU64" s="326"/>
      <c r="IV64" s="326"/>
    </row>
    <row r="65" spans="1:256" s="555" customFormat="1" ht="18" customHeight="1">
      <c r="A65" s="569">
        <v>56</v>
      </c>
      <c r="B65" s="563"/>
      <c r="C65" s="327"/>
      <c r="D65" s="478" t="s">
        <v>757</v>
      </c>
      <c r="E65" s="335"/>
      <c r="F65" s="559"/>
      <c r="G65" s="336"/>
      <c r="H65" s="766"/>
      <c r="I65" s="781"/>
      <c r="J65" s="777"/>
      <c r="K65" s="556">
        <v>1500</v>
      </c>
      <c r="L65" s="556"/>
      <c r="M65" s="556"/>
      <c r="N65" s="556"/>
      <c r="O65" s="564">
        <f>SUM(I65:N65)</f>
        <v>1500</v>
      </c>
      <c r="P65" s="560"/>
      <c r="Q65" s="326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  <c r="DA65" s="326"/>
      <c r="DB65" s="326"/>
      <c r="DC65" s="326"/>
      <c r="DD65" s="326"/>
      <c r="DE65" s="326"/>
      <c r="DF65" s="326"/>
      <c r="DG65" s="326"/>
      <c r="DH65" s="326"/>
      <c r="DI65" s="326"/>
      <c r="DJ65" s="326"/>
      <c r="DK65" s="326"/>
      <c r="DL65" s="326"/>
      <c r="DM65" s="326"/>
      <c r="DN65" s="326"/>
      <c r="DO65" s="326"/>
      <c r="DP65" s="326"/>
      <c r="DQ65" s="326"/>
      <c r="DR65" s="326"/>
      <c r="DS65" s="326"/>
      <c r="DT65" s="326"/>
      <c r="DU65" s="326"/>
      <c r="DV65" s="326"/>
      <c r="DW65" s="326"/>
      <c r="DX65" s="326"/>
      <c r="DY65" s="326"/>
      <c r="DZ65" s="326"/>
      <c r="EA65" s="326"/>
      <c r="EB65" s="326"/>
      <c r="EC65" s="326"/>
      <c r="ED65" s="326"/>
      <c r="EE65" s="326"/>
      <c r="EF65" s="326"/>
      <c r="EG65" s="326"/>
      <c r="EH65" s="326"/>
      <c r="EI65" s="326"/>
      <c r="EJ65" s="326"/>
      <c r="EK65" s="326"/>
      <c r="EL65" s="326"/>
      <c r="EM65" s="326"/>
      <c r="EN65" s="326"/>
      <c r="EO65" s="326"/>
      <c r="EP65" s="326"/>
      <c r="EQ65" s="326"/>
      <c r="ER65" s="326"/>
      <c r="ES65" s="326"/>
      <c r="ET65" s="326"/>
      <c r="EU65" s="326"/>
      <c r="EV65" s="326"/>
      <c r="EW65" s="326"/>
      <c r="EX65" s="326"/>
      <c r="EY65" s="326"/>
      <c r="EZ65" s="326"/>
      <c r="FA65" s="326"/>
      <c r="FB65" s="326"/>
      <c r="FC65" s="326"/>
      <c r="FD65" s="326"/>
      <c r="FE65" s="326"/>
      <c r="FF65" s="326"/>
      <c r="FG65" s="326"/>
      <c r="FH65" s="326"/>
      <c r="FI65" s="326"/>
      <c r="FJ65" s="326"/>
      <c r="FK65" s="326"/>
      <c r="FL65" s="326"/>
      <c r="FM65" s="326"/>
      <c r="FN65" s="326"/>
      <c r="FO65" s="326"/>
      <c r="FP65" s="326"/>
      <c r="FQ65" s="326"/>
      <c r="FR65" s="326"/>
      <c r="FS65" s="326"/>
      <c r="FT65" s="326"/>
      <c r="FU65" s="326"/>
      <c r="FV65" s="326"/>
      <c r="FW65" s="326"/>
      <c r="FX65" s="326"/>
      <c r="FY65" s="326"/>
      <c r="FZ65" s="326"/>
      <c r="GA65" s="326"/>
      <c r="GB65" s="326"/>
      <c r="GC65" s="326"/>
      <c r="GD65" s="326"/>
      <c r="GE65" s="326"/>
      <c r="GF65" s="326"/>
      <c r="GG65" s="326"/>
      <c r="GH65" s="326"/>
      <c r="GI65" s="326"/>
      <c r="GJ65" s="326"/>
      <c r="GK65" s="326"/>
      <c r="GL65" s="326"/>
      <c r="GM65" s="326"/>
      <c r="GN65" s="326"/>
      <c r="GO65" s="326"/>
      <c r="GP65" s="326"/>
      <c r="GQ65" s="326"/>
      <c r="GR65" s="326"/>
      <c r="GS65" s="326"/>
      <c r="GT65" s="326"/>
      <c r="GU65" s="326"/>
      <c r="GV65" s="326"/>
      <c r="GW65" s="326"/>
      <c r="GX65" s="326"/>
      <c r="GY65" s="326"/>
      <c r="GZ65" s="326"/>
      <c r="HA65" s="326"/>
      <c r="HB65" s="326"/>
      <c r="HC65" s="326"/>
      <c r="HD65" s="326"/>
      <c r="HE65" s="326"/>
      <c r="HF65" s="326"/>
      <c r="HG65" s="326"/>
      <c r="HH65" s="326"/>
      <c r="HI65" s="326"/>
      <c r="HJ65" s="326"/>
      <c r="HK65" s="326"/>
      <c r="HL65" s="326"/>
      <c r="HM65" s="326"/>
      <c r="HN65" s="326"/>
      <c r="HO65" s="326"/>
      <c r="HP65" s="326"/>
      <c r="HQ65" s="326"/>
      <c r="HR65" s="326"/>
      <c r="HS65" s="326"/>
      <c r="HT65" s="326"/>
      <c r="HU65" s="326"/>
      <c r="HV65" s="326"/>
      <c r="HW65" s="326"/>
      <c r="HX65" s="326"/>
      <c r="HY65" s="326"/>
      <c r="HZ65" s="326"/>
      <c r="IA65" s="326"/>
      <c r="IB65" s="326"/>
      <c r="IC65" s="326"/>
      <c r="ID65" s="326"/>
      <c r="IE65" s="326"/>
      <c r="IF65" s="326"/>
      <c r="IG65" s="326"/>
      <c r="IH65" s="326"/>
      <c r="II65" s="326"/>
      <c r="IJ65" s="326"/>
      <c r="IK65" s="326"/>
      <c r="IL65" s="326"/>
      <c r="IM65" s="326"/>
      <c r="IN65" s="326"/>
      <c r="IO65" s="326"/>
      <c r="IP65" s="326"/>
      <c r="IQ65" s="326"/>
      <c r="IR65" s="326"/>
      <c r="IS65" s="326"/>
      <c r="IT65" s="326"/>
      <c r="IU65" s="326"/>
      <c r="IV65" s="326"/>
    </row>
    <row r="66" spans="1:256" s="555" customFormat="1" ht="18" customHeight="1">
      <c r="A66" s="569">
        <v>57</v>
      </c>
      <c r="B66" s="563"/>
      <c r="C66" s="327"/>
      <c r="D66" s="1090" t="s">
        <v>893</v>
      </c>
      <c r="E66" s="335"/>
      <c r="F66" s="559"/>
      <c r="G66" s="336"/>
      <c r="H66" s="766"/>
      <c r="I66" s="781"/>
      <c r="J66" s="777"/>
      <c r="K66" s="1186">
        <v>0</v>
      </c>
      <c r="L66" s="1186"/>
      <c r="M66" s="1186"/>
      <c r="N66" s="1186"/>
      <c r="O66" s="1723">
        <f>SUM(I66:N66)</f>
        <v>0</v>
      </c>
      <c r="P66" s="560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6"/>
      <c r="CF66" s="326"/>
      <c r="CG66" s="326"/>
      <c r="CH66" s="326"/>
      <c r="CI66" s="326"/>
      <c r="CJ66" s="326"/>
      <c r="CK66" s="326"/>
      <c r="CL66" s="326"/>
      <c r="CM66" s="326"/>
      <c r="CN66" s="326"/>
      <c r="CO66" s="326"/>
      <c r="CP66" s="326"/>
      <c r="CQ66" s="326"/>
      <c r="CR66" s="326"/>
      <c r="CS66" s="326"/>
      <c r="CT66" s="326"/>
      <c r="CU66" s="326"/>
      <c r="CV66" s="326"/>
      <c r="CW66" s="326"/>
      <c r="CX66" s="326"/>
      <c r="CY66" s="326"/>
      <c r="CZ66" s="326"/>
      <c r="DA66" s="326"/>
      <c r="DB66" s="326"/>
      <c r="DC66" s="326"/>
      <c r="DD66" s="326"/>
      <c r="DE66" s="326"/>
      <c r="DF66" s="326"/>
      <c r="DG66" s="326"/>
      <c r="DH66" s="326"/>
      <c r="DI66" s="326"/>
      <c r="DJ66" s="326"/>
      <c r="DK66" s="326"/>
      <c r="DL66" s="326"/>
      <c r="DM66" s="326"/>
      <c r="DN66" s="326"/>
      <c r="DO66" s="326"/>
      <c r="DP66" s="326"/>
      <c r="DQ66" s="326"/>
      <c r="DR66" s="326"/>
      <c r="DS66" s="326"/>
      <c r="DT66" s="326"/>
      <c r="DU66" s="326"/>
      <c r="DV66" s="326"/>
      <c r="DW66" s="326"/>
      <c r="DX66" s="326"/>
      <c r="DY66" s="326"/>
      <c r="DZ66" s="326"/>
      <c r="EA66" s="326"/>
      <c r="EB66" s="326"/>
      <c r="EC66" s="326"/>
      <c r="ED66" s="326"/>
      <c r="EE66" s="326"/>
      <c r="EF66" s="326"/>
      <c r="EG66" s="326"/>
      <c r="EH66" s="326"/>
      <c r="EI66" s="326"/>
      <c r="EJ66" s="326"/>
      <c r="EK66" s="326"/>
      <c r="EL66" s="326"/>
      <c r="EM66" s="326"/>
      <c r="EN66" s="326"/>
      <c r="EO66" s="326"/>
      <c r="EP66" s="326"/>
      <c r="EQ66" s="326"/>
      <c r="ER66" s="326"/>
      <c r="ES66" s="326"/>
      <c r="ET66" s="326"/>
      <c r="EU66" s="326"/>
      <c r="EV66" s="326"/>
      <c r="EW66" s="326"/>
      <c r="EX66" s="326"/>
      <c r="EY66" s="326"/>
      <c r="EZ66" s="326"/>
      <c r="FA66" s="326"/>
      <c r="FB66" s="326"/>
      <c r="FC66" s="326"/>
      <c r="FD66" s="326"/>
      <c r="FE66" s="326"/>
      <c r="FF66" s="326"/>
      <c r="FG66" s="326"/>
      <c r="FH66" s="326"/>
      <c r="FI66" s="326"/>
      <c r="FJ66" s="326"/>
      <c r="FK66" s="326"/>
      <c r="FL66" s="326"/>
      <c r="FM66" s="326"/>
      <c r="FN66" s="326"/>
      <c r="FO66" s="326"/>
      <c r="FP66" s="326"/>
      <c r="FQ66" s="326"/>
      <c r="FR66" s="326"/>
      <c r="FS66" s="326"/>
      <c r="FT66" s="326"/>
      <c r="FU66" s="326"/>
      <c r="FV66" s="326"/>
      <c r="FW66" s="326"/>
      <c r="FX66" s="326"/>
      <c r="FY66" s="326"/>
      <c r="FZ66" s="326"/>
      <c r="GA66" s="326"/>
      <c r="GB66" s="326"/>
      <c r="GC66" s="326"/>
      <c r="GD66" s="326"/>
      <c r="GE66" s="326"/>
      <c r="GF66" s="326"/>
      <c r="GG66" s="326"/>
      <c r="GH66" s="326"/>
      <c r="GI66" s="326"/>
      <c r="GJ66" s="326"/>
      <c r="GK66" s="326"/>
      <c r="GL66" s="326"/>
      <c r="GM66" s="326"/>
      <c r="GN66" s="326"/>
      <c r="GO66" s="326"/>
      <c r="GP66" s="326"/>
      <c r="GQ66" s="326"/>
      <c r="GR66" s="326"/>
      <c r="GS66" s="326"/>
      <c r="GT66" s="326"/>
      <c r="GU66" s="326"/>
      <c r="GV66" s="326"/>
      <c r="GW66" s="326"/>
      <c r="GX66" s="326"/>
      <c r="GY66" s="326"/>
      <c r="GZ66" s="326"/>
      <c r="HA66" s="326"/>
      <c r="HB66" s="326"/>
      <c r="HC66" s="326"/>
      <c r="HD66" s="326"/>
      <c r="HE66" s="326"/>
      <c r="HF66" s="326"/>
      <c r="HG66" s="326"/>
      <c r="HH66" s="326"/>
      <c r="HI66" s="326"/>
      <c r="HJ66" s="326"/>
      <c r="HK66" s="326"/>
      <c r="HL66" s="326"/>
      <c r="HM66" s="326"/>
      <c r="HN66" s="326"/>
      <c r="HO66" s="326"/>
      <c r="HP66" s="326"/>
      <c r="HQ66" s="326"/>
      <c r="HR66" s="326"/>
      <c r="HS66" s="326"/>
      <c r="HT66" s="326"/>
      <c r="HU66" s="326"/>
      <c r="HV66" s="326"/>
      <c r="HW66" s="326"/>
      <c r="HX66" s="326"/>
      <c r="HY66" s="326"/>
      <c r="HZ66" s="326"/>
      <c r="IA66" s="326"/>
      <c r="IB66" s="326"/>
      <c r="IC66" s="326"/>
      <c r="ID66" s="326"/>
      <c r="IE66" s="326"/>
      <c r="IF66" s="326"/>
      <c r="IG66" s="326"/>
      <c r="IH66" s="326"/>
      <c r="II66" s="326"/>
      <c r="IJ66" s="326"/>
      <c r="IK66" s="326"/>
      <c r="IL66" s="326"/>
      <c r="IM66" s="326"/>
      <c r="IN66" s="326"/>
      <c r="IO66" s="326"/>
      <c r="IP66" s="326"/>
      <c r="IQ66" s="326"/>
      <c r="IR66" s="326"/>
      <c r="IS66" s="326"/>
      <c r="IT66" s="326"/>
      <c r="IU66" s="326"/>
      <c r="IV66" s="326"/>
    </row>
    <row r="67" spans="1:256" s="555" customFormat="1" ht="22.5" customHeight="1">
      <c r="A67" s="569">
        <v>58</v>
      </c>
      <c r="B67" s="563"/>
      <c r="C67" s="366">
        <v>15</v>
      </c>
      <c r="D67" s="567" t="s">
        <v>474</v>
      </c>
      <c r="E67" s="335"/>
      <c r="F67" s="559"/>
      <c r="G67" s="336"/>
      <c r="H67" s="766" t="s">
        <v>23</v>
      </c>
      <c r="I67" s="781"/>
      <c r="J67" s="777"/>
      <c r="K67" s="777"/>
      <c r="L67" s="777"/>
      <c r="M67" s="777"/>
      <c r="N67" s="777"/>
      <c r="O67" s="751"/>
      <c r="P67" s="560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  <c r="BC67" s="326"/>
      <c r="BD67" s="326"/>
      <c r="BE67" s="326"/>
      <c r="BF67" s="326"/>
      <c r="BG67" s="326"/>
      <c r="BH67" s="326"/>
      <c r="BI67" s="326"/>
      <c r="BJ67" s="326"/>
      <c r="BK67" s="326"/>
      <c r="BL67" s="326"/>
      <c r="BM67" s="326"/>
      <c r="BN67" s="326"/>
      <c r="BO67" s="326"/>
      <c r="BP67" s="326"/>
      <c r="BQ67" s="326"/>
      <c r="BR67" s="326"/>
      <c r="BS67" s="326"/>
      <c r="BT67" s="326"/>
      <c r="BU67" s="326"/>
      <c r="BV67" s="326"/>
      <c r="BW67" s="326"/>
      <c r="BX67" s="326"/>
      <c r="BY67" s="326"/>
      <c r="BZ67" s="326"/>
      <c r="CA67" s="326"/>
      <c r="CB67" s="326"/>
      <c r="CC67" s="326"/>
      <c r="CD67" s="326"/>
      <c r="CE67" s="326"/>
      <c r="CF67" s="326"/>
      <c r="CG67" s="326"/>
      <c r="CH67" s="326"/>
      <c r="CI67" s="326"/>
      <c r="CJ67" s="326"/>
      <c r="CK67" s="326"/>
      <c r="CL67" s="326"/>
      <c r="CM67" s="326"/>
      <c r="CN67" s="326"/>
      <c r="CO67" s="326"/>
      <c r="CP67" s="326"/>
      <c r="CQ67" s="326"/>
      <c r="CR67" s="326"/>
      <c r="CS67" s="326"/>
      <c r="CT67" s="326"/>
      <c r="CU67" s="326"/>
      <c r="CV67" s="326"/>
      <c r="CW67" s="326"/>
      <c r="CX67" s="326"/>
      <c r="CY67" s="326"/>
      <c r="CZ67" s="326"/>
      <c r="DA67" s="326"/>
      <c r="DB67" s="326"/>
      <c r="DC67" s="326"/>
      <c r="DD67" s="326"/>
      <c r="DE67" s="326"/>
      <c r="DF67" s="326"/>
      <c r="DG67" s="326"/>
      <c r="DH67" s="326"/>
      <c r="DI67" s="326"/>
      <c r="DJ67" s="326"/>
      <c r="DK67" s="326"/>
      <c r="DL67" s="326"/>
      <c r="DM67" s="326"/>
      <c r="DN67" s="326"/>
      <c r="DO67" s="326"/>
      <c r="DP67" s="326"/>
      <c r="DQ67" s="326"/>
      <c r="DR67" s="326"/>
      <c r="DS67" s="326"/>
      <c r="DT67" s="326"/>
      <c r="DU67" s="326"/>
      <c r="DV67" s="326"/>
      <c r="DW67" s="326"/>
      <c r="DX67" s="326"/>
      <c r="DY67" s="326"/>
      <c r="DZ67" s="326"/>
      <c r="EA67" s="326"/>
      <c r="EB67" s="326"/>
      <c r="EC67" s="326"/>
      <c r="ED67" s="326"/>
      <c r="EE67" s="326"/>
      <c r="EF67" s="326"/>
      <c r="EG67" s="326"/>
      <c r="EH67" s="326"/>
      <c r="EI67" s="326"/>
      <c r="EJ67" s="326"/>
      <c r="EK67" s="326"/>
      <c r="EL67" s="326"/>
      <c r="EM67" s="326"/>
      <c r="EN67" s="326"/>
      <c r="EO67" s="326"/>
      <c r="EP67" s="326"/>
      <c r="EQ67" s="326"/>
      <c r="ER67" s="326"/>
      <c r="ES67" s="326"/>
      <c r="ET67" s="326"/>
      <c r="EU67" s="326"/>
      <c r="EV67" s="326"/>
      <c r="EW67" s="326"/>
      <c r="EX67" s="326"/>
      <c r="EY67" s="326"/>
      <c r="EZ67" s="326"/>
      <c r="FA67" s="326"/>
      <c r="FB67" s="326"/>
      <c r="FC67" s="326"/>
      <c r="FD67" s="326"/>
      <c r="FE67" s="326"/>
      <c r="FF67" s="326"/>
      <c r="FG67" s="326"/>
      <c r="FH67" s="326"/>
      <c r="FI67" s="326"/>
      <c r="FJ67" s="326"/>
      <c r="FK67" s="326"/>
      <c r="FL67" s="326"/>
      <c r="FM67" s="326"/>
      <c r="FN67" s="326"/>
      <c r="FO67" s="326"/>
      <c r="FP67" s="326"/>
      <c r="FQ67" s="326"/>
      <c r="FR67" s="326"/>
      <c r="FS67" s="326"/>
      <c r="FT67" s="326"/>
      <c r="FU67" s="326"/>
      <c r="FV67" s="326"/>
      <c r="FW67" s="326"/>
      <c r="FX67" s="326"/>
      <c r="FY67" s="326"/>
      <c r="FZ67" s="326"/>
      <c r="GA67" s="326"/>
      <c r="GB67" s="326"/>
      <c r="GC67" s="326"/>
      <c r="GD67" s="326"/>
      <c r="GE67" s="326"/>
      <c r="GF67" s="326"/>
      <c r="GG67" s="326"/>
      <c r="GH67" s="326"/>
      <c r="GI67" s="326"/>
      <c r="GJ67" s="326"/>
      <c r="GK67" s="326"/>
      <c r="GL67" s="326"/>
      <c r="GM67" s="326"/>
      <c r="GN67" s="326"/>
      <c r="GO67" s="326"/>
      <c r="GP67" s="326"/>
      <c r="GQ67" s="326"/>
      <c r="GR67" s="326"/>
      <c r="GS67" s="326"/>
      <c r="GT67" s="326"/>
      <c r="GU67" s="326"/>
      <c r="GV67" s="326"/>
      <c r="GW67" s="326"/>
      <c r="GX67" s="326"/>
      <c r="GY67" s="326"/>
      <c r="GZ67" s="326"/>
      <c r="HA67" s="326"/>
      <c r="HB67" s="326"/>
      <c r="HC67" s="326"/>
      <c r="HD67" s="326"/>
      <c r="HE67" s="326"/>
      <c r="HF67" s="326"/>
      <c r="HG67" s="326"/>
      <c r="HH67" s="326"/>
      <c r="HI67" s="326"/>
      <c r="HJ67" s="326"/>
      <c r="HK67" s="326"/>
      <c r="HL67" s="326"/>
      <c r="HM67" s="326"/>
      <c r="HN67" s="326"/>
      <c r="HO67" s="326"/>
      <c r="HP67" s="326"/>
      <c r="HQ67" s="326"/>
      <c r="HR67" s="326"/>
      <c r="HS67" s="326"/>
      <c r="HT67" s="326"/>
      <c r="HU67" s="326"/>
      <c r="HV67" s="326"/>
      <c r="HW67" s="326"/>
      <c r="HX67" s="326"/>
      <c r="HY67" s="326"/>
      <c r="HZ67" s="326"/>
      <c r="IA67" s="326"/>
      <c r="IB67" s="326"/>
      <c r="IC67" s="326"/>
      <c r="ID67" s="326"/>
      <c r="IE67" s="326"/>
      <c r="IF67" s="326"/>
      <c r="IG67" s="326"/>
      <c r="IH67" s="326"/>
      <c r="II67" s="326"/>
      <c r="IJ67" s="326"/>
      <c r="IK67" s="326"/>
      <c r="IL67" s="326"/>
      <c r="IM67" s="326"/>
      <c r="IN67" s="326"/>
      <c r="IO67" s="326"/>
      <c r="IP67" s="326"/>
      <c r="IQ67" s="326"/>
      <c r="IR67" s="326"/>
      <c r="IS67" s="326"/>
      <c r="IT67" s="326"/>
      <c r="IU67" s="326"/>
      <c r="IV67" s="326"/>
    </row>
    <row r="68" spans="1:256" s="555" customFormat="1" ht="18" customHeight="1">
      <c r="A68" s="569">
        <v>59</v>
      </c>
      <c r="B68" s="563"/>
      <c r="C68" s="327"/>
      <c r="D68" s="1194" t="s">
        <v>283</v>
      </c>
      <c r="E68" s="335">
        <f>F68+G68+O69+P68</f>
        <v>5521</v>
      </c>
      <c r="F68" s="559"/>
      <c r="G68" s="336"/>
      <c r="H68" s="766"/>
      <c r="I68" s="781"/>
      <c r="J68" s="777"/>
      <c r="K68" s="777">
        <v>79</v>
      </c>
      <c r="L68" s="777"/>
      <c r="M68" s="777">
        <v>5442</v>
      </c>
      <c r="N68" s="777"/>
      <c r="O68" s="751">
        <f>SUM(I68:N68)</f>
        <v>5521</v>
      </c>
      <c r="P68" s="560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6"/>
      <c r="CO68" s="326"/>
      <c r="CP68" s="326"/>
      <c r="CQ68" s="326"/>
      <c r="CR68" s="326"/>
      <c r="CS68" s="326"/>
      <c r="CT68" s="326"/>
      <c r="CU68" s="326"/>
      <c r="CV68" s="326"/>
      <c r="CW68" s="326"/>
      <c r="CX68" s="326"/>
      <c r="CY68" s="326"/>
      <c r="CZ68" s="326"/>
      <c r="DA68" s="326"/>
      <c r="DB68" s="326"/>
      <c r="DC68" s="326"/>
      <c r="DD68" s="326"/>
      <c r="DE68" s="326"/>
      <c r="DF68" s="326"/>
      <c r="DG68" s="326"/>
      <c r="DH68" s="326"/>
      <c r="DI68" s="326"/>
      <c r="DJ68" s="326"/>
      <c r="DK68" s="326"/>
      <c r="DL68" s="326"/>
      <c r="DM68" s="326"/>
      <c r="DN68" s="326"/>
      <c r="DO68" s="326"/>
      <c r="DP68" s="326"/>
      <c r="DQ68" s="326"/>
      <c r="DR68" s="326"/>
      <c r="DS68" s="326"/>
      <c r="DT68" s="326"/>
      <c r="DU68" s="326"/>
      <c r="DV68" s="326"/>
      <c r="DW68" s="326"/>
      <c r="DX68" s="326"/>
      <c r="DY68" s="326"/>
      <c r="DZ68" s="326"/>
      <c r="EA68" s="326"/>
      <c r="EB68" s="326"/>
      <c r="EC68" s="326"/>
      <c r="ED68" s="326"/>
      <c r="EE68" s="326"/>
      <c r="EF68" s="326"/>
      <c r="EG68" s="326"/>
      <c r="EH68" s="326"/>
      <c r="EI68" s="326"/>
      <c r="EJ68" s="326"/>
      <c r="EK68" s="326"/>
      <c r="EL68" s="326"/>
      <c r="EM68" s="326"/>
      <c r="EN68" s="326"/>
      <c r="EO68" s="326"/>
      <c r="EP68" s="326"/>
      <c r="EQ68" s="326"/>
      <c r="ER68" s="326"/>
      <c r="ES68" s="326"/>
      <c r="ET68" s="326"/>
      <c r="EU68" s="326"/>
      <c r="EV68" s="326"/>
      <c r="EW68" s="326"/>
      <c r="EX68" s="326"/>
      <c r="EY68" s="326"/>
      <c r="EZ68" s="326"/>
      <c r="FA68" s="326"/>
      <c r="FB68" s="326"/>
      <c r="FC68" s="326"/>
      <c r="FD68" s="326"/>
      <c r="FE68" s="326"/>
      <c r="FF68" s="326"/>
      <c r="FG68" s="326"/>
      <c r="FH68" s="326"/>
      <c r="FI68" s="326"/>
      <c r="FJ68" s="326"/>
      <c r="FK68" s="326"/>
      <c r="FL68" s="326"/>
      <c r="FM68" s="326"/>
      <c r="FN68" s="326"/>
      <c r="FO68" s="326"/>
      <c r="FP68" s="326"/>
      <c r="FQ68" s="326"/>
      <c r="FR68" s="326"/>
      <c r="FS68" s="326"/>
      <c r="FT68" s="326"/>
      <c r="FU68" s="326"/>
      <c r="FV68" s="326"/>
      <c r="FW68" s="326"/>
      <c r="FX68" s="326"/>
      <c r="FY68" s="326"/>
      <c r="FZ68" s="326"/>
      <c r="GA68" s="326"/>
      <c r="GB68" s="326"/>
      <c r="GC68" s="326"/>
      <c r="GD68" s="326"/>
      <c r="GE68" s="326"/>
      <c r="GF68" s="326"/>
      <c r="GG68" s="326"/>
      <c r="GH68" s="326"/>
      <c r="GI68" s="326"/>
      <c r="GJ68" s="326"/>
      <c r="GK68" s="326"/>
      <c r="GL68" s="326"/>
      <c r="GM68" s="326"/>
      <c r="GN68" s="326"/>
      <c r="GO68" s="326"/>
      <c r="GP68" s="326"/>
      <c r="GQ68" s="326"/>
      <c r="GR68" s="326"/>
      <c r="GS68" s="326"/>
      <c r="GT68" s="326"/>
      <c r="GU68" s="326"/>
      <c r="GV68" s="326"/>
      <c r="GW68" s="326"/>
      <c r="GX68" s="326"/>
      <c r="GY68" s="326"/>
      <c r="GZ68" s="326"/>
      <c r="HA68" s="326"/>
      <c r="HB68" s="326"/>
      <c r="HC68" s="326"/>
      <c r="HD68" s="326"/>
      <c r="HE68" s="326"/>
      <c r="HF68" s="326"/>
      <c r="HG68" s="326"/>
      <c r="HH68" s="326"/>
      <c r="HI68" s="326"/>
      <c r="HJ68" s="326"/>
      <c r="HK68" s="326"/>
      <c r="HL68" s="326"/>
      <c r="HM68" s="326"/>
      <c r="HN68" s="326"/>
      <c r="HO68" s="326"/>
      <c r="HP68" s="326"/>
      <c r="HQ68" s="326"/>
      <c r="HR68" s="326"/>
      <c r="HS68" s="326"/>
      <c r="HT68" s="326"/>
      <c r="HU68" s="326"/>
      <c r="HV68" s="326"/>
      <c r="HW68" s="326"/>
      <c r="HX68" s="326"/>
      <c r="HY68" s="326"/>
      <c r="HZ68" s="326"/>
      <c r="IA68" s="326"/>
      <c r="IB68" s="326"/>
      <c r="IC68" s="326"/>
      <c r="ID68" s="326"/>
      <c r="IE68" s="326"/>
      <c r="IF68" s="326"/>
      <c r="IG68" s="326"/>
      <c r="IH68" s="326"/>
      <c r="II68" s="326"/>
      <c r="IJ68" s="326"/>
      <c r="IK68" s="326"/>
      <c r="IL68" s="326"/>
      <c r="IM68" s="326"/>
      <c r="IN68" s="326"/>
      <c r="IO68" s="326"/>
      <c r="IP68" s="326"/>
      <c r="IQ68" s="326"/>
      <c r="IR68" s="326"/>
      <c r="IS68" s="326"/>
      <c r="IT68" s="326"/>
      <c r="IU68" s="326"/>
      <c r="IV68" s="326"/>
    </row>
    <row r="69" spans="1:256" s="555" customFormat="1" ht="18" customHeight="1">
      <c r="A69" s="569">
        <v>60</v>
      </c>
      <c r="B69" s="563"/>
      <c r="C69" s="327"/>
      <c r="D69" s="478" t="s">
        <v>757</v>
      </c>
      <c r="E69" s="335"/>
      <c r="F69" s="559"/>
      <c r="G69" s="336"/>
      <c r="H69" s="766"/>
      <c r="I69" s="781"/>
      <c r="J69" s="777"/>
      <c r="K69" s="556">
        <v>79</v>
      </c>
      <c r="L69" s="556"/>
      <c r="M69" s="556">
        <v>5442</v>
      </c>
      <c r="N69" s="556"/>
      <c r="O69" s="564">
        <f>SUM(I69:N69)</f>
        <v>5521</v>
      </c>
      <c r="P69" s="560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6"/>
      <c r="BD69" s="326"/>
      <c r="BE69" s="326"/>
      <c r="BF69" s="326"/>
      <c r="BG69" s="326"/>
      <c r="BH69" s="326"/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326"/>
      <c r="CE69" s="326"/>
      <c r="CF69" s="326"/>
      <c r="CG69" s="326"/>
      <c r="CH69" s="326"/>
      <c r="CI69" s="326"/>
      <c r="CJ69" s="326"/>
      <c r="CK69" s="326"/>
      <c r="CL69" s="326"/>
      <c r="CM69" s="326"/>
      <c r="CN69" s="326"/>
      <c r="CO69" s="326"/>
      <c r="CP69" s="326"/>
      <c r="CQ69" s="326"/>
      <c r="CR69" s="326"/>
      <c r="CS69" s="326"/>
      <c r="CT69" s="326"/>
      <c r="CU69" s="326"/>
      <c r="CV69" s="326"/>
      <c r="CW69" s="326"/>
      <c r="CX69" s="326"/>
      <c r="CY69" s="326"/>
      <c r="CZ69" s="326"/>
      <c r="DA69" s="326"/>
      <c r="DB69" s="326"/>
      <c r="DC69" s="326"/>
      <c r="DD69" s="326"/>
      <c r="DE69" s="326"/>
      <c r="DF69" s="326"/>
      <c r="DG69" s="326"/>
      <c r="DH69" s="326"/>
      <c r="DI69" s="326"/>
      <c r="DJ69" s="326"/>
      <c r="DK69" s="326"/>
      <c r="DL69" s="326"/>
      <c r="DM69" s="326"/>
      <c r="DN69" s="326"/>
      <c r="DO69" s="326"/>
      <c r="DP69" s="326"/>
      <c r="DQ69" s="326"/>
      <c r="DR69" s="326"/>
      <c r="DS69" s="326"/>
      <c r="DT69" s="326"/>
      <c r="DU69" s="326"/>
      <c r="DV69" s="326"/>
      <c r="DW69" s="326"/>
      <c r="DX69" s="326"/>
      <c r="DY69" s="326"/>
      <c r="DZ69" s="326"/>
      <c r="EA69" s="326"/>
      <c r="EB69" s="326"/>
      <c r="EC69" s="326"/>
      <c r="ED69" s="326"/>
      <c r="EE69" s="326"/>
      <c r="EF69" s="326"/>
      <c r="EG69" s="326"/>
      <c r="EH69" s="326"/>
      <c r="EI69" s="326"/>
      <c r="EJ69" s="326"/>
      <c r="EK69" s="326"/>
      <c r="EL69" s="326"/>
      <c r="EM69" s="326"/>
      <c r="EN69" s="326"/>
      <c r="EO69" s="326"/>
      <c r="EP69" s="326"/>
      <c r="EQ69" s="326"/>
      <c r="ER69" s="326"/>
      <c r="ES69" s="326"/>
      <c r="ET69" s="326"/>
      <c r="EU69" s="326"/>
      <c r="EV69" s="326"/>
      <c r="EW69" s="326"/>
      <c r="EX69" s="326"/>
      <c r="EY69" s="326"/>
      <c r="EZ69" s="326"/>
      <c r="FA69" s="326"/>
      <c r="FB69" s="326"/>
      <c r="FC69" s="326"/>
      <c r="FD69" s="326"/>
      <c r="FE69" s="326"/>
      <c r="FF69" s="326"/>
      <c r="FG69" s="326"/>
      <c r="FH69" s="326"/>
      <c r="FI69" s="326"/>
      <c r="FJ69" s="326"/>
      <c r="FK69" s="326"/>
      <c r="FL69" s="326"/>
      <c r="FM69" s="326"/>
      <c r="FN69" s="326"/>
      <c r="FO69" s="326"/>
      <c r="FP69" s="326"/>
      <c r="FQ69" s="326"/>
      <c r="FR69" s="326"/>
      <c r="FS69" s="326"/>
      <c r="FT69" s="326"/>
      <c r="FU69" s="326"/>
      <c r="FV69" s="326"/>
      <c r="FW69" s="326"/>
      <c r="FX69" s="326"/>
      <c r="FY69" s="326"/>
      <c r="FZ69" s="326"/>
      <c r="GA69" s="326"/>
      <c r="GB69" s="326"/>
      <c r="GC69" s="326"/>
      <c r="GD69" s="326"/>
      <c r="GE69" s="326"/>
      <c r="GF69" s="326"/>
      <c r="GG69" s="326"/>
      <c r="GH69" s="326"/>
      <c r="GI69" s="326"/>
      <c r="GJ69" s="326"/>
      <c r="GK69" s="326"/>
      <c r="GL69" s="326"/>
      <c r="GM69" s="326"/>
      <c r="GN69" s="326"/>
      <c r="GO69" s="326"/>
      <c r="GP69" s="326"/>
      <c r="GQ69" s="326"/>
      <c r="GR69" s="326"/>
      <c r="GS69" s="326"/>
      <c r="GT69" s="326"/>
      <c r="GU69" s="326"/>
      <c r="GV69" s="326"/>
      <c r="GW69" s="326"/>
      <c r="GX69" s="326"/>
      <c r="GY69" s="326"/>
      <c r="GZ69" s="326"/>
      <c r="HA69" s="326"/>
      <c r="HB69" s="326"/>
      <c r="HC69" s="326"/>
      <c r="HD69" s="326"/>
      <c r="HE69" s="326"/>
      <c r="HF69" s="326"/>
      <c r="HG69" s="326"/>
      <c r="HH69" s="326"/>
      <c r="HI69" s="326"/>
      <c r="HJ69" s="326"/>
      <c r="HK69" s="326"/>
      <c r="HL69" s="326"/>
      <c r="HM69" s="326"/>
      <c r="HN69" s="326"/>
      <c r="HO69" s="326"/>
      <c r="HP69" s="326"/>
      <c r="HQ69" s="326"/>
      <c r="HR69" s="326"/>
      <c r="HS69" s="326"/>
      <c r="HT69" s="326"/>
      <c r="HU69" s="326"/>
      <c r="HV69" s="326"/>
      <c r="HW69" s="326"/>
      <c r="HX69" s="326"/>
      <c r="HY69" s="326"/>
      <c r="HZ69" s="326"/>
      <c r="IA69" s="326"/>
      <c r="IB69" s="326"/>
      <c r="IC69" s="326"/>
      <c r="ID69" s="326"/>
      <c r="IE69" s="326"/>
      <c r="IF69" s="326"/>
      <c r="IG69" s="326"/>
      <c r="IH69" s="326"/>
      <c r="II69" s="326"/>
      <c r="IJ69" s="326"/>
      <c r="IK69" s="326"/>
      <c r="IL69" s="326"/>
      <c r="IM69" s="326"/>
      <c r="IN69" s="326"/>
      <c r="IO69" s="326"/>
      <c r="IP69" s="326"/>
      <c r="IQ69" s="326"/>
      <c r="IR69" s="326"/>
      <c r="IS69" s="326"/>
      <c r="IT69" s="326"/>
      <c r="IU69" s="326"/>
      <c r="IV69" s="326"/>
    </row>
    <row r="70" spans="1:256" s="555" customFormat="1" ht="18" customHeight="1">
      <c r="A70" s="569">
        <v>61</v>
      </c>
      <c r="B70" s="563"/>
      <c r="C70" s="327"/>
      <c r="D70" s="1090" t="s">
        <v>893</v>
      </c>
      <c r="E70" s="335"/>
      <c r="F70" s="559"/>
      <c r="G70" s="336"/>
      <c r="H70" s="766"/>
      <c r="I70" s="781"/>
      <c r="J70" s="777"/>
      <c r="K70" s="1186">
        <v>0</v>
      </c>
      <c r="L70" s="1186"/>
      <c r="M70" s="1186">
        <v>442</v>
      </c>
      <c r="N70" s="1186"/>
      <c r="O70" s="1723">
        <f>SUM(I70:N70)</f>
        <v>442</v>
      </c>
      <c r="P70" s="560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  <c r="CX70" s="326"/>
      <c r="CY70" s="326"/>
      <c r="CZ70" s="326"/>
      <c r="DA70" s="326"/>
      <c r="DB70" s="326"/>
      <c r="DC70" s="326"/>
      <c r="DD70" s="326"/>
      <c r="DE70" s="326"/>
      <c r="DF70" s="326"/>
      <c r="DG70" s="326"/>
      <c r="DH70" s="326"/>
      <c r="DI70" s="326"/>
      <c r="DJ70" s="326"/>
      <c r="DK70" s="326"/>
      <c r="DL70" s="326"/>
      <c r="DM70" s="326"/>
      <c r="DN70" s="326"/>
      <c r="DO70" s="326"/>
      <c r="DP70" s="326"/>
      <c r="DQ70" s="326"/>
      <c r="DR70" s="326"/>
      <c r="DS70" s="326"/>
      <c r="DT70" s="326"/>
      <c r="DU70" s="326"/>
      <c r="DV70" s="326"/>
      <c r="DW70" s="326"/>
      <c r="DX70" s="326"/>
      <c r="DY70" s="326"/>
      <c r="DZ70" s="326"/>
      <c r="EA70" s="326"/>
      <c r="EB70" s="326"/>
      <c r="EC70" s="326"/>
      <c r="ED70" s="326"/>
      <c r="EE70" s="326"/>
      <c r="EF70" s="326"/>
      <c r="EG70" s="326"/>
      <c r="EH70" s="326"/>
      <c r="EI70" s="326"/>
      <c r="EJ70" s="326"/>
      <c r="EK70" s="326"/>
      <c r="EL70" s="326"/>
      <c r="EM70" s="326"/>
      <c r="EN70" s="326"/>
      <c r="EO70" s="326"/>
      <c r="EP70" s="326"/>
      <c r="EQ70" s="326"/>
      <c r="ER70" s="326"/>
      <c r="ES70" s="326"/>
      <c r="ET70" s="326"/>
      <c r="EU70" s="326"/>
      <c r="EV70" s="326"/>
      <c r="EW70" s="326"/>
      <c r="EX70" s="326"/>
      <c r="EY70" s="326"/>
      <c r="EZ70" s="326"/>
      <c r="FA70" s="326"/>
      <c r="FB70" s="326"/>
      <c r="FC70" s="326"/>
      <c r="FD70" s="326"/>
      <c r="FE70" s="326"/>
      <c r="FF70" s="326"/>
      <c r="FG70" s="326"/>
      <c r="FH70" s="326"/>
      <c r="FI70" s="326"/>
      <c r="FJ70" s="326"/>
      <c r="FK70" s="326"/>
      <c r="FL70" s="326"/>
      <c r="FM70" s="326"/>
      <c r="FN70" s="326"/>
      <c r="FO70" s="326"/>
      <c r="FP70" s="326"/>
      <c r="FQ70" s="326"/>
      <c r="FR70" s="326"/>
      <c r="FS70" s="326"/>
      <c r="FT70" s="326"/>
      <c r="FU70" s="326"/>
      <c r="FV70" s="326"/>
      <c r="FW70" s="326"/>
      <c r="FX70" s="326"/>
      <c r="FY70" s="326"/>
      <c r="FZ70" s="326"/>
      <c r="GA70" s="326"/>
      <c r="GB70" s="326"/>
      <c r="GC70" s="326"/>
      <c r="GD70" s="326"/>
      <c r="GE70" s="326"/>
      <c r="GF70" s="326"/>
      <c r="GG70" s="326"/>
      <c r="GH70" s="326"/>
      <c r="GI70" s="326"/>
      <c r="GJ70" s="326"/>
      <c r="GK70" s="326"/>
      <c r="GL70" s="326"/>
      <c r="GM70" s="326"/>
      <c r="GN70" s="326"/>
      <c r="GO70" s="326"/>
      <c r="GP70" s="326"/>
      <c r="GQ70" s="326"/>
      <c r="GR70" s="326"/>
      <c r="GS70" s="326"/>
      <c r="GT70" s="326"/>
      <c r="GU70" s="326"/>
      <c r="GV70" s="326"/>
      <c r="GW70" s="326"/>
      <c r="GX70" s="326"/>
      <c r="GY70" s="326"/>
      <c r="GZ70" s="326"/>
      <c r="HA70" s="326"/>
      <c r="HB70" s="326"/>
      <c r="HC70" s="326"/>
      <c r="HD70" s="326"/>
      <c r="HE70" s="326"/>
      <c r="HF70" s="326"/>
      <c r="HG70" s="326"/>
      <c r="HH70" s="326"/>
      <c r="HI70" s="326"/>
      <c r="HJ70" s="326"/>
      <c r="HK70" s="326"/>
      <c r="HL70" s="326"/>
      <c r="HM70" s="326"/>
      <c r="HN70" s="326"/>
      <c r="HO70" s="326"/>
      <c r="HP70" s="326"/>
      <c r="HQ70" s="326"/>
      <c r="HR70" s="326"/>
      <c r="HS70" s="326"/>
      <c r="HT70" s="326"/>
      <c r="HU70" s="326"/>
      <c r="HV70" s="326"/>
      <c r="HW70" s="326"/>
      <c r="HX70" s="326"/>
      <c r="HY70" s="326"/>
      <c r="HZ70" s="326"/>
      <c r="IA70" s="326"/>
      <c r="IB70" s="326"/>
      <c r="IC70" s="326"/>
      <c r="ID70" s="326"/>
      <c r="IE70" s="326"/>
      <c r="IF70" s="326"/>
      <c r="IG70" s="326"/>
      <c r="IH70" s="326"/>
      <c r="II70" s="326"/>
      <c r="IJ70" s="326"/>
      <c r="IK70" s="326"/>
      <c r="IL70" s="326"/>
      <c r="IM70" s="326"/>
      <c r="IN70" s="326"/>
      <c r="IO70" s="326"/>
      <c r="IP70" s="326"/>
      <c r="IQ70" s="326"/>
      <c r="IR70" s="326"/>
      <c r="IS70" s="326"/>
      <c r="IT70" s="326"/>
      <c r="IU70" s="326"/>
      <c r="IV70" s="326"/>
    </row>
    <row r="71" spans="1:256" s="555" customFormat="1" ht="22.5" customHeight="1">
      <c r="A71" s="569">
        <v>62</v>
      </c>
      <c r="B71" s="563"/>
      <c r="C71" s="366">
        <v>16</v>
      </c>
      <c r="D71" s="567" t="s">
        <v>596</v>
      </c>
      <c r="E71" s="335"/>
      <c r="F71" s="559"/>
      <c r="G71" s="336"/>
      <c r="H71" s="766" t="s">
        <v>23</v>
      </c>
      <c r="I71" s="781"/>
      <c r="J71" s="777"/>
      <c r="K71" s="777"/>
      <c r="L71" s="777"/>
      <c r="M71" s="777"/>
      <c r="N71" s="777"/>
      <c r="O71" s="751"/>
      <c r="P71" s="560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  <c r="CV71" s="326"/>
      <c r="CW71" s="326"/>
      <c r="CX71" s="326"/>
      <c r="CY71" s="326"/>
      <c r="CZ71" s="326"/>
      <c r="DA71" s="326"/>
      <c r="DB71" s="326"/>
      <c r="DC71" s="326"/>
      <c r="DD71" s="326"/>
      <c r="DE71" s="326"/>
      <c r="DF71" s="326"/>
      <c r="DG71" s="326"/>
      <c r="DH71" s="326"/>
      <c r="DI71" s="326"/>
      <c r="DJ71" s="326"/>
      <c r="DK71" s="326"/>
      <c r="DL71" s="326"/>
      <c r="DM71" s="326"/>
      <c r="DN71" s="326"/>
      <c r="DO71" s="326"/>
      <c r="DP71" s="326"/>
      <c r="DQ71" s="326"/>
      <c r="DR71" s="326"/>
      <c r="DS71" s="326"/>
      <c r="DT71" s="326"/>
      <c r="DU71" s="326"/>
      <c r="DV71" s="326"/>
      <c r="DW71" s="326"/>
      <c r="DX71" s="326"/>
      <c r="DY71" s="326"/>
      <c r="DZ71" s="326"/>
      <c r="EA71" s="326"/>
      <c r="EB71" s="326"/>
      <c r="EC71" s="326"/>
      <c r="ED71" s="326"/>
      <c r="EE71" s="326"/>
      <c r="EF71" s="326"/>
      <c r="EG71" s="326"/>
      <c r="EH71" s="326"/>
      <c r="EI71" s="326"/>
      <c r="EJ71" s="326"/>
      <c r="EK71" s="326"/>
      <c r="EL71" s="326"/>
      <c r="EM71" s="326"/>
      <c r="EN71" s="326"/>
      <c r="EO71" s="326"/>
      <c r="EP71" s="326"/>
      <c r="EQ71" s="326"/>
      <c r="ER71" s="326"/>
      <c r="ES71" s="326"/>
      <c r="ET71" s="326"/>
      <c r="EU71" s="326"/>
      <c r="EV71" s="326"/>
      <c r="EW71" s="326"/>
      <c r="EX71" s="326"/>
      <c r="EY71" s="326"/>
      <c r="EZ71" s="326"/>
      <c r="FA71" s="326"/>
      <c r="FB71" s="326"/>
      <c r="FC71" s="326"/>
      <c r="FD71" s="326"/>
      <c r="FE71" s="326"/>
      <c r="FF71" s="326"/>
      <c r="FG71" s="326"/>
      <c r="FH71" s="326"/>
      <c r="FI71" s="326"/>
      <c r="FJ71" s="326"/>
      <c r="FK71" s="326"/>
      <c r="FL71" s="326"/>
      <c r="FM71" s="326"/>
      <c r="FN71" s="326"/>
      <c r="FO71" s="326"/>
      <c r="FP71" s="326"/>
      <c r="FQ71" s="326"/>
      <c r="FR71" s="326"/>
      <c r="FS71" s="326"/>
      <c r="FT71" s="326"/>
      <c r="FU71" s="326"/>
      <c r="FV71" s="326"/>
      <c r="FW71" s="326"/>
      <c r="FX71" s="326"/>
      <c r="FY71" s="326"/>
      <c r="FZ71" s="326"/>
      <c r="GA71" s="326"/>
      <c r="GB71" s="326"/>
      <c r="GC71" s="326"/>
      <c r="GD71" s="326"/>
      <c r="GE71" s="326"/>
      <c r="GF71" s="326"/>
      <c r="GG71" s="326"/>
      <c r="GH71" s="326"/>
      <c r="GI71" s="326"/>
      <c r="GJ71" s="326"/>
      <c r="GK71" s="326"/>
      <c r="GL71" s="326"/>
      <c r="GM71" s="326"/>
      <c r="GN71" s="326"/>
      <c r="GO71" s="326"/>
      <c r="GP71" s="326"/>
      <c r="GQ71" s="326"/>
      <c r="GR71" s="326"/>
      <c r="GS71" s="326"/>
      <c r="GT71" s="326"/>
      <c r="GU71" s="326"/>
      <c r="GV71" s="326"/>
      <c r="GW71" s="326"/>
      <c r="GX71" s="326"/>
      <c r="GY71" s="326"/>
      <c r="GZ71" s="326"/>
      <c r="HA71" s="326"/>
      <c r="HB71" s="326"/>
      <c r="HC71" s="326"/>
      <c r="HD71" s="326"/>
      <c r="HE71" s="326"/>
      <c r="HF71" s="326"/>
      <c r="HG71" s="326"/>
      <c r="HH71" s="326"/>
      <c r="HI71" s="326"/>
      <c r="HJ71" s="326"/>
      <c r="HK71" s="326"/>
      <c r="HL71" s="326"/>
      <c r="HM71" s="326"/>
      <c r="HN71" s="326"/>
      <c r="HO71" s="326"/>
      <c r="HP71" s="326"/>
      <c r="HQ71" s="326"/>
      <c r="HR71" s="326"/>
      <c r="HS71" s="326"/>
      <c r="HT71" s="326"/>
      <c r="HU71" s="326"/>
      <c r="HV71" s="326"/>
      <c r="HW71" s="326"/>
      <c r="HX71" s="326"/>
      <c r="HY71" s="326"/>
      <c r="HZ71" s="326"/>
      <c r="IA71" s="326"/>
      <c r="IB71" s="326"/>
      <c r="IC71" s="326"/>
      <c r="ID71" s="326"/>
      <c r="IE71" s="326"/>
      <c r="IF71" s="326"/>
      <c r="IG71" s="326"/>
      <c r="IH71" s="326"/>
      <c r="II71" s="326"/>
      <c r="IJ71" s="326"/>
      <c r="IK71" s="326"/>
      <c r="IL71" s="326"/>
      <c r="IM71" s="326"/>
      <c r="IN71" s="326"/>
      <c r="IO71" s="326"/>
      <c r="IP71" s="326"/>
      <c r="IQ71" s="326"/>
      <c r="IR71" s="326"/>
      <c r="IS71" s="326"/>
      <c r="IT71" s="326"/>
      <c r="IU71" s="326"/>
      <c r="IV71" s="326"/>
    </row>
    <row r="72" spans="1:256" s="555" customFormat="1" ht="18" customHeight="1">
      <c r="A72" s="569">
        <v>63</v>
      </c>
      <c r="B72" s="563"/>
      <c r="C72" s="327"/>
      <c r="D72" s="1194" t="s">
        <v>283</v>
      </c>
      <c r="E72" s="335">
        <f>F72+G72+O73+P72</f>
        <v>18903</v>
      </c>
      <c r="F72" s="559"/>
      <c r="G72" s="336"/>
      <c r="H72" s="766"/>
      <c r="I72" s="781"/>
      <c r="J72" s="777"/>
      <c r="K72" s="777">
        <v>18903</v>
      </c>
      <c r="L72" s="777"/>
      <c r="M72" s="777"/>
      <c r="N72" s="777"/>
      <c r="O72" s="751">
        <f>SUM(I72:N72)</f>
        <v>18903</v>
      </c>
      <c r="P72" s="560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6"/>
      <c r="BE72" s="326"/>
      <c r="BF72" s="326"/>
      <c r="BG72" s="326"/>
      <c r="BH72" s="326"/>
      <c r="BI72" s="326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6"/>
      <c r="BW72" s="326"/>
      <c r="BX72" s="326"/>
      <c r="BY72" s="326"/>
      <c r="BZ72" s="326"/>
      <c r="CA72" s="326"/>
      <c r="CB72" s="326"/>
      <c r="CC72" s="326"/>
      <c r="CD72" s="326"/>
      <c r="CE72" s="326"/>
      <c r="CF72" s="326"/>
      <c r="CG72" s="326"/>
      <c r="CH72" s="326"/>
      <c r="CI72" s="326"/>
      <c r="CJ72" s="326"/>
      <c r="CK72" s="326"/>
      <c r="CL72" s="326"/>
      <c r="CM72" s="326"/>
      <c r="CN72" s="326"/>
      <c r="CO72" s="326"/>
      <c r="CP72" s="326"/>
      <c r="CQ72" s="326"/>
      <c r="CR72" s="326"/>
      <c r="CS72" s="326"/>
      <c r="CT72" s="326"/>
      <c r="CU72" s="326"/>
      <c r="CV72" s="326"/>
      <c r="CW72" s="326"/>
      <c r="CX72" s="326"/>
      <c r="CY72" s="326"/>
      <c r="CZ72" s="326"/>
      <c r="DA72" s="326"/>
      <c r="DB72" s="326"/>
      <c r="DC72" s="326"/>
      <c r="DD72" s="326"/>
      <c r="DE72" s="326"/>
      <c r="DF72" s="326"/>
      <c r="DG72" s="326"/>
      <c r="DH72" s="326"/>
      <c r="DI72" s="326"/>
      <c r="DJ72" s="326"/>
      <c r="DK72" s="326"/>
      <c r="DL72" s="326"/>
      <c r="DM72" s="326"/>
      <c r="DN72" s="326"/>
      <c r="DO72" s="326"/>
      <c r="DP72" s="326"/>
      <c r="DQ72" s="326"/>
      <c r="DR72" s="326"/>
      <c r="DS72" s="326"/>
      <c r="DT72" s="326"/>
      <c r="DU72" s="326"/>
      <c r="DV72" s="326"/>
      <c r="DW72" s="326"/>
      <c r="DX72" s="326"/>
      <c r="DY72" s="326"/>
      <c r="DZ72" s="326"/>
      <c r="EA72" s="326"/>
      <c r="EB72" s="326"/>
      <c r="EC72" s="326"/>
      <c r="ED72" s="326"/>
      <c r="EE72" s="326"/>
      <c r="EF72" s="326"/>
      <c r="EG72" s="326"/>
      <c r="EH72" s="326"/>
      <c r="EI72" s="326"/>
      <c r="EJ72" s="326"/>
      <c r="EK72" s="326"/>
      <c r="EL72" s="326"/>
      <c r="EM72" s="326"/>
      <c r="EN72" s="326"/>
      <c r="EO72" s="326"/>
      <c r="EP72" s="326"/>
      <c r="EQ72" s="326"/>
      <c r="ER72" s="326"/>
      <c r="ES72" s="326"/>
      <c r="ET72" s="326"/>
      <c r="EU72" s="326"/>
      <c r="EV72" s="326"/>
      <c r="EW72" s="326"/>
      <c r="EX72" s="326"/>
      <c r="EY72" s="326"/>
      <c r="EZ72" s="326"/>
      <c r="FA72" s="326"/>
      <c r="FB72" s="326"/>
      <c r="FC72" s="326"/>
      <c r="FD72" s="326"/>
      <c r="FE72" s="326"/>
      <c r="FF72" s="326"/>
      <c r="FG72" s="326"/>
      <c r="FH72" s="326"/>
      <c r="FI72" s="326"/>
      <c r="FJ72" s="326"/>
      <c r="FK72" s="326"/>
      <c r="FL72" s="326"/>
      <c r="FM72" s="326"/>
      <c r="FN72" s="326"/>
      <c r="FO72" s="326"/>
      <c r="FP72" s="326"/>
      <c r="FQ72" s="326"/>
      <c r="FR72" s="326"/>
      <c r="FS72" s="326"/>
      <c r="FT72" s="326"/>
      <c r="FU72" s="326"/>
      <c r="FV72" s="326"/>
      <c r="FW72" s="326"/>
      <c r="FX72" s="326"/>
      <c r="FY72" s="326"/>
      <c r="FZ72" s="326"/>
      <c r="GA72" s="326"/>
      <c r="GB72" s="326"/>
      <c r="GC72" s="326"/>
      <c r="GD72" s="326"/>
      <c r="GE72" s="326"/>
      <c r="GF72" s="326"/>
      <c r="GG72" s="326"/>
      <c r="GH72" s="326"/>
      <c r="GI72" s="326"/>
      <c r="GJ72" s="326"/>
      <c r="GK72" s="326"/>
      <c r="GL72" s="326"/>
      <c r="GM72" s="326"/>
      <c r="GN72" s="326"/>
      <c r="GO72" s="326"/>
      <c r="GP72" s="326"/>
      <c r="GQ72" s="326"/>
      <c r="GR72" s="326"/>
      <c r="GS72" s="326"/>
      <c r="GT72" s="326"/>
      <c r="GU72" s="326"/>
      <c r="GV72" s="326"/>
      <c r="GW72" s="326"/>
      <c r="GX72" s="326"/>
      <c r="GY72" s="326"/>
      <c r="GZ72" s="326"/>
      <c r="HA72" s="326"/>
      <c r="HB72" s="326"/>
      <c r="HC72" s="326"/>
      <c r="HD72" s="326"/>
      <c r="HE72" s="326"/>
      <c r="HF72" s="326"/>
      <c r="HG72" s="326"/>
      <c r="HH72" s="326"/>
      <c r="HI72" s="326"/>
      <c r="HJ72" s="326"/>
      <c r="HK72" s="326"/>
      <c r="HL72" s="326"/>
      <c r="HM72" s="326"/>
      <c r="HN72" s="326"/>
      <c r="HO72" s="326"/>
      <c r="HP72" s="326"/>
      <c r="HQ72" s="326"/>
      <c r="HR72" s="326"/>
      <c r="HS72" s="326"/>
      <c r="HT72" s="326"/>
      <c r="HU72" s="326"/>
      <c r="HV72" s="326"/>
      <c r="HW72" s="326"/>
      <c r="HX72" s="326"/>
      <c r="HY72" s="326"/>
      <c r="HZ72" s="326"/>
      <c r="IA72" s="326"/>
      <c r="IB72" s="326"/>
      <c r="IC72" s="326"/>
      <c r="ID72" s="326"/>
      <c r="IE72" s="326"/>
      <c r="IF72" s="326"/>
      <c r="IG72" s="326"/>
      <c r="IH72" s="326"/>
      <c r="II72" s="326"/>
      <c r="IJ72" s="326"/>
      <c r="IK72" s="326"/>
      <c r="IL72" s="326"/>
      <c r="IM72" s="326"/>
      <c r="IN72" s="326"/>
      <c r="IO72" s="326"/>
      <c r="IP72" s="326"/>
      <c r="IQ72" s="326"/>
      <c r="IR72" s="326"/>
      <c r="IS72" s="326"/>
      <c r="IT72" s="326"/>
      <c r="IU72" s="326"/>
      <c r="IV72" s="326"/>
    </row>
    <row r="73" spans="1:256" s="555" customFormat="1" ht="18" customHeight="1">
      <c r="A73" s="569">
        <v>64</v>
      </c>
      <c r="B73" s="1197"/>
      <c r="C73" s="327"/>
      <c r="D73" s="478" t="s">
        <v>757</v>
      </c>
      <c r="E73" s="1198"/>
      <c r="F73" s="559"/>
      <c r="G73" s="1198"/>
      <c r="H73" s="766"/>
      <c r="I73" s="781"/>
      <c r="J73" s="781"/>
      <c r="K73" s="763">
        <v>18869</v>
      </c>
      <c r="L73" s="763">
        <v>34</v>
      </c>
      <c r="M73" s="763"/>
      <c r="N73" s="763"/>
      <c r="O73" s="564">
        <f>SUM(I73:N73)</f>
        <v>18903</v>
      </c>
      <c r="P73" s="560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6"/>
      <c r="BE73" s="326"/>
      <c r="BF73" s="326"/>
      <c r="BG73" s="326"/>
      <c r="BH73" s="326"/>
      <c r="BI73" s="326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6"/>
      <c r="CA73" s="326"/>
      <c r="CB73" s="326"/>
      <c r="CC73" s="326"/>
      <c r="CD73" s="326"/>
      <c r="CE73" s="326"/>
      <c r="CF73" s="326"/>
      <c r="CG73" s="326"/>
      <c r="CH73" s="326"/>
      <c r="CI73" s="326"/>
      <c r="CJ73" s="326"/>
      <c r="CK73" s="326"/>
      <c r="CL73" s="326"/>
      <c r="CM73" s="326"/>
      <c r="CN73" s="326"/>
      <c r="CO73" s="326"/>
      <c r="CP73" s="326"/>
      <c r="CQ73" s="326"/>
      <c r="CR73" s="326"/>
      <c r="CS73" s="326"/>
      <c r="CT73" s="326"/>
      <c r="CU73" s="326"/>
      <c r="CV73" s="326"/>
      <c r="CW73" s="326"/>
      <c r="CX73" s="326"/>
      <c r="CY73" s="326"/>
      <c r="CZ73" s="326"/>
      <c r="DA73" s="326"/>
      <c r="DB73" s="326"/>
      <c r="DC73" s="326"/>
      <c r="DD73" s="326"/>
      <c r="DE73" s="326"/>
      <c r="DF73" s="326"/>
      <c r="DG73" s="326"/>
      <c r="DH73" s="326"/>
      <c r="DI73" s="326"/>
      <c r="DJ73" s="326"/>
      <c r="DK73" s="326"/>
      <c r="DL73" s="326"/>
      <c r="DM73" s="326"/>
      <c r="DN73" s="326"/>
      <c r="DO73" s="326"/>
      <c r="DP73" s="326"/>
      <c r="DQ73" s="326"/>
      <c r="DR73" s="326"/>
      <c r="DS73" s="326"/>
      <c r="DT73" s="326"/>
      <c r="DU73" s="326"/>
      <c r="DV73" s="326"/>
      <c r="DW73" s="326"/>
      <c r="DX73" s="326"/>
      <c r="DY73" s="326"/>
      <c r="DZ73" s="326"/>
      <c r="EA73" s="326"/>
      <c r="EB73" s="326"/>
      <c r="EC73" s="326"/>
      <c r="ED73" s="326"/>
      <c r="EE73" s="326"/>
      <c r="EF73" s="326"/>
      <c r="EG73" s="326"/>
      <c r="EH73" s="326"/>
      <c r="EI73" s="326"/>
      <c r="EJ73" s="326"/>
      <c r="EK73" s="326"/>
      <c r="EL73" s="326"/>
      <c r="EM73" s="326"/>
      <c r="EN73" s="326"/>
      <c r="EO73" s="326"/>
      <c r="EP73" s="326"/>
      <c r="EQ73" s="326"/>
      <c r="ER73" s="326"/>
      <c r="ES73" s="326"/>
      <c r="ET73" s="326"/>
      <c r="EU73" s="326"/>
      <c r="EV73" s="326"/>
      <c r="EW73" s="326"/>
      <c r="EX73" s="326"/>
      <c r="EY73" s="326"/>
      <c r="EZ73" s="326"/>
      <c r="FA73" s="326"/>
      <c r="FB73" s="326"/>
      <c r="FC73" s="326"/>
      <c r="FD73" s="326"/>
      <c r="FE73" s="326"/>
      <c r="FF73" s="326"/>
      <c r="FG73" s="326"/>
      <c r="FH73" s="326"/>
      <c r="FI73" s="326"/>
      <c r="FJ73" s="326"/>
      <c r="FK73" s="326"/>
      <c r="FL73" s="326"/>
      <c r="FM73" s="326"/>
      <c r="FN73" s="326"/>
      <c r="FO73" s="326"/>
      <c r="FP73" s="326"/>
      <c r="FQ73" s="326"/>
      <c r="FR73" s="326"/>
      <c r="FS73" s="326"/>
      <c r="FT73" s="326"/>
      <c r="FU73" s="326"/>
      <c r="FV73" s="326"/>
      <c r="FW73" s="326"/>
      <c r="FX73" s="326"/>
      <c r="FY73" s="326"/>
      <c r="FZ73" s="326"/>
      <c r="GA73" s="326"/>
      <c r="GB73" s="326"/>
      <c r="GC73" s="326"/>
      <c r="GD73" s="326"/>
      <c r="GE73" s="326"/>
      <c r="GF73" s="326"/>
      <c r="GG73" s="326"/>
      <c r="GH73" s="326"/>
      <c r="GI73" s="326"/>
      <c r="GJ73" s="326"/>
      <c r="GK73" s="326"/>
      <c r="GL73" s="326"/>
      <c r="GM73" s="326"/>
      <c r="GN73" s="326"/>
      <c r="GO73" s="326"/>
      <c r="GP73" s="326"/>
      <c r="GQ73" s="326"/>
      <c r="GR73" s="326"/>
      <c r="GS73" s="326"/>
      <c r="GT73" s="326"/>
      <c r="GU73" s="326"/>
      <c r="GV73" s="326"/>
      <c r="GW73" s="326"/>
      <c r="GX73" s="326"/>
      <c r="GY73" s="326"/>
      <c r="GZ73" s="326"/>
      <c r="HA73" s="326"/>
      <c r="HB73" s="326"/>
      <c r="HC73" s="326"/>
      <c r="HD73" s="326"/>
      <c r="HE73" s="326"/>
      <c r="HF73" s="326"/>
      <c r="HG73" s="326"/>
      <c r="HH73" s="326"/>
      <c r="HI73" s="326"/>
      <c r="HJ73" s="326"/>
      <c r="HK73" s="326"/>
      <c r="HL73" s="326"/>
      <c r="HM73" s="326"/>
      <c r="HN73" s="326"/>
      <c r="HO73" s="326"/>
      <c r="HP73" s="326"/>
      <c r="HQ73" s="326"/>
      <c r="HR73" s="326"/>
      <c r="HS73" s="326"/>
      <c r="HT73" s="326"/>
      <c r="HU73" s="326"/>
      <c r="HV73" s="326"/>
      <c r="HW73" s="326"/>
      <c r="HX73" s="326"/>
      <c r="HY73" s="326"/>
      <c r="HZ73" s="326"/>
      <c r="IA73" s="326"/>
      <c r="IB73" s="326"/>
      <c r="IC73" s="326"/>
      <c r="ID73" s="326"/>
      <c r="IE73" s="326"/>
      <c r="IF73" s="326"/>
      <c r="IG73" s="326"/>
      <c r="IH73" s="326"/>
      <c r="II73" s="326"/>
      <c r="IJ73" s="326"/>
      <c r="IK73" s="326"/>
      <c r="IL73" s="326"/>
      <c r="IM73" s="326"/>
      <c r="IN73" s="326"/>
      <c r="IO73" s="326"/>
      <c r="IP73" s="326"/>
      <c r="IQ73" s="326"/>
      <c r="IR73" s="326"/>
      <c r="IS73" s="326"/>
      <c r="IT73" s="326"/>
      <c r="IU73" s="326"/>
      <c r="IV73" s="326"/>
    </row>
    <row r="74" spans="1:256" s="555" customFormat="1" ht="18" customHeight="1">
      <c r="A74" s="569">
        <v>65</v>
      </c>
      <c r="B74" s="1197"/>
      <c r="C74" s="327"/>
      <c r="D74" s="1090" t="s">
        <v>892</v>
      </c>
      <c r="E74" s="1198"/>
      <c r="F74" s="559"/>
      <c r="G74" s="1198"/>
      <c r="H74" s="766"/>
      <c r="I74" s="781"/>
      <c r="J74" s="781"/>
      <c r="K74" s="1185">
        <v>18869</v>
      </c>
      <c r="L74" s="1185">
        <v>34</v>
      </c>
      <c r="M74" s="1185"/>
      <c r="N74" s="1185"/>
      <c r="O74" s="1723">
        <f aca="true" t="shared" si="0" ref="O74:O80">SUM(I74:N74)</f>
        <v>18903</v>
      </c>
      <c r="P74" s="560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326"/>
      <c r="BE74" s="326"/>
      <c r="BF74" s="326"/>
      <c r="BG74" s="326"/>
      <c r="BH74" s="326"/>
      <c r="BI74" s="326"/>
      <c r="BJ74" s="326"/>
      <c r="BK74" s="326"/>
      <c r="BL74" s="326"/>
      <c r="BM74" s="326"/>
      <c r="BN74" s="326"/>
      <c r="BO74" s="326"/>
      <c r="BP74" s="326"/>
      <c r="BQ74" s="326"/>
      <c r="BR74" s="326"/>
      <c r="BS74" s="326"/>
      <c r="BT74" s="326"/>
      <c r="BU74" s="326"/>
      <c r="BV74" s="326"/>
      <c r="BW74" s="326"/>
      <c r="BX74" s="326"/>
      <c r="BY74" s="326"/>
      <c r="BZ74" s="326"/>
      <c r="CA74" s="326"/>
      <c r="CB74" s="326"/>
      <c r="CC74" s="326"/>
      <c r="CD74" s="326"/>
      <c r="CE74" s="326"/>
      <c r="CF74" s="326"/>
      <c r="CG74" s="326"/>
      <c r="CH74" s="326"/>
      <c r="CI74" s="326"/>
      <c r="CJ74" s="326"/>
      <c r="CK74" s="326"/>
      <c r="CL74" s="326"/>
      <c r="CM74" s="326"/>
      <c r="CN74" s="326"/>
      <c r="CO74" s="326"/>
      <c r="CP74" s="326"/>
      <c r="CQ74" s="326"/>
      <c r="CR74" s="326"/>
      <c r="CS74" s="326"/>
      <c r="CT74" s="326"/>
      <c r="CU74" s="326"/>
      <c r="CV74" s="326"/>
      <c r="CW74" s="326"/>
      <c r="CX74" s="326"/>
      <c r="CY74" s="326"/>
      <c r="CZ74" s="326"/>
      <c r="DA74" s="326"/>
      <c r="DB74" s="326"/>
      <c r="DC74" s="326"/>
      <c r="DD74" s="326"/>
      <c r="DE74" s="326"/>
      <c r="DF74" s="326"/>
      <c r="DG74" s="326"/>
      <c r="DH74" s="326"/>
      <c r="DI74" s="326"/>
      <c r="DJ74" s="326"/>
      <c r="DK74" s="326"/>
      <c r="DL74" s="326"/>
      <c r="DM74" s="326"/>
      <c r="DN74" s="326"/>
      <c r="DO74" s="326"/>
      <c r="DP74" s="326"/>
      <c r="DQ74" s="326"/>
      <c r="DR74" s="326"/>
      <c r="DS74" s="326"/>
      <c r="DT74" s="326"/>
      <c r="DU74" s="326"/>
      <c r="DV74" s="326"/>
      <c r="DW74" s="326"/>
      <c r="DX74" s="326"/>
      <c r="DY74" s="326"/>
      <c r="DZ74" s="326"/>
      <c r="EA74" s="326"/>
      <c r="EB74" s="326"/>
      <c r="EC74" s="326"/>
      <c r="ED74" s="326"/>
      <c r="EE74" s="326"/>
      <c r="EF74" s="326"/>
      <c r="EG74" s="326"/>
      <c r="EH74" s="326"/>
      <c r="EI74" s="326"/>
      <c r="EJ74" s="326"/>
      <c r="EK74" s="326"/>
      <c r="EL74" s="326"/>
      <c r="EM74" s="326"/>
      <c r="EN74" s="326"/>
      <c r="EO74" s="326"/>
      <c r="EP74" s="326"/>
      <c r="EQ74" s="326"/>
      <c r="ER74" s="326"/>
      <c r="ES74" s="326"/>
      <c r="ET74" s="326"/>
      <c r="EU74" s="326"/>
      <c r="EV74" s="326"/>
      <c r="EW74" s="326"/>
      <c r="EX74" s="326"/>
      <c r="EY74" s="326"/>
      <c r="EZ74" s="326"/>
      <c r="FA74" s="326"/>
      <c r="FB74" s="326"/>
      <c r="FC74" s="326"/>
      <c r="FD74" s="326"/>
      <c r="FE74" s="326"/>
      <c r="FF74" s="326"/>
      <c r="FG74" s="326"/>
      <c r="FH74" s="326"/>
      <c r="FI74" s="326"/>
      <c r="FJ74" s="326"/>
      <c r="FK74" s="326"/>
      <c r="FL74" s="326"/>
      <c r="FM74" s="326"/>
      <c r="FN74" s="326"/>
      <c r="FO74" s="326"/>
      <c r="FP74" s="326"/>
      <c r="FQ74" s="326"/>
      <c r="FR74" s="326"/>
      <c r="FS74" s="326"/>
      <c r="FT74" s="326"/>
      <c r="FU74" s="326"/>
      <c r="FV74" s="326"/>
      <c r="FW74" s="326"/>
      <c r="FX74" s="326"/>
      <c r="FY74" s="326"/>
      <c r="FZ74" s="326"/>
      <c r="GA74" s="326"/>
      <c r="GB74" s="326"/>
      <c r="GC74" s="326"/>
      <c r="GD74" s="326"/>
      <c r="GE74" s="326"/>
      <c r="GF74" s="326"/>
      <c r="GG74" s="326"/>
      <c r="GH74" s="326"/>
      <c r="GI74" s="326"/>
      <c r="GJ74" s="326"/>
      <c r="GK74" s="326"/>
      <c r="GL74" s="326"/>
      <c r="GM74" s="326"/>
      <c r="GN74" s="326"/>
      <c r="GO74" s="326"/>
      <c r="GP74" s="326"/>
      <c r="GQ74" s="326"/>
      <c r="GR74" s="326"/>
      <c r="GS74" s="326"/>
      <c r="GT74" s="326"/>
      <c r="GU74" s="326"/>
      <c r="GV74" s="326"/>
      <c r="GW74" s="326"/>
      <c r="GX74" s="326"/>
      <c r="GY74" s="326"/>
      <c r="GZ74" s="326"/>
      <c r="HA74" s="326"/>
      <c r="HB74" s="326"/>
      <c r="HC74" s="326"/>
      <c r="HD74" s="326"/>
      <c r="HE74" s="326"/>
      <c r="HF74" s="326"/>
      <c r="HG74" s="326"/>
      <c r="HH74" s="326"/>
      <c r="HI74" s="326"/>
      <c r="HJ74" s="326"/>
      <c r="HK74" s="326"/>
      <c r="HL74" s="326"/>
      <c r="HM74" s="326"/>
      <c r="HN74" s="326"/>
      <c r="HO74" s="326"/>
      <c r="HP74" s="326"/>
      <c r="HQ74" s="326"/>
      <c r="HR74" s="326"/>
      <c r="HS74" s="326"/>
      <c r="HT74" s="326"/>
      <c r="HU74" s="326"/>
      <c r="HV74" s="326"/>
      <c r="HW74" s="326"/>
      <c r="HX74" s="326"/>
      <c r="HY74" s="326"/>
      <c r="HZ74" s="326"/>
      <c r="IA74" s="326"/>
      <c r="IB74" s="326"/>
      <c r="IC74" s="326"/>
      <c r="ID74" s="326"/>
      <c r="IE74" s="326"/>
      <c r="IF74" s="326"/>
      <c r="IG74" s="326"/>
      <c r="IH74" s="326"/>
      <c r="II74" s="326"/>
      <c r="IJ74" s="326"/>
      <c r="IK74" s="326"/>
      <c r="IL74" s="326"/>
      <c r="IM74" s="326"/>
      <c r="IN74" s="326"/>
      <c r="IO74" s="326"/>
      <c r="IP74" s="326"/>
      <c r="IQ74" s="326"/>
      <c r="IR74" s="326"/>
      <c r="IS74" s="326"/>
      <c r="IT74" s="326"/>
      <c r="IU74" s="326"/>
      <c r="IV74" s="326"/>
    </row>
    <row r="75" spans="1:256" s="555" customFormat="1" ht="33.75">
      <c r="A75" s="569">
        <v>66</v>
      </c>
      <c r="B75" s="1197"/>
      <c r="C75" s="327">
        <v>17</v>
      </c>
      <c r="D75" s="1301" t="s">
        <v>725</v>
      </c>
      <c r="E75" s="335">
        <f>F75+G75+O76+P77</f>
        <v>60000</v>
      </c>
      <c r="F75" s="1300"/>
      <c r="G75" s="1198"/>
      <c r="H75" s="766" t="s">
        <v>23</v>
      </c>
      <c r="I75" s="781"/>
      <c r="J75" s="781"/>
      <c r="K75" s="763"/>
      <c r="L75" s="763"/>
      <c r="M75" s="781"/>
      <c r="N75" s="781"/>
      <c r="O75" s="1295"/>
      <c r="P75" s="560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6"/>
      <c r="BW75" s="326"/>
      <c r="BX75" s="326"/>
      <c r="BY75" s="326"/>
      <c r="BZ75" s="326"/>
      <c r="CA75" s="326"/>
      <c r="CB75" s="326"/>
      <c r="CC75" s="326"/>
      <c r="CD75" s="326"/>
      <c r="CE75" s="326"/>
      <c r="CF75" s="326"/>
      <c r="CG75" s="326"/>
      <c r="CH75" s="326"/>
      <c r="CI75" s="326"/>
      <c r="CJ75" s="326"/>
      <c r="CK75" s="326"/>
      <c r="CL75" s="326"/>
      <c r="CM75" s="326"/>
      <c r="CN75" s="326"/>
      <c r="CO75" s="326"/>
      <c r="CP75" s="326"/>
      <c r="CQ75" s="326"/>
      <c r="CR75" s="326"/>
      <c r="CS75" s="326"/>
      <c r="CT75" s="326"/>
      <c r="CU75" s="326"/>
      <c r="CV75" s="326"/>
      <c r="CW75" s="326"/>
      <c r="CX75" s="326"/>
      <c r="CY75" s="326"/>
      <c r="CZ75" s="326"/>
      <c r="DA75" s="326"/>
      <c r="DB75" s="326"/>
      <c r="DC75" s="326"/>
      <c r="DD75" s="326"/>
      <c r="DE75" s="326"/>
      <c r="DF75" s="326"/>
      <c r="DG75" s="326"/>
      <c r="DH75" s="326"/>
      <c r="DI75" s="326"/>
      <c r="DJ75" s="326"/>
      <c r="DK75" s="326"/>
      <c r="DL75" s="326"/>
      <c r="DM75" s="326"/>
      <c r="DN75" s="326"/>
      <c r="DO75" s="326"/>
      <c r="DP75" s="326"/>
      <c r="DQ75" s="326"/>
      <c r="DR75" s="326"/>
      <c r="DS75" s="326"/>
      <c r="DT75" s="326"/>
      <c r="DU75" s="326"/>
      <c r="DV75" s="326"/>
      <c r="DW75" s="326"/>
      <c r="DX75" s="326"/>
      <c r="DY75" s="326"/>
      <c r="DZ75" s="326"/>
      <c r="EA75" s="326"/>
      <c r="EB75" s="326"/>
      <c r="EC75" s="326"/>
      <c r="ED75" s="326"/>
      <c r="EE75" s="326"/>
      <c r="EF75" s="326"/>
      <c r="EG75" s="326"/>
      <c r="EH75" s="326"/>
      <c r="EI75" s="326"/>
      <c r="EJ75" s="326"/>
      <c r="EK75" s="326"/>
      <c r="EL75" s="326"/>
      <c r="EM75" s="326"/>
      <c r="EN75" s="326"/>
      <c r="EO75" s="326"/>
      <c r="EP75" s="326"/>
      <c r="EQ75" s="326"/>
      <c r="ER75" s="326"/>
      <c r="ES75" s="326"/>
      <c r="ET75" s="326"/>
      <c r="EU75" s="326"/>
      <c r="EV75" s="326"/>
      <c r="EW75" s="326"/>
      <c r="EX75" s="326"/>
      <c r="EY75" s="326"/>
      <c r="EZ75" s="326"/>
      <c r="FA75" s="326"/>
      <c r="FB75" s="326"/>
      <c r="FC75" s="326"/>
      <c r="FD75" s="326"/>
      <c r="FE75" s="326"/>
      <c r="FF75" s="326"/>
      <c r="FG75" s="326"/>
      <c r="FH75" s="326"/>
      <c r="FI75" s="326"/>
      <c r="FJ75" s="326"/>
      <c r="FK75" s="326"/>
      <c r="FL75" s="326"/>
      <c r="FM75" s="326"/>
      <c r="FN75" s="326"/>
      <c r="FO75" s="326"/>
      <c r="FP75" s="326"/>
      <c r="FQ75" s="326"/>
      <c r="FR75" s="326"/>
      <c r="FS75" s="326"/>
      <c r="FT75" s="326"/>
      <c r="FU75" s="326"/>
      <c r="FV75" s="326"/>
      <c r="FW75" s="326"/>
      <c r="FX75" s="326"/>
      <c r="FY75" s="326"/>
      <c r="FZ75" s="326"/>
      <c r="GA75" s="326"/>
      <c r="GB75" s="326"/>
      <c r="GC75" s="326"/>
      <c r="GD75" s="326"/>
      <c r="GE75" s="326"/>
      <c r="GF75" s="326"/>
      <c r="GG75" s="326"/>
      <c r="GH75" s="326"/>
      <c r="GI75" s="326"/>
      <c r="GJ75" s="326"/>
      <c r="GK75" s="326"/>
      <c r="GL75" s="326"/>
      <c r="GM75" s="326"/>
      <c r="GN75" s="326"/>
      <c r="GO75" s="326"/>
      <c r="GP75" s="326"/>
      <c r="GQ75" s="326"/>
      <c r="GR75" s="326"/>
      <c r="GS75" s="326"/>
      <c r="GT75" s="326"/>
      <c r="GU75" s="326"/>
      <c r="GV75" s="326"/>
      <c r="GW75" s="326"/>
      <c r="GX75" s="326"/>
      <c r="GY75" s="326"/>
      <c r="GZ75" s="326"/>
      <c r="HA75" s="326"/>
      <c r="HB75" s="326"/>
      <c r="HC75" s="326"/>
      <c r="HD75" s="326"/>
      <c r="HE75" s="326"/>
      <c r="HF75" s="326"/>
      <c r="HG75" s="326"/>
      <c r="HH75" s="326"/>
      <c r="HI75" s="326"/>
      <c r="HJ75" s="326"/>
      <c r="HK75" s="326"/>
      <c r="HL75" s="326"/>
      <c r="HM75" s="326"/>
      <c r="HN75" s="326"/>
      <c r="HO75" s="326"/>
      <c r="HP75" s="326"/>
      <c r="HQ75" s="326"/>
      <c r="HR75" s="326"/>
      <c r="HS75" s="326"/>
      <c r="HT75" s="326"/>
      <c r="HU75" s="326"/>
      <c r="HV75" s="326"/>
      <c r="HW75" s="326"/>
      <c r="HX75" s="326"/>
      <c r="HY75" s="326"/>
      <c r="HZ75" s="326"/>
      <c r="IA75" s="326"/>
      <c r="IB75" s="326"/>
      <c r="IC75" s="326"/>
      <c r="ID75" s="326"/>
      <c r="IE75" s="326"/>
      <c r="IF75" s="326"/>
      <c r="IG75" s="326"/>
      <c r="IH75" s="326"/>
      <c r="II75" s="326"/>
      <c r="IJ75" s="326"/>
      <c r="IK75" s="326"/>
      <c r="IL75" s="326"/>
      <c r="IM75" s="326"/>
      <c r="IN75" s="326"/>
      <c r="IO75" s="326"/>
      <c r="IP75" s="326"/>
      <c r="IQ75" s="326"/>
      <c r="IR75" s="326"/>
      <c r="IS75" s="326"/>
      <c r="IT75" s="326"/>
      <c r="IU75" s="326"/>
      <c r="IV75" s="326"/>
    </row>
    <row r="76" spans="1:256" s="555" customFormat="1" ht="18" customHeight="1">
      <c r="A76" s="569">
        <v>67</v>
      </c>
      <c r="B76" s="1197"/>
      <c r="C76" s="366"/>
      <c r="D76" s="478" t="s">
        <v>757</v>
      </c>
      <c r="E76" s="335"/>
      <c r="F76" s="1300"/>
      <c r="G76" s="1198"/>
      <c r="H76" s="766"/>
      <c r="I76" s="781"/>
      <c r="J76" s="781"/>
      <c r="K76" s="763"/>
      <c r="L76" s="763"/>
      <c r="M76" s="763">
        <v>60000</v>
      </c>
      <c r="N76" s="781"/>
      <c r="O76" s="564">
        <f t="shared" si="0"/>
        <v>60000</v>
      </c>
      <c r="P76" s="560"/>
      <c r="Q76" s="326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6"/>
      <c r="BW76" s="326"/>
      <c r="BX76" s="326"/>
      <c r="BY76" s="326"/>
      <c r="BZ76" s="326"/>
      <c r="CA76" s="326"/>
      <c r="CB76" s="326"/>
      <c r="CC76" s="326"/>
      <c r="CD76" s="326"/>
      <c r="CE76" s="326"/>
      <c r="CF76" s="326"/>
      <c r="CG76" s="326"/>
      <c r="CH76" s="326"/>
      <c r="CI76" s="326"/>
      <c r="CJ76" s="326"/>
      <c r="CK76" s="326"/>
      <c r="CL76" s="326"/>
      <c r="CM76" s="326"/>
      <c r="CN76" s="326"/>
      <c r="CO76" s="326"/>
      <c r="CP76" s="326"/>
      <c r="CQ76" s="326"/>
      <c r="CR76" s="326"/>
      <c r="CS76" s="326"/>
      <c r="CT76" s="326"/>
      <c r="CU76" s="326"/>
      <c r="CV76" s="326"/>
      <c r="CW76" s="326"/>
      <c r="CX76" s="326"/>
      <c r="CY76" s="326"/>
      <c r="CZ76" s="326"/>
      <c r="DA76" s="326"/>
      <c r="DB76" s="326"/>
      <c r="DC76" s="326"/>
      <c r="DD76" s="326"/>
      <c r="DE76" s="326"/>
      <c r="DF76" s="326"/>
      <c r="DG76" s="326"/>
      <c r="DH76" s="326"/>
      <c r="DI76" s="326"/>
      <c r="DJ76" s="326"/>
      <c r="DK76" s="326"/>
      <c r="DL76" s="326"/>
      <c r="DM76" s="326"/>
      <c r="DN76" s="326"/>
      <c r="DO76" s="326"/>
      <c r="DP76" s="326"/>
      <c r="DQ76" s="326"/>
      <c r="DR76" s="326"/>
      <c r="DS76" s="326"/>
      <c r="DT76" s="326"/>
      <c r="DU76" s="326"/>
      <c r="DV76" s="326"/>
      <c r="DW76" s="326"/>
      <c r="DX76" s="326"/>
      <c r="DY76" s="326"/>
      <c r="DZ76" s="326"/>
      <c r="EA76" s="326"/>
      <c r="EB76" s="326"/>
      <c r="EC76" s="326"/>
      <c r="ED76" s="326"/>
      <c r="EE76" s="326"/>
      <c r="EF76" s="326"/>
      <c r="EG76" s="326"/>
      <c r="EH76" s="326"/>
      <c r="EI76" s="326"/>
      <c r="EJ76" s="326"/>
      <c r="EK76" s="326"/>
      <c r="EL76" s="326"/>
      <c r="EM76" s="326"/>
      <c r="EN76" s="326"/>
      <c r="EO76" s="326"/>
      <c r="EP76" s="326"/>
      <c r="EQ76" s="326"/>
      <c r="ER76" s="326"/>
      <c r="ES76" s="326"/>
      <c r="ET76" s="326"/>
      <c r="EU76" s="326"/>
      <c r="EV76" s="326"/>
      <c r="EW76" s="326"/>
      <c r="EX76" s="326"/>
      <c r="EY76" s="326"/>
      <c r="EZ76" s="326"/>
      <c r="FA76" s="326"/>
      <c r="FB76" s="326"/>
      <c r="FC76" s="326"/>
      <c r="FD76" s="326"/>
      <c r="FE76" s="326"/>
      <c r="FF76" s="326"/>
      <c r="FG76" s="326"/>
      <c r="FH76" s="326"/>
      <c r="FI76" s="326"/>
      <c r="FJ76" s="326"/>
      <c r="FK76" s="326"/>
      <c r="FL76" s="326"/>
      <c r="FM76" s="326"/>
      <c r="FN76" s="326"/>
      <c r="FO76" s="326"/>
      <c r="FP76" s="326"/>
      <c r="FQ76" s="326"/>
      <c r="FR76" s="326"/>
      <c r="FS76" s="326"/>
      <c r="FT76" s="326"/>
      <c r="FU76" s="326"/>
      <c r="FV76" s="326"/>
      <c r="FW76" s="326"/>
      <c r="FX76" s="326"/>
      <c r="FY76" s="326"/>
      <c r="FZ76" s="326"/>
      <c r="GA76" s="326"/>
      <c r="GB76" s="326"/>
      <c r="GC76" s="326"/>
      <c r="GD76" s="326"/>
      <c r="GE76" s="326"/>
      <c r="GF76" s="326"/>
      <c r="GG76" s="326"/>
      <c r="GH76" s="326"/>
      <c r="GI76" s="326"/>
      <c r="GJ76" s="326"/>
      <c r="GK76" s="326"/>
      <c r="GL76" s="326"/>
      <c r="GM76" s="326"/>
      <c r="GN76" s="326"/>
      <c r="GO76" s="326"/>
      <c r="GP76" s="326"/>
      <c r="GQ76" s="326"/>
      <c r="GR76" s="326"/>
      <c r="GS76" s="326"/>
      <c r="GT76" s="326"/>
      <c r="GU76" s="326"/>
      <c r="GV76" s="326"/>
      <c r="GW76" s="326"/>
      <c r="GX76" s="326"/>
      <c r="GY76" s="326"/>
      <c r="GZ76" s="326"/>
      <c r="HA76" s="326"/>
      <c r="HB76" s="326"/>
      <c r="HC76" s="326"/>
      <c r="HD76" s="326"/>
      <c r="HE76" s="326"/>
      <c r="HF76" s="326"/>
      <c r="HG76" s="326"/>
      <c r="HH76" s="326"/>
      <c r="HI76" s="326"/>
      <c r="HJ76" s="326"/>
      <c r="HK76" s="326"/>
      <c r="HL76" s="326"/>
      <c r="HM76" s="326"/>
      <c r="HN76" s="326"/>
      <c r="HO76" s="326"/>
      <c r="HP76" s="326"/>
      <c r="HQ76" s="326"/>
      <c r="HR76" s="326"/>
      <c r="HS76" s="326"/>
      <c r="HT76" s="326"/>
      <c r="HU76" s="326"/>
      <c r="HV76" s="326"/>
      <c r="HW76" s="326"/>
      <c r="HX76" s="326"/>
      <c r="HY76" s="326"/>
      <c r="HZ76" s="326"/>
      <c r="IA76" s="326"/>
      <c r="IB76" s="326"/>
      <c r="IC76" s="326"/>
      <c r="ID76" s="326"/>
      <c r="IE76" s="326"/>
      <c r="IF76" s="326"/>
      <c r="IG76" s="326"/>
      <c r="IH76" s="326"/>
      <c r="II76" s="326"/>
      <c r="IJ76" s="326"/>
      <c r="IK76" s="326"/>
      <c r="IL76" s="326"/>
      <c r="IM76" s="326"/>
      <c r="IN76" s="326"/>
      <c r="IO76" s="326"/>
      <c r="IP76" s="326"/>
      <c r="IQ76" s="326"/>
      <c r="IR76" s="326"/>
      <c r="IS76" s="326"/>
      <c r="IT76" s="326"/>
      <c r="IU76" s="326"/>
      <c r="IV76" s="326"/>
    </row>
    <row r="77" spans="1:256" s="555" customFormat="1" ht="18" customHeight="1">
      <c r="A77" s="569">
        <v>68</v>
      </c>
      <c r="B77" s="1197"/>
      <c r="C77" s="327"/>
      <c r="D77" s="1090" t="s">
        <v>892</v>
      </c>
      <c r="E77" s="335"/>
      <c r="F77" s="1300"/>
      <c r="G77" s="1198"/>
      <c r="H77" s="766"/>
      <c r="I77" s="781"/>
      <c r="J77" s="781"/>
      <c r="K77" s="763"/>
      <c r="L77" s="763"/>
      <c r="M77" s="1185">
        <v>0</v>
      </c>
      <c r="N77" s="1185"/>
      <c r="O77" s="1723">
        <f t="shared" si="0"/>
        <v>0</v>
      </c>
      <c r="P77" s="560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  <c r="BC77" s="326"/>
      <c r="BD77" s="326"/>
      <c r="BE77" s="326"/>
      <c r="BF77" s="326"/>
      <c r="BG77" s="326"/>
      <c r="BH77" s="326"/>
      <c r="BI77" s="326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6"/>
      <c r="BZ77" s="326"/>
      <c r="CA77" s="326"/>
      <c r="CB77" s="326"/>
      <c r="CC77" s="326"/>
      <c r="CD77" s="326"/>
      <c r="CE77" s="326"/>
      <c r="CF77" s="326"/>
      <c r="CG77" s="326"/>
      <c r="CH77" s="326"/>
      <c r="CI77" s="326"/>
      <c r="CJ77" s="326"/>
      <c r="CK77" s="326"/>
      <c r="CL77" s="326"/>
      <c r="CM77" s="326"/>
      <c r="CN77" s="326"/>
      <c r="CO77" s="326"/>
      <c r="CP77" s="326"/>
      <c r="CQ77" s="326"/>
      <c r="CR77" s="326"/>
      <c r="CS77" s="326"/>
      <c r="CT77" s="326"/>
      <c r="CU77" s="326"/>
      <c r="CV77" s="326"/>
      <c r="CW77" s="326"/>
      <c r="CX77" s="326"/>
      <c r="CY77" s="326"/>
      <c r="CZ77" s="326"/>
      <c r="DA77" s="326"/>
      <c r="DB77" s="326"/>
      <c r="DC77" s="326"/>
      <c r="DD77" s="326"/>
      <c r="DE77" s="326"/>
      <c r="DF77" s="326"/>
      <c r="DG77" s="326"/>
      <c r="DH77" s="326"/>
      <c r="DI77" s="326"/>
      <c r="DJ77" s="326"/>
      <c r="DK77" s="326"/>
      <c r="DL77" s="326"/>
      <c r="DM77" s="326"/>
      <c r="DN77" s="326"/>
      <c r="DO77" s="326"/>
      <c r="DP77" s="326"/>
      <c r="DQ77" s="326"/>
      <c r="DR77" s="326"/>
      <c r="DS77" s="326"/>
      <c r="DT77" s="326"/>
      <c r="DU77" s="326"/>
      <c r="DV77" s="326"/>
      <c r="DW77" s="326"/>
      <c r="DX77" s="326"/>
      <c r="DY77" s="326"/>
      <c r="DZ77" s="326"/>
      <c r="EA77" s="326"/>
      <c r="EB77" s="326"/>
      <c r="EC77" s="326"/>
      <c r="ED77" s="326"/>
      <c r="EE77" s="326"/>
      <c r="EF77" s="326"/>
      <c r="EG77" s="326"/>
      <c r="EH77" s="326"/>
      <c r="EI77" s="326"/>
      <c r="EJ77" s="326"/>
      <c r="EK77" s="326"/>
      <c r="EL77" s="326"/>
      <c r="EM77" s="326"/>
      <c r="EN77" s="326"/>
      <c r="EO77" s="326"/>
      <c r="EP77" s="326"/>
      <c r="EQ77" s="326"/>
      <c r="ER77" s="326"/>
      <c r="ES77" s="326"/>
      <c r="ET77" s="326"/>
      <c r="EU77" s="326"/>
      <c r="EV77" s="326"/>
      <c r="EW77" s="326"/>
      <c r="EX77" s="326"/>
      <c r="EY77" s="326"/>
      <c r="EZ77" s="326"/>
      <c r="FA77" s="326"/>
      <c r="FB77" s="326"/>
      <c r="FC77" s="326"/>
      <c r="FD77" s="326"/>
      <c r="FE77" s="326"/>
      <c r="FF77" s="326"/>
      <c r="FG77" s="326"/>
      <c r="FH77" s="326"/>
      <c r="FI77" s="326"/>
      <c r="FJ77" s="326"/>
      <c r="FK77" s="326"/>
      <c r="FL77" s="326"/>
      <c r="FM77" s="326"/>
      <c r="FN77" s="326"/>
      <c r="FO77" s="326"/>
      <c r="FP77" s="326"/>
      <c r="FQ77" s="326"/>
      <c r="FR77" s="326"/>
      <c r="FS77" s="326"/>
      <c r="FT77" s="326"/>
      <c r="FU77" s="326"/>
      <c r="FV77" s="326"/>
      <c r="FW77" s="326"/>
      <c r="FX77" s="326"/>
      <c r="FY77" s="326"/>
      <c r="FZ77" s="326"/>
      <c r="GA77" s="326"/>
      <c r="GB77" s="326"/>
      <c r="GC77" s="326"/>
      <c r="GD77" s="326"/>
      <c r="GE77" s="326"/>
      <c r="GF77" s="326"/>
      <c r="GG77" s="326"/>
      <c r="GH77" s="326"/>
      <c r="GI77" s="326"/>
      <c r="GJ77" s="326"/>
      <c r="GK77" s="326"/>
      <c r="GL77" s="326"/>
      <c r="GM77" s="326"/>
      <c r="GN77" s="326"/>
      <c r="GO77" s="326"/>
      <c r="GP77" s="326"/>
      <c r="GQ77" s="326"/>
      <c r="GR77" s="326"/>
      <c r="GS77" s="326"/>
      <c r="GT77" s="326"/>
      <c r="GU77" s="326"/>
      <c r="GV77" s="326"/>
      <c r="GW77" s="326"/>
      <c r="GX77" s="326"/>
      <c r="GY77" s="326"/>
      <c r="GZ77" s="326"/>
      <c r="HA77" s="326"/>
      <c r="HB77" s="326"/>
      <c r="HC77" s="326"/>
      <c r="HD77" s="326"/>
      <c r="HE77" s="326"/>
      <c r="HF77" s="326"/>
      <c r="HG77" s="326"/>
      <c r="HH77" s="326"/>
      <c r="HI77" s="326"/>
      <c r="HJ77" s="326"/>
      <c r="HK77" s="326"/>
      <c r="HL77" s="326"/>
      <c r="HM77" s="326"/>
      <c r="HN77" s="326"/>
      <c r="HO77" s="326"/>
      <c r="HP77" s="326"/>
      <c r="HQ77" s="326"/>
      <c r="HR77" s="326"/>
      <c r="HS77" s="326"/>
      <c r="HT77" s="326"/>
      <c r="HU77" s="326"/>
      <c r="HV77" s="326"/>
      <c r="HW77" s="326"/>
      <c r="HX77" s="326"/>
      <c r="HY77" s="326"/>
      <c r="HZ77" s="326"/>
      <c r="IA77" s="326"/>
      <c r="IB77" s="326"/>
      <c r="IC77" s="326"/>
      <c r="ID77" s="326"/>
      <c r="IE77" s="326"/>
      <c r="IF77" s="326"/>
      <c r="IG77" s="326"/>
      <c r="IH77" s="326"/>
      <c r="II77" s="326"/>
      <c r="IJ77" s="326"/>
      <c r="IK77" s="326"/>
      <c r="IL77" s="326"/>
      <c r="IM77" s="326"/>
      <c r="IN77" s="326"/>
      <c r="IO77" s="326"/>
      <c r="IP77" s="326"/>
      <c r="IQ77" s="326"/>
      <c r="IR77" s="326"/>
      <c r="IS77" s="326"/>
      <c r="IT77" s="326"/>
      <c r="IU77" s="326"/>
      <c r="IV77" s="326"/>
    </row>
    <row r="78" spans="1:256" s="555" customFormat="1" ht="83.25">
      <c r="A78" s="569">
        <v>69</v>
      </c>
      <c r="B78" s="1197"/>
      <c r="C78" s="327">
        <v>18</v>
      </c>
      <c r="D78" s="1301" t="s">
        <v>719</v>
      </c>
      <c r="E78" s="1302">
        <f>F78+G78+O79+P80</f>
        <v>19000</v>
      </c>
      <c r="F78" s="1300"/>
      <c r="G78" s="1198"/>
      <c r="H78" s="766" t="s">
        <v>23</v>
      </c>
      <c r="I78" s="781"/>
      <c r="J78" s="781"/>
      <c r="K78" s="763"/>
      <c r="L78" s="763"/>
      <c r="M78" s="781"/>
      <c r="N78" s="781"/>
      <c r="O78" s="1295"/>
      <c r="P78" s="560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  <c r="BC78" s="326"/>
      <c r="BD78" s="326"/>
      <c r="BE78" s="326"/>
      <c r="BF78" s="326"/>
      <c r="BG78" s="326"/>
      <c r="BH78" s="326"/>
      <c r="BI78" s="326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6"/>
      <c r="BW78" s="326"/>
      <c r="BX78" s="326"/>
      <c r="BY78" s="326"/>
      <c r="BZ78" s="326"/>
      <c r="CA78" s="326"/>
      <c r="CB78" s="326"/>
      <c r="CC78" s="326"/>
      <c r="CD78" s="326"/>
      <c r="CE78" s="326"/>
      <c r="CF78" s="326"/>
      <c r="CG78" s="326"/>
      <c r="CH78" s="326"/>
      <c r="CI78" s="326"/>
      <c r="CJ78" s="326"/>
      <c r="CK78" s="326"/>
      <c r="CL78" s="326"/>
      <c r="CM78" s="326"/>
      <c r="CN78" s="326"/>
      <c r="CO78" s="326"/>
      <c r="CP78" s="326"/>
      <c r="CQ78" s="326"/>
      <c r="CR78" s="326"/>
      <c r="CS78" s="326"/>
      <c r="CT78" s="326"/>
      <c r="CU78" s="326"/>
      <c r="CV78" s="326"/>
      <c r="CW78" s="326"/>
      <c r="CX78" s="326"/>
      <c r="CY78" s="326"/>
      <c r="CZ78" s="326"/>
      <c r="DA78" s="326"/>
      <c r="DB78" s="326"/>
      <c r="DC78" s="326"/>
      <c r="DD78" s="326"/>
      <c r="DE78" s="326"/>
      <c r="DF78" s="326"/>
      <c r="DG78" s="326"/>
      <c r="DH78" s="326"/>
      <c r="DI78" s="326"/>
      <c r="DJ78" s="326"/>
      <c r="DK78" s="326"/>
      <c r="DL78" s="326"/>
      <c r="DM78" s="326"/>
      <c r="DN78" s="326"/>
      <c r="DO78" s="326"/>
      <c r="DP78" s="326"/>
      <c r="DQ78" s="326"/>
      <c r="DR78" s="326"/>
      <c r="DS78" s="326"/>
      <c r="DT78" s="326"/>
      <c r="DU78" s="326"/>
      <c r="DV78" s="326"/>
      <c r="DW78" s="326"/>
      <c r="DX78" s="326"/>
      <c r="DY78" s="326"/>
      <c r="DZ78" s="326"/>
      <c r="EA78" s="326"/>
      <c r="EB78" s="326"/>
      <c r="EC78" s="326"/>
      <c r="ED78" s="326"/>
      <c r="EE78" s="326"/>
      <c r="EF78" s="326"/>
      <c r="EG78" s="326"/>
      <c r="EH78" s="326"/>
      <c r="EI78" s="326"/>
      <c r="EJ78" s="326"/>
      <c r="EK78" s="326"/>
      <c r="EL78" s="326"/>
      <c r="EM78" s="326"/>
      <c r="EN78" s="326"/>
      <c r="EO78" s="326"/>
      <c r="EP78" s="326"/>
      <c r="EQ78" s="326"/>
      <c r="ER78" s="326"/>
      <c r="ES78" s="326"/>
      <c r="ET78" s="326"/>
      <c r="EU78" s="326"/>
      <c r="EV78" s="326"/>
      <c r="EW78" s="326"/>
      <c r="EX78" s="326"/>
      <c r="EY78" s="326"/>
      <c r="EZ78" s="326"/>
      <c r="FA78" s="326"/>
      <c r="FB78" s="326"/>
      <c r="FC78" s="326"/>
      <c r="FD78" s="326"/>
      <c r="FE78" s="326"/>
      <c r="FF78" s="326"/>
      <c r="FG78" s="326"/>
      <c r="FH78" s="326"/>
      <c r="FI78" s="326"/>
      <c r="FJ78" s="326"/>
      <c r="FK78" s="326"/>
      <c r="FL78" s="326"/>
      <c r="FM78" s="326"/>
      <c r="FN78" s="326"/>
      <c r="FO78" s="326"/>
      <c r="FP78" s="326"/>
      <c r="FQ78" s="326"/>
      <c r="FR78" s="326"/>
      <c r="FS78" s="326"/>
      <c r="FT78" s="326"/>
      <c r="FU78" s="326"/>
      <c r="FV78" s="326"/>
      <c r="FW78" s="326"/>
      <c r="FX78" s="326"/>
      <c r="FY78" s="326"/>
      <c r="FZ78" s="326"/>
      <c r="GA78" s="326"/>
      <c r="GB78" s="326"/>
      <c r="GC78" s="326"/>
      <c r="GD78" s="326"/>
      <c r="GE78" s="326"/>
      <c r="GF78" s="326"/>
      <c r="GG78" s="326"/>
      <c r="GH78" s="326"/>
      <c r="GI78" s="326"/>
      <c r="GJ78" s="326"/>
      <c r="GK78" s="326"/>
      <c r="GL78" s="326"/>
      <c r="GM78" s="326"/>
      <c r="GN78" s="326"/>
      <c r="GO78" s="326"/>
      <c r="GP78" s="326"/>
      <c r="GQ78" s="326"/>
      <c r="GR78" s="326"/>
      <c r="GS78" s="326"/>
      <c r="GT78" s="326"/>
      <c r="GU78" s="326"/>
      <c r="GV78" s="326"/>
      <c r="GW78" s="326"/>
      <c r="GX78" s="326"/>
      <c r="GY78" s="326"/>
      <c r="GZ78" s="326"/>
      <c r="HA78" s="326"/>
      <c r="HB78" s="326"/>
      <c r="HC78" s="326"/>
      <c r="HD78" s="326"/>
      <c r="HE78" s="326"/>
      <c r="HF78" s="326"/>
      <c r="HG78" s="326"/>
      <c r="HH78" s="326"/>
      <c r="HI78" s="326"/>
      <c r="HJ78" s="326"/>
      <c r="HK78" s="326"/>
      <c r="HL78" s="326"/>
      <c r="HM78" s="326"/>
      <c r="HN78" s="326"/>
      <c r="HO78" s="326"/>
      <c r="HP78" s="326"/>
      <c r="HQ78" s="326"/>
      <c r="HR78" s="326"/>
      <c r="HS78" s="326"/>
      <c r="HT78" s="326"/>
      <c r="HU78" s="326"/>
      <c r="HV78" s="326"/>
      <c r="HW78" s="326"/>
      <c r="HX78" s="326"/>
      <c r="HY78" s="326"/>
      <c r="HZ78" s="326"/>
      <c r="IA78" s="326"/>
      <c r="IB78" s="326"/>
      <c r="IC78" s="326"/>
      <c r="ID78" s="326"/>
      <c r="IE78" s="326"/>
      <c r="IF78" s="326"/>
      <c r="IG78" s="326"/>
      <c r="IH78" s="326"/>
      <c r="II78" s="326"/>
      <c r="IJ78" s="326"/>
      <c r="IK78" s="326"/>
      <c r="IL78" s="326"/>
      <c r="IM78" s="326"/>
      <c r="IN78" s="326"/>
      <c r="IO78" s="326"/>
      <c r="IP78" s="326"/>
      <c r="IQ78" s="326"/>
      <c r="IR78" s="326"/>
      <c r="IS78" s="326"/>
      <c r="IT78" s="326"/>
      <c r="IU78" s="326"/>
      <c r="IV78" s="326"/>
    </row>
    <row r="79" spans="1:256" s="555" customFormat="1" ht="18" customHeight="1">
      <c r="A79" s="569">
        <v>70</v>
      </c>
      <c r="B79" s="1197"/>
      <c r="C79" s="327"/>
      <c r="D79" s="478" t="s">
        <v>757</v>
      </c>
      <c r="E79" s="1302"/>
      <c r="F79" s="1300"/>
      <c r="G79" s="1198"/>
      <c r="H79" s="766"/>
      <c r="I79" s="781"/>
      <c r="J79" s="781"/>
      <c r="K79" s="763"/>
      <c r="L79" s="763"/>
      <c r="M79" s="763">
        <v>19000</v>
      </c>
      <c r="N79" s="781"/>
      <c r="O79" s="564">
        <f t="shared" si="0"/>
        <v>19000</v>
      </c>
      <c r="P79" s="560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  <c r="BC79" s="326"/>
      <c r="BD79" s="326"/>
      <c r="BE79" s="326"/>
      <c r="BF79" s="326"/>
      <c r="BG79" s="326"/>
      <c r="BH79" s="326"/>
      <c r="BI79" s="326"/>
      <c r="BJ79" s="326"/>
      <c r="BK79" s="326"/>
      <c r="BL79" s="326"/>
      <c r="BM79" s="326"/>
      <c r="BN79" s="326"/>
      <c r="BO79" s="326"/>
      <c r="BP79" s="326"/>
      <c r="BQ79" s="326"/>
      <c r="BR79" s="326"/>
      <c r="BS79" s="326"/>
      <c r="BT79" s="326"/>
      <c r="BU79" s="326"/>
      <c r="BV79" s="326"/>
      <c r="BW79" s="326"/>
      <c r="BX79" s="326"/>
      <c r="BY79" s="326"/>
      <c r="BZ79" s="326"/>
      <c r="CA79" s="326"/>
      <c r="CB79" s="326"/>
      <c r="CC79" s="326"/>
      <c r="CD79" s="326"/>
      <c r="CE79" s="326"/>
      <c r="CF79" s="326"/>
      <c r="CG79" s="326"/>
      <c r="CH79" s="326"/>
      <c r="CI79" s="326"/>
      <c r="CJ79" s="326"/>
      <c r="CK79" s="326"/>
      <c r="CL79" s="326"/>
      <c r="CM79" s="326"/>
      <c r="CN79" s="326"/>
      <c r="CO79" s="326"/>
      <c r="CP79" s="326"/>
      <c r="CQ79" s="326"/>
      <c r="CR79" s="326"/>
      <c r="CS79" s="326"/>
      <c r="CT79" s="326"/>
      <c r="CU79" s="326"/>
      <c r="CV79" s="326"/>
      <c r="CW79" s="326"/>
      <c r="CX79" s="326"/>
      <c r="CY79" s="326"/>
      <c r="CZ79" s="326"/>
      <c r="DA79" s="326"/>
      <c r="DB79" s="326"/>
      <c r="DC79" s="326"/>
      <c r="DD79" s="326"/>
      <c r="DE79" s="326"/>
      <c r="DF79" s="326"/>
      <c r="DG79" s="326"/>
      <c r="DH79" s="326"/>
      <c r="DI79" s="326"/>
      <c r="DJ79" s="326"/>
      <c r="DK79" s="326"/>
      <c r="DL79" s="326"/>
      <c r="DM79" s="326"/>
      <c r="DN79" s="326"/>
      <c r="DO79" s="326"/>
      <c r="DP79" s="326"/>
      <c r="DQ79" s="326"/>
      <c r="DR79" s="326"/>
      <c r="DS79" s="326"/>
      <c r="DT79" s="326"/>
      <c r="DU79" s="326"/>
      <c r="DV79" s="326"/>
      <c r="DW79" s="326"/>
      <c r="DX79" s="326"/>
      <c r="DY79" s="326"/>
      <c r="DZ79" s="326"/>
      <c r="EA79" s="326"/>
      <c r="EB79" s="326"/>
      <c r="EC79" s="326"/>
      <c r="ED79" s="326"/>
      <c r="EE79" s="326"/>
      <c r="EF79" s="326"/>
      <c r="EG79" s="326"/>
      <c r="EH79" s="326"/>
      <c r="EI79" s="326"/>
      <c r="EJ79" s="326"/>
      <c r="EK79" s="326"/>
      <c r="EL79" s="326"/>
      <c r="EM79" s="326"/>
      <c r="EN79" s="326"/>
      <c r="EO79" s="326"/>
      <c r="EP79" s="326"/>
      <c r="EQ79" s="326"/>
      <c r="ER79" s="326"/>
      <c r="ES79" s="326"/>
      <c r="ET79" s="326"/>
      <c r="EU79" s="326"/>
      <c r="EV79" s="326"/>
      <c r="EW79" s="326"/>
      <c r="EX79" s="326"/>
      <c r="EY79" s="326"/>
      <c r="EZ79" s="326"/>
      <c r="FA79" s="326"/>
      <c r="FB79" s="326"/>
      <c r="FC79" s="326"/>
      <c r="FD79" s="326"/>
      <c r="FE79" s="326"/>
      <c r="FF79" s="326"/>
      <c r="FG79" s="326"/>
      <c r="FH79" s="326"/>
      <c r="FI79" s="326"/>
      <c r="FJ79" s="326"/>
      <c r="FK79" s="326"/>
      <c r="FL79" s="326"/>
      <c r="FM79" s="326"/>
      <c r="FN79" s="326"/>
      <c r="FO79" s="326"/>
      <c r="FP79" s="326"/>
      <c r="FQ79" s="326"/>
      <c r="FR79" s="326"/>
      <c r="FS79" s="326"/>
      <c r="FT79" s="326"/>
      <c r="FU79" s="326"/>
      <c r="FV79" s="326"/>
      <c r="FW79" s="326"/>
      <c r="FX79" s="326"/>
      <c r="FY79" s="326"/>
      <c r="FZ79" s="326"/>
      <c r="GA79" s="326"/>
      <c r="GB79" s="326"/>
      <c r="GC79" s="326"/>
      <c r="GD79" s="326"/>
      <c r="GE79" s="326"/>
      <c r="GF79" s="326"/>
      <c r="GG79" s="326"/>
      <c r="GH79" s="326"/>
      <c r="GI79" s="326"/>
      <c r="GJ79" s="326"/>
      <c r="GK79" s="326"/>
      <c r="GL79" s="326"/>
      <c r="GM79" s="326"/>
      <c r="GN79" s="326"/>
      <c r="GO79" s="326"/>
      <c r="GP79" s="326"/>
      <c r="GQ79" s="326"/>
      <c r="GR79" s="326"/>
      <c r="GS79" s="326"/>
      <c r="GT79" s="326"/>
      <c r="GU79" s="326"/>
      <c r="GV79" s="326"/>
      <c r="GW79" s="326"/>
      <c r="GX79" s="326"/>
      <c r="GY79" s="326"/>
      <c r="GZ79" s="326"/>
      <c r="HA79" s="326"/>
      <c r="HB79" s="326"/>
      <c r="HC79" s="326"/>
      <c r="HD79" s="326"/>
      <c r="HE79" s="326"/>
      <c r="HF79" s="326"/>
      <c r="HG79" s="326"/>
      <c r="HH79" s="326"/>
      <c r="HI79" s="326"/>
      <c r="HJ79" s="326"/>
      <c r="HK79" s="326"/>
      <c r="HL79" s="326"/>
      <c r="HM79" s="326"/>
      <c r="HN79" s="326"/>
      <c r="HO79" s="326"/>
      <c r="HP79" s="326"/>
      <c r="HQ79" s="326"/>
      <c r="HR79" s="326"/>
      <c r="HS79" s="326"/>
      <c r="HT79" s="326"/>
      <c r="HU79" s="326"/>
      <c r="HV79" s="326"/>
      <c r="HW79" s="326"/>
      <c r="HX79" s="326"/>
      <c r="HY79" s="326"/>
      <c r="HZ79" s="326"/>
      <c r="IA79" s="326"/>
      <c r="IB79" s="326"/>
      <c r="IC79" s="326"/>
      <c r="ID79" s="326"/>
      <c r="IE79" s="326"/>
      <c r="IF79" s="326"/>
      <c r="IG79" s="326"/>
      <c r="IH79" s="326"/>
      <c r="II79" s="326"/>
      <c r="IJ79" s="326"/>
      <c r="IK79" s="326"/>
      <c r="IL79" s="326"/>
      <c r="IM79" s="326"/>
      <c r="IN79" s="326"/>
      <c r="IO79" s="326"/>
      <c r="IP79" s="326"/>
      <c r="IQ79" s="326"/>
      <c r="IR79" s="326"/>
      <c r="IS79" s="326"/>
      <c r="IT79" s="326"/>
      <c r="IU79" s="326"/>
      <c r="IV79" s="326"/>
    </row>
    <row r="80" spans="1:256" s="555" customFormat="1" ht="18" customHeight="1" thickBot="1">
      <c r="A80" s="569">
        <v>71</v>
      </c>
      <c r="B80" s="1197"/>
      <c r="C80" s="327"/>
      <c r="D80" s="1090" t="s">
        <v>892</v>
      </c>
      <c r="E80" s="335"/>
      <c r="F80" s="1300"/>
      <c r="G80" s="1198"/>
      <c r="H80" s="766"/>
      <c r="I80" s="781"/>
      <c r="J80" s="781"/>
      <c r="K80" s="763"/>
      <c r="L80" s="763"/>
      <c r="M80" s="1185">
        <v>0</v>
      </c>
      <c r="N80" s="1185"/>
      <c r="O80" s="1723">
        <f t="shared" si="0"/>
        <v>0</v>
      </c>
      <c r="P80" s="560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  <c r="BC80" s="326"/>
      <c r="BD80" s="326"/>
      <c r="BE80" s="326"/>
      <c r="BF80" s="326"/>
      <c r="BG80" s="326"/>
      <c r="BH80" s="326"/>
      <c r="BI80" s="326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6"/>
      <c r="BW80" s="326"/>
      <c r="BX80" s="326"/>
      <c r="BY80" s="326"/>
      <c r="BZ80" s="326"/>
      <c r="CA80" s="326"/>
      <c r="CB80" s="326"/>
      <c r="CC80" s="326"/>
      <c r="CD80" s="326"/>
      <c r="CE80" s="326"/>
      <c r="CF80" s="326"/>
      <c r="CG80" s="326"/>
      <c r="CH80" s="326"/>
      <c r="CI80" s="326"/>
      <c r="CJ80" s="326"/>
      <c r="CK80" s="326"/>
      <c r="CL80" s="326"/>
      <c r="CM80" s="326"/>
      <c r="CN80" s="326"/>
      <c r="CO80" s="326"/>
      <c r="CP80" s="326"/>
      <c r="CQ80" s="326"/>
      <c r="CR80" s="326"/>
      <c r="CS80" s="326"/>
      <c r="CT80" s="326"/>
      <c r="CU80" s="326"/>
      <c r="CV80" s="326"/>
      <c r="CW80" s="326"/>
      <c r="CX80" s="326"/>
      <c r="CY80" s="326"/>
      <c r="CZ80" s="326"/>
      <c r="DA80" s="326"/>
      <c r="DB80" s="326"/>
      <c r="DC80" s="326"/>
      <c r="DD80" s="326"/>
      <c r="DE80" s="326"/>
      <c r="DF80" s="326"/>
      <c r="DG80" s="326"/>
      <c r="DH80" s="326"/>
      <c r="DI80" s="326"/>
      <c r="DJ80" s="326"/>
      <c r="DK80" s="326"/>
      <c r="DL80" s="326"/>
      <c r="DM80" s="326"/>
      <c r="DN80" s="326"/>
      <c r="DO80" s="326"/>
      <c r="DP80" s="326"/>
      <c r="DQ80" s="326"/>
      <c r="DR80" s="326"/>
      <c r="DS80" s="326"/>
      <c r="DT80" s="326"/>
      <c r="DU80" s="326"/>
      <c r="DV80" s="326"/>
      <c r="DW80" s="326"/>
      <c r="DX80" s="326"/>
      <c r="DY80" s="326"/>
      <c r="DZ80" s="326"/>
      <c r="EA80" s="326"/>
      <c r="EB80" s="326"/>
      <c r="EC80" s="326"/>
      <c r="ED80" s="326"/>
      <c r="EE80" s="326"/>
      <c r="EF80" s="326"/>
      <c r="EG80" s="326"/>
      <c r="EH80" s="326"/>
      <c r="EI80" s="326"/>
      <c r="EJ80" s="326"/>
      <c r="EK80" s="326"/>
      <c r="EL80" s="326"/>
      <c r="EM80" s="326"/>
      <c r="EN80" s="326"/>
      <c r="EO80" s="326"/>
      <c r="EP80" s="326"/>
      <c r="EQ80" s="326"/>
      <c r="ER80" s="326"/>
      <c r="ES80" s="326"/>
      <c r="ET80" s="326"/>
      <c r="EU80" s="326"/>
      <c r="EV80" s="326"/>
      <c r="EW80" s="326"/>
      <c r="EX80" s="326"/>
      <c r="EY80" s="326"/>
      <c r="EZ80" s="326"/>
      <c r="FA80" s="326"/>
      <c r="FB80" s="326"/>
      <c r="FC80" s="326"/>
      <c r="FD80" s="326"/>
      <c r="FE80" s="326"/>
      <c r="FF80" s="326"/>
      <c r="FG80" s="326"/>
      <c r="FH80" s="326"/>
      <c r="FI80" s="326"/>
      <c r="FJ80" s="326"/>
      <c r="FK80" s="326"/>
      <c r="FL80" s="326"/>
      <c r="FM80" s="326"/>
      <c r="FN80" s="326"/>
      <c r="FO80" s="326"/>
      <c r="FP80" s="326"/>
      <c r="FQ80" s="326"/>
      <c r="FR80" s="326"/>
      <c r="FS80" s="326"/>
      <c r="FT80" s="326"/>
      <c r="FU80" s="326"/>
      <c r="FV80" s="326"/>
      <c r="FW80" s="326"/>
      <c r="FX80" s="326"/>
      <c r="FY80" s="326"/>
      <c r="FZ80" s="326"/>
      <c r="GA80" s="326"/>
      <c r="GB80" s="326"/>
      <c r="GC80" s="326"/>
      <c r="GD80" s="326"/>
      <c r="GE80" s="326"/>
      <c r="GF80" s="326"/>
      <c r="GG80" s="326"/>
      <c r="GH80" s="326"/>
      <c r="GI80" s="326"/>
      <c r="GJ80" s="326"/>
      <c r="GK80" s="326"/>
      <c r="GL80" s="326"/>
      <c r="GM80" s="326"/>
      <c r="GN80" s="326"/>
      <c r="GO80" s="326"/>
      <c r="GP80" s="326"/>
      <c r="GQ80" s="326"/>
      <c r="GR80" s="326"/>
      <c r="GS80" s="326"/>
      <c r="GT80" s="326"/>
      <c r="GU80" s="326"/>
      <c r="GV80" s="326"/>
      <c r="GW80" s="326"/>
      <c r="GX80" s="326"/>
      <c r="GY80" s="326"/>
      <c r="GZ80" s="326"/>
      <c r="HA80" s="326"/>
      <c r="HB80" s="326"/>
      <c r="HC80" s="326"/>
      <c r="HD80" s="326"/>
      <c r="HE80" s="326"/>
      <c r="HF80" s="326"/>
      <c r="HG80" s="326"/>
      <c r="HH80" s="326"/>
      <c r="HI80" s="326"/>
      <c r="HJ80" s="326"/>
      <c r="HK80" s="326"/>
      <c r="HL80" s="326"/>
      <c r="HM80" s="326"/>
      <c r="HN80" s="326"/>
      <c r="HO80" s="326"/>
      <c r="HP80" s="326"/>
      <c r="HQ80" s="326"/>
      <c r="HR80" s="326"/>
      <c r="HS80" s="326"/>
      <c r="HT80" s="326"/>
      <c r="HU80" s="326"/>
      <c r="HV80" s="326"/>
      <c r="HW80" s="326"/>
      <c r="HX80" s="326"/>
      <c r="HY80" s="326"/>
      <c r="HZ80" s="326"/>
      <c r="IA80" s="326"/>
      <c r="IB80" s="326"/>
      <c r="IC80" s="326"/>
      <c r="ID80" s="326"/>
      <c r="IE80" s="326"/>
      <c r="IF80" s="326"/>
      <c r="IG80" s="326"/>
      <c r="IH80" s="326"/>
      <c r="II80" s="326"/>
      <c r="IJ80" s="326"/>
      <c r="IK80" s="326"/>
      <c r="IL80" s="326"/>
      <c r="IM80" s="326"/>
      <c r="IN80" s="326"/>
      <c r="IO80" s="326"/>
      <c r="IP80" s="326"/>
      <c r="IQ80" s="326"/>
      <c r="IR80" s="326"/>
      <c r="IS80" s="326"/>
      <c r="IT80" s="326"/>
      <c r="IU80" s="326"/>
      <c r="IV80" s="326"/>
    </row>
    <row r="81" spans="1:16" s="330" customFormat="1" ht="19.5" customHeight="1">
      <c r="A81" s="569">
        <v>72</v>
      </c>
      <c r="B81" s="2036" t="s">
        <v>13</v>
      </c>
      <c r="C81" s="2037"/>
      <c r="D81" s="2037"/>
      <c r="E81" s="2037"/>
      <c r="F81" s="2037"/>
      <c r="G81" s="2038"/>
      <c r="H81" s="1199"/>
      <c r="I81" s="1338"/>
      <c r="J81" s="1338"/>
      <c r="K81" s="1338"/>
      <c r="L81" s="1338"/>
      <c r="M81" s="1338"/>
      <c r="N81" s="1338"/>
      <c r="O81" s="1338"/>
      <c r="P81" s="1246">
        <f>SUM(P11:P72)</f>
        <v>12880287</v>
      </c>
    </row>
    <row r="82" spans="1:16" s="330" customFormat="1" ht="19.5" customHeight="1">
      <c r="A82" s="569">
        <v>73</v>
      </c>
      <c r="B82" s="1333"/>
      <c r="C82" s="1334"/>
      <c r="D82" s="2073" t="s">
        <v>283</v>
      </c>
      <c r="E82" s="2074"/>
      <c r="F82" s="2074"/>
      <c r="G82" s="2075"/>
      <c r="H82" s="1335"/>
      <c r="I82" s="1336">
        <f aca="true" t="shared" si="1" ref="I82:N82">I72+I68+I64+I60+I56+I52+I48+I44+I40+I36+I32+I28+I24+I20+I16+I12</f>
        <v>0</v>
      </c>
      <c r="J82" s="1337">
        <f t="shared" si="1"/>
        <v>0</v>
      </c>
      <c r="K82" s="1337">
        <f t="shared" si="1"/>
        <v>209396</v>
      </c>
      <c r="L82" s="1337">
        <f t="shared" si="1"/>
        <v>0</v>
      </c>
      <c r="M82" s="1337">
        <f t="shared" si="1"/>
        <v>16186034</v>
      </c>
      <c r="N82" s="1337">
        <f t="shared" si="1"/>
        <v>40493</v>
      </c>
      <c r="O82" s="808">
        <f>SUM(I82:N82)</f>
        <v>16435923</v>
      </c>
      <c r="P82" s="1342"/>
    </row>
    <row r="83" spans="1:16" s="330" customFormat="1" ht="19.5" customHeight="1">
      <c r="A83" s="569">
        <v>74</v>
      </c>
      <c r="B83" s="1333"/>
      <c r="C83" s="1334"/>
      <c r="D83" s="1819" t="s">
        <v>757</v>
      </c>
      <c r="E83" s="1992"/>
      <c r="F83" s="1992"/>
      <c r="G83" s="1993"/>
      <c r="H83" s="1335"/>
      <c r="I83" s="1452">
        <f aca="true" t="shared" si="2" ref="I83:N83">I73+I69+I65+I61+I57+I53+I49+I45+I41+I37+I33+I29+I25+I21+I17+I13+I79+I76</f>
        <v>0</v>
      </c>
      <c r="J83" s="1452">
        <f t="shared" si="2"/>
        <v>0</v>
      </c>
      <c r="K83" s="1452">
        <f t="shared" si="2"/>
        <v>201012</v>
      </c>
      <c r="L83" s="1452">
        <f t="shared" si="2"/>
        <v>459</v>
      </c>
      <c r="M83" s="1452">
        <f t="shared" si="2"/>
        <v>16271389</v>
      </c>
      <c r="N83" s="1452">
        <f t="shared" si="2"/>
        <v>42063</v>
      </c>
      <c r="O83" s="968">
        <f>SUM(I83:N83)</f>
        <v>16514923</v>
      </c>
      <c r="P83" s="1342"/>
    </row>
    <row r="84" spans="1:16" s="330" customFormat="1" ht="19.5" customHeight="1" thickBot="1">
      <c r="A84" s="569">
        <v>75</v>
      </c>
      <c r="B84" s="1189"/>
      <c r="C84" s="1190"/>
      <c r="D84" s="1942" t="s">
        <v>893</v>
      </c>
      <c r="E84" s="1943"/>
      <c r="F84" s="1943"/>
      <c r="G84" s="1944"/>
      <c r="H84" s="1200"/>
      <c r="I84" s="1728">
        <f aca="true" t="shared" si="3" ref="I84:N84">I74+I70+I66+I62+I58+I54+I50+I46+I42+I38+I34+I30+I26+I22+I18+I14+I77+I80</f>
        <v>0</v>
      </c>
      <c r="J84" s="1728">
        <f t="shared" si="3"/>
        <v>0</v>
      </c>
      <c r="K84" s="1728">
        <f t="shared" si="3"/>
        <v>42982</v>
      </c>
      <c r="L84" s="1728">
        <f t="shared" si="3"/>
        <v>458</v>
      </c>
      <c r="M84" s="1728">
        <f t="shared" si="3"/>
        <v>3116889</v>
      </c>
      <c r="N84" s="1728">
        <f t="shared" si="3"/>
        <v>1570</v>
      </c>
      <c r="O84" s="1729">
        <f>SUM(I84:N84)</f>
        <v>3161899</v>
      </c>
      <c r="P84" s="1247"/>
    </row>
    <row r="85" spans="2:15" ht="18" customHeight="1">
      <c r="B85" s="561" t="s">
        <v>26</v>
      </c>
      <c r="C85" s="562"/>
      <c r="D85" s="561"/>
      <c r="E85" s="337"/>
      <c r="F85" s="338"/>
      <c r="G85" s="337"/>
      <c r="H85" s="548"/>
      <c r="I85" s="337"/>
      <c r="J85" s="337"/>
      <c r="K85" s="337"/>
      <c r="L85" s="337"/>
      <c r="M85" s="337"/>
      <c r="N85" s="337"/>
      <c r="O85" s="571"/>
    </row>
    <row r="86" spans="2:15" ht="18" customHeight="1">
      <c r="B86" s="561" t="s">
        <v>27</v>
      </c>
      <c r="C86" s="562"/>
      <c r="D86" s="561"/>
      <c r="E86" s="466"/>
      <c r="F86" s="338"/>
      <c r="G86" s="337"/>
      <c r="H86" s="548"/>
      <c r="I86" s="337"/>
      <c r="J86" s="337"/>
      <c r="K86" s="337"/>
      <c r="L86" s="337"/>
      <c r="M86" s="337"/>
      <c r="N86" s="337"/>
      <c r="O86" s="571"/>
    </row>
    <row r="87" spans="2:15" ht="18" customHeight="1">
      <c r="B87" s="561" t="s">
        <v>28</v>
      </c>
      <c r="C87" s="562"/>
      <c r="D87" s="561"/>
      <c r="E87" s="466"/>
      <c r="F87" s="338"/>
      <c r="G87" s="337"/>
      <c r="H87" s="548"/>
      <c r="I87" s="337"/>
      <c r="J87" s="337"/>
      <c r="K87" s="337"/>
      <c r="L87" s="337"/>
      <c r="M87" s="337"/>
      <c r="N87" s="337"/>
      <c r="O87" s="571"/>
    </row>
    <row r="88" spans="2:3" ht="17.25">
      <c r="B88" s="334" t="s">
        <v>532</v>
      </c>
      <c r="C88" s="334"/>
    </row>
  </sheetData>
  <sheetProtection/>
  <mergeCells count="21">
    <mergeCell ref="Q7:R7"/>
    <mergeCell ref="I8:L8"/>
    <mergeCell ref="M8:N8"/>
    <mergeCell ref="O8:O9"/>
    <mergeCell ref="B81:G81"/>
    <mergeCell ref="I7:O7"/>
    <mergeCell ref="P7:P9"/>
    <mergeCell ref="C7:C9"/>
    <mergeCell ref="D7:D9"/>
    <mergeCell ref="E7:E9"/>
    <mergeCell ref="F7:F9"/>
    <mergeCell ref="G7:G9"/>
    <mergeCell ref="H7:H9"/>
    <mergeCell ref="B1:M1"/>
    <mergeCell ref="D82:G82"/>
    <mergeCell ref="D84:G84"/>
    <mergeCell ref="I2:P2"/>
    <mergeCell ref="A3:P3"/>
    <mergeCell ref="A4:P4"/>
    <mergeCell ref="B7:B9"/>
    <mergeCell ref="D83:G8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0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5"/>
  <sheetViews>
    <sheetView view="pageBreakPreview" zoomScaleSheetLayoutView="100" zoomScalePageLayoutView="0" workbookViewId="0" topLeftCell="E1">
      <selection activeCell="M141" sqref="M141"/>
    </sheetView>
  </sheetViews>
  <sheetFormatPr defaultColWidth="9.125" defaultRowHeight="12.75"/>
  <cols>
    <col min="1" max="1" width="3.75390625" style="547" customWidth="1"/>
    <col min="2" max="3" width="5.75390625" style="674" customWidth="1"/>
    <col min="4" max="4" width="62.75390625" style="326" customWidth="1"/>
    <col min="5" max="5" width="12.75390625" style="673" customWidth="1"/>
    <col min="6" max="6" width="10.75390625" style="673" customWidth="1"/>
    <col min="7" max="7" width="10.75390625" style="1307" customWidth="1"/>
    <col min="8" max="8" width="6.75390625" style="550" customWidth="1"/>
    <col min="9" max="15" width="14.875" style="673" customWidth="1"/>
    <col min="16" max="16" width="15.75390625" style="570" customWidth="1"/>
    <col min="17" max="17" width="13.875" style="673" customWidth="1"/>
    <col min="18" max="16384" width="9.125" style="326" customWidth="1"/>
  </cols>
  <sheetData>
    <row r="1" spans="2:17" ht="17.25">
      <c r="B1" s="1799" t="s">
        <v>964</v>
      </c>
      <c r="C1" s="1799"/>
      <c r="D1" s="1799"/>
      <c r="E1" s="1799"/>
      <c r="F1" s="1799"/>
      <c r="G1" s="1799"/>
      <c r="H1" s="1799"/>
      <c r="I1" s="1799"/>
      <c r="J1" s="1799"/>
      <c r="K1" s="1799"/>
      <c r="L1" s="1799"/>
      <c r="M1" s="1799"/>
      <c r="N1" s="1298"/>
      <c r="O1" s="1298"/>
      <c r="Q1" s="1298"/>
    </row>
    <row r="2" spans="2:251" ht="18" customHeight="1">
      <c r="B2" s="1299"/>
      <c r="C2" s="1299"/>
      <c r="D2" s="1299"/>
      <c r="E2" s="1299"/>
      <c r="F2" s="1307"/>
      <c r="I2" s="1989"/>
      <c r="J2" s="1989"/>
      <c r="K2" s="1989"/>
      <c r="L2" s="1989"/>
      <c r="M2" s="1989"/>
      <c r="N2" s="1989"/>
      <c r="O2" s="1989"/>
      <c r="P2" s="1989"/>
      <c r="Q2" s="198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549"/>
      <c r="AY2" s="549"/>
      <c r="AZ2" s="549"/>
      <c r="BA2" s="549"/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49"/>
      <c r="BM2" s="549"/>
      <c r="BN2" s="549"/>
      <c r="BO2" s="549"/>
      <c r="BP2" s="549"/>
      <c r="BQ2" s="549"/>
      <c r="BR2" s="549"/>
      <c r="BS2" s="549"/>
      <c r="BT2" s="549"/>
      <c r="BU2" s="549"/>
      <c r="BV2" s="549"/>
      <c r="BW2" s="549"/>
      <c r="BX2" s="549"/>
      <c r="BY2" s="549"/>
      <c r="BZ2" s="549"/>
      <c r="CA2" s="549"/>
      <c r="CB2" s="549"/>
      <c r="CC2" s="549"/>
      <c r="CD2" s="549"/>
      <c r="CE2" s="549"/>
      <c r="CF2" s="549"/>
      <c r="CG2" s="549"/>
      <c r="CH2" s="549"/>
      <c r="CI2" s="549"/>
      <c r="CJ2" s="549"/>
      <c r="CK2" s="549"/>
      <c r="CL2" s="549"/>
      <c r="CM2" s="549"/>
      <c r="CN2" s="549"/>
      <c r="CO2" s="549"/>
      <c r="CP2" s="549"/>
      <c r="CQ2" s="549"/>
      <c r="CR2" s="549"/>
      <c r="CS2" s="549"/>
      <c r="CT2" s="549"/>
      <c r="CU2" s="549"/>
      <c r="CV2" s="549"/>
      <c r="CW2" s="549"/>
      <c r="CX2" s="549"/>
      <c r="CY2" s="549"/>
      <c r="CZ2" s="549"/>
      <c r="DA2" s="549"/>
      <c r="DB2" s="549"/>
      <c r="DC2" s="549"/>
      <c r="DD2" s="549"/>
      <c r="DE2" s="549"/>
      <c r="DF2" s="549"/>
      <c r="DG2" s="549"/>
      <c r="DH2" s="549"/>
      <c r="DI2" s="549"/>
      <c r="DJ2" s="549"/>
      <c r="DK2" s="549"/>
      <c r="DL2" s="549"/>
      <c r="DM2" s="549"/>
      <c r="DN2" s="549"/>
      <c r="DO2" s="549"/>
      <c r="DP2" s="549"/>
      <c r="DQ2" s="549"/>
      <c r="DR2" s="549"/>
      <c r="DS2" s="549"/>
      <c r="DT2" s="549"/>
      <c r="DU2" s="549"/>
      <c r="DV2" s="549"/>
      <c r="DW2" s="549"/>
      <c r="DX2" s="549"/>
      <c r="DY2" s="549"/>
      <c r="DZ2" s="549"/>
      <c r="EA2" s="549"/>
      <c r="EB2" s="549"/>
      <c r="EC2" s="549"/>
      <c r="ED2" s="549"/>
      <c r="EE2" s="549"/>
      <c r="EF2" s="549"/>
      <c r="EG2" s="549"/>
      <c r="EH2" s="549"/>
      <c r="EI2" s="549"/>
      <c r="EJ2" s="549"/>
      <c r="EK2" s="549"/>
      <c r="EL2" s="549"/>
      <c r="EM2" s="549"/>
      <c r="EN2" s="549"/>
      <c r="EO2" s="549"/>
      <c r="EP2" s="549"/>
      <c r="EQ2" s="549"/>
      <c r="ER2" s="549"/>
      <c r="ES2" s="549"/>
      <c r="ET2" s="549"/>
      <c r="EU2" s="549"/>
      <c r="EV2" s="549"/>
      <c r="EW2" s="549"/>
      <c r="EX2" s="549"/>
      <c r="EY2" s="549"/>
      <c r="EZ2" s="549"/>
      <c r="FA2" s="549"/>
      <c r="FB2" s="549"/>
      <c r="FC2" s="549"/>
      <c r="FD2" s="549"/>
      <c r="FE2" s="549"/>
      <c r="FF2" s="549"/>
      <c r="FG2" s="549"/>
      <c r="FH2" s="549"/>
      <c r="FI2" s="549"/>
      <c r="FJ2" s="549"/>
      <c r="FK2" s="549"/>
      <c r="FL2" s="549"/>
      <c r="FM2" s="549"/>
      <c r="FN2" s="549"/>
      <c r="FO2" s="549"/>
      <c r="FP2" s="549"/>
      <c r="FQ2" s="549"/>
      <c r="FR2" s="549"/>
      <c r="FS2" s="549"/>
      <c r="FT2" s="549"/>
      <c r="FU2" s="549"/>
      <c r="FV2" s="549"/>
      <c r="FW2" s="549"/>
      <c r="FX2" s="549"/>
      <c r="FY2" s="549"/>
      <c r="FZ2" s="549"/>
      <c r="GA2" s="549"/>
      <c r="GB2" s="549"/>
      <c r="GC2" s="549"/>
      <c r="GD2" s="549"/>
      <c r="GE2" s="549"/>
      <c r="GF2" s="549"/>
      <c r="GG2" s="549"/>
      <c r="GH2" s="549"/>
      <c r="GI2" s="549"/>
      <c r="GJ2" s="549"/>
      <c r="GK2" s="549"/>
      <c r="GL2" s="549"/>
      <c r="GM2" s="549"/>
      <c r="GN2" s="549"/>
      <c r="GO2" s="549"/>
      <c r="GP2" s="549"/>
      <c r="GQ2" s="549"/>
      <c r="GR2" s="549"/>
      <c r="GS2" s="549"/>
      <c r="GT2" s="549"/>
      <c r="GU2" s="549"/>
      <c r="GV2" s="549"/>
      <c r="GW2" s="549"/>
      <c r="GX2" s="549"/>
      <c r="GY2" s="549"/>
      <c r="GZ2" s="549"/>
      <c r="HA2" s="549"/>
      <c r="HB2" s="549"/>
      <c r="HC2" s="549"/>
      <c r="HD2" s="549"/>
      <c r="HE2" s="549"/>
      <c r="HF2" s="549"/>
      <c r="HG2" s="549"/>
      <c r="HH2" s="549"/>
      <c r="HI2" s="549"/>
      <c r="HJ2" s="549"/>
      <c r="HK2" s="549"/>
      <c r="HL2" s="549"/>
      <c r="HM2" s="549"/>
      <c r="HN2" s="549"/>
      <c r="HO2" s="549"/>
      <c r="HP2" s="549"/>
      <c r="HQ2" s="549"/>
      <c r="HR2" s="549"/>
      <c r="HS2" s="549"/>
      <c r="HT2" s="549"/>
      <c r="HU2" s="549"/>
      <c r="HV2" s="549"/>
      <c r="HW2" s="549"/>
      <c r="HX2" s="549"/>
      <c r="HY2" s="549"/>
      <c r="HZ2" s="549"/>
      <c r="IA2" s="549"/>
      <c r="IB2" s="549"/>
      <c r="IC2" s="549"/>
      <c r="ID2" s="549"/>
      <c r="IE2" s="549"/>
      <c r="IF2" s="549"/>
      <c r="IG2" s="549"/>
      <c r="IH2" s="549"/>
      <c r="II2" s="549"/>
      <c r="IJ2" s="549"/>
      <c r="IK2" s="549"/>
      <c r="IL2" s="549"/>
      <c r="IM2" s="549"/>
      <c r="IN2" s="549"/>
      <c r="IO2" s="549"/>
      <c r="IP2" s="549"/>
      <c r="IQ2" s="549"/>
    </row>
    <row r="3" spans="1:17" ht="24.75" customHeight="1">
      <c r="A3" s="1998" t="s">
        <v>14</v>
      </c>
      <c r="B3" s="1998"/>
      <c r="C3" s="1998"/>
      <c r="D3" s="1998"/>
      <c r="E3" s="1998"/>
      <c r="F3" s="1998"/>
      <c r="G3" s="1998"/>
      <c r="H3" s="1998"/>
      <c r="I3" s="1998"/>
      <c r="J3" s="1998"/>
      <c r="K3" s="1998"/>
      <c r="L3" s="1998"/>
      <c r="M3" s="1998"/>
      <c r="N3" s="1998"/>
      <c r="O3" s="1998"/>
      <c r="P3" s="1998"/>
      <c r="Q3" s="1998"/>
    </row>
    <row r="4" spans="1:17" ht="24.75" customHeight="1">
      <c r="A4" s="2055" t="s">
        <v>902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</row>
    <row r="5" spans="1:17" s="738" customFormat="1" ht="18" customHeight="1">
      <c r="A5" s="547"/>
      <c r="B5" s="547"/>
      <c r="C5" s="547"/>
      <c r="E5" s="506"/>
      <c r="F5" s="506"/>
      <c r="G5" s="506"/>
      <c r="H5" s="739"/>
      <c r="I5" s="506"/>
      <c r="J5" s="506"/>
      <c r="K5" s="506"/>
      <c r="L5" s="506"/>
      <c r="M5" s="506"/>
      <c r="N5" s="506"/>
      <c r="O5" s="506"/>
      <c r="P5" s="740"/>
      <c r="Q5" s="512" t="s">
        <v>0</v>
      </c>
    </row>
    <row r="6" spans="1:251" s="744" customFormat="1" ht="18" customHeight="1" thickBot="1">
      <c r="A6" s="741"/>
      <c r="B6" s="742" t="s">
        <v>1</v>
      </c>
      <c r="C6" s="743" t="s">
        <v>3</v>
      </c>
      <c r="D6" s="743" t="s">
        <v>2</v>
      </c>
      <c r="E6" s="743" t="s">
        <v>4</v>
      </c>
      <c r="F6" s="743" t="s">
        <v>5</v>
      </c>
      <c r="G6" s="743" t="s">
        <v>15</v>
      </c>
      <c r="H6" s="743" t="s">
        <v>16</v>
      </c>
      <c r="I6" s="743" t="s">
        <v>17</v>
      </c>
      <c r="J6" s="743" t="s">
        <v>33</v>
      </c>
      <c r="K6" s="743" t="s">
        <v>29</v>
      </c>
      <c r="L6" s="743" t="s">
        <v>22</v>
      </c>
      <c r="M6" s="743" t="s">
        <v>34</v>
      </c>
      <c r="N6" s="743" t="s">
        <v>35</v>
      </c>
      <c r="O6" s="743" t="s">
        <v>145</v>
      </c>
      <c r="P6" s="743" t="s">
        <v>146</v>
      </c>
      <c r="Q6" s="743" t="s">
        <v>147</v>
      </c>
      <c r="R6" s="741"/>
      <c r="S6" s="741"/>
      <c r="T6" s="741"/>
      <c r="U6" s="741"/>
      <c r="V6" s="741"/>
      <c r="W6" s="741"/>
      <c r="X6" s="741"/>
      <c r="Y6" s="741"/>
      <c r="Z6" s="741"/>
      <c r="AA6" s="741"/>
      <c r="AB6" s="741"/>
      <c r="AC6" s="741"/>
      <c r="AD6" s="741"/>
      <c r="AE6" s="741"/>
      <c r="AF6" s="741"/>
      <c r="AG6" s="741"/>
      <c r="AH6" s="741"/>
      <c r="AI6" s="741"/>
      <c r="AJ6" s="741"/>
      <c r="AK6" s="741"/>
      <c r="AL6" s="741"/>
      <c r="AM6" s="741"/>
      <c r="AN6" s="741"/>
      <c r="AO6" s="741"/>
      <c r="AP6" s="741"/>
      <c r="AQ6" s="741"/>
      <c r="AR6" s="741"/>
      <c r="AS6" s="741"/>
      <c r="AT6" s="741"/>
      <c r="AU6" s="741"/>
      <c r="AV6" s="741"/>
      <c r="AW6" s="741"/>
      <c r="AX6" s="741"/>
      <c r="AY6" s="741"/>
      <c r="AZ6" s="741"/>
      <c r="BA6" s="741"/>
      <c r="BB6" s="741"/>
      <c r="BC6" s="741"/>
      <c r="BD6" s="741"/>
      <c r="BE6" s="741"/>
      <c r="BF6" s="741"/>
      <c r="BG6" s="741"/>
      <c r="BH6" s="741"/>
      <c r="BI6" s="741"/>
      <c r="BJ6" s="741"/>
      <c r="BK6" s="741"/>
      <c r="BL6" s="741"/>
      <c r="BM6" s="741"/>
      <c r="BN6" s="741"/>
      <c r="BO6" s="741"/>
      <c r="BP6" s="741"/>
      <c r="BQ6" s="741"/>
      <c r="BR6" s="741"/>
      <c r="BS6" s="741"/>
      <c r="BT6" s="741"/>
      <c r="BU6" s="741"/>
      <c r="BV6" s="741"/>
      <c r="BW6" s="741"/>
      <c r="BX6" s="741"/>
      <c r="BY6" s="741"/>
      <c r="BZ6" s="741"/>
      <c r="CA6" s="741"/>
      <c r="CB6" s="741"/>
      <c r="CC6" s="741"/>
      <c r="CD6" s="741"/>
      <c r="CE6" s="741"/>
      <c r="CF6" s="741"/>
      <c r="CG6" s="741"/>
      <c r="CH6" s="741"/>
      <c r="CI6" s="741"/>
      <c r="CJ6" s="741"/>
      <c r="CK6" s="741"/>
      <c r="CL6" s="741"/>
      <c r="CM6" s="741"/>
      <c r="CN6" s="741"/>
      <c r="CO6" s="741"/>
      <c r="CP6" s="741"/>
      <c r="CQ6" s="741"/>
      <c r="CR6" s="741"/>
      <c r="CS6" s="741"/>
      <c r="CT6" s="741"/>
      <c r="CU6" s="741"/>
      <c r="CV6" s="741"/>
      <c r="CW6" s="741"/>
      <c r="CX6" s="741"/>
      <c r="CY6" s="741"/>
      <c r="CZ6" s="741"/>
      <c r="DA6" s="741"/>
      <c r="DB6" s="741"/>
      <c r="DC6" s="741"/>
      <c r="DD6" s="741"/>
      <c r="DE6" s="741"/>
      <c r="DF6" s="741"/>
      <c r="DG6" s="741"/>
      <c r="DH6" s="741"/>
      <c r="DI6" s="741"/>
      <c r="DJ6" s="741"/>
      <c r="DK6" s="741"/>
      <c r="DL6" s="741"/>
      <c r="DM6" s="741"/>
      <c r="DN6" s="741"/>
      <c r="DO6" s="741"/>
      <c r="DP6" s="741"/>
      <c r="DQ6" s="741"/>
      <c r="DR6" s="741"/>
      <c r="DS6" s="741"/>
      <c r="DT6" s="741"/>
      <c r="DU6" s="741"/>
      <c r="DV6" s="741"/>
      <c r="DW6" s="741"/>
      <c r="DX6" s="741"/>
      <c r="DY6" s="741"/>
      <c r="DZ6" s="741"/>
      <c r="EA6" s="741"/>
      <c r="EB6" s="741"/>
      <c r="EC6" s="741"/>
      <c r="ED6" s="741"/>
      <c r="EE6" s="741"/>
      <c r="EF6" s="741"/>
      <c r="EG6" s="741"/>
      <c r="EH6" s="741"/>
      <c r="EI6" s="741"/>
      <c r="EJ6" s="741"/>
      <c r="EK6" s="741"/>
      <c r="EL6" s="741"/>
      <c r="EM6" s="741"/>
      <c r="EN6" s="741"/>
      <c r="EO6" s="741"/>
      <c r="EP6" s="741"/>
      <c r="EQ6" s="741"/>
      <c r="ER6" s="741"/>
      <c r="ES6" s="741"/>
      <c r="ET6" s="741"/>
      <c r="EU6" s="741"/>
      <c r="EV6" s="741"/>
      <c r="EW6" s="741"/>
      <c r="EX6" s="741"/>
      <c r="EY6" s="741"/>
      <c r="EZ6" s="741"/>
      <c r="FA6" s="741"/>
      <c r="FB6" s="741"/>
      <c r="FC6" s="741"/>
      <c r="FD6" s="741"/>
      <c r="FE6" s="741"/>
      <c r="FF6" s="741"/>
      <c r="FG6" s="741"/>
      <c r="FH6" s="741"/>
      <c r="FI6" s="741"/>
      <c r="FJ6" s="741"/>
      <c r="FK6" s="741"/>
      <c r="FL6" s="741"/>
      <c r="FM6" s="741"/>
      <c r="FN6" s="741"/>
      <c r="FO6" s="741"/>
      <c r="FP6" s="741"/>
      <c r="FQ6" s="741"/>
      <c r="FR6" s="741"/>
      <c r="FS6" s="741"/>
      <c r="FT6" s="741"/>
      <c r="FU6" s="741"/>
      <c r="FV6" s="741"/>
      <c r="FW6" s="741"/>
      <c r="FX6" s="741"/>
      <c r="FY6" s="741"/>
      <c r="FZ6" s="741"/>
      <c r="GA6" s="741"/>
      <c r="GB6" s="741"/>
      <c r="GC6" s="741"/>
      <c r="GD6" s="741"/>
      <c r="GE6" s="741"/>
      <c r="GF6" s="741"/>
      <c r="GG6" s="741"/>
      <c r="GH6" s="741"/>
      <c r="GI6" s="741"/>
      <c r="GJ6" s="741"/>
      <c r="GK6" s="741"/>
      <c r="GL6" s="741"/>
      <c r="GM6" s="741"/>
      <c r="GN6" s="741"/>
      <c r="GO6" s="741"/>
      <c r="GP6" s="741"/>
      <c r="GQ6" s="741"/>
      <c r="GR6" s="741"/>
      <c r="GS6" s="741"/>
      <c r="GT6" s="741"/>
      <c r="GU6" s="741"/>
      <c r="GV6" s="741"/>
      <c r="GW6" s="741"/>
      <c r="GX6" s="741"/>
      <c r="GY6" s="741"/>
      <c r="GZ6" s="741"/>
      <c r="HA6" s="741"/>
      <c r="HB6" s="741"/>
      <c r="HC6" s="741"/>
      <c r="HD6" s="741"/>
      <c r="HE6" s="741"/>
      <c r="HF6" s="741"/>
      <c r="HG6" s="741"/>
      <c r="HH6" s="741"/>
      <c r="HI6" s="741"/>
      <c r="HJ6" s="741"/>
      <c r="HK6" s="741"/>
      <c r="HL6" s="741"/>
      <c r="HM6" s="741"/>
      <c r="HN6" s="741"/>
      <c r="HO6" s="741"/>
      <c r="HP6" s="741"/>
      <c r="HQ6" s="741"/>
      <c r="HR6" s="741"/>
      <c r="HS6" s="741"/>
      <c r="HT6" s="741"/>
      <c r="HU6" s="741"/>
      <c r="HV6" s="741"/>
      <c r="HW6" s="741"/>
      <c r="HX6" s="741"/>
      <c r="HY6" s="741"/>
      <c r="HZ6" s="741"/>
      <c r="IA6" s="741"/>
      <c r="IB6" s="741"/>
      <c r="IC6" s="741"/>
      <c r="ID6" s="741"/>
      <c r="IE6" s="741"/>
      <c r="IF6" s="741"/>
      <c r="IG6" s="741"/>
      <c r="IH6" s="741"/>
      <c r="II6" s="741"/>
      <c r="IJ6" s="741"/>
      <c r="IK6" s="741"/>
      <c r="IL6" s="741"/>
      <c r="IM6" s="741"/>
      <c r="IN6" s="741"/>
      <c r="IO6" s="741"/>
      <c r="IP6" s="741"/>
      <c r="IQ6" s="741"/>
    </row>
    <row r="7" spans="2:19" ht="22.5" customHeight="1">
      <c r="B7" s="2049" t="s">
        <v>18</v>
      </c>
      <c r="C7" s="2039" t="s">
        <v>19</v>
      </c>
      <c r="D7" s="2056" t="s">
        <v>6</v>
      </c>
      <c r="E7" s="2052" t="s">
        <v>416</v>
      </c>
      <c r="F7" s="2052" t="s">
        <v>595</v>
      </c>
      <c r="G7" s="2059" t="s">
        <v>724</v>
      </c>
      <c r="H7" s="2018" t="s">
        <v>20</v>
      </c>
      <c r="I7" s="2062" t="s">
        <v>536</v>
      </c>
      <c r="J7" s="2052"/>
      <c r="K7" s="2052"/>
      <c r="L7" s="2052"/>
      <c r="M7" s="2052"/>
      <c r="N7" s="2052"/>
      <c r="O7" s="2052"/>
      <c r="P7" s="2063"/>
      <c r="Q7" s="2064" t="s">
        <v>589</v>
      </c>
      <c r="R7" s="2048"/>
      <c r="S7" s="2048"/>
    </row>
    <row r="8" spans="2:17" ht="33" customHeight="1">
      <c r="B8" s="2050"/>
      <c r="C8" s="2040"/>
      <c r="D8" s="2057"/>
      <c r="E8" s="2053"/>
      <c r="F8" s="2053"/>
      <c r="G8" s="2060"/>
      <c r="H8" s="2019"/>
      <c r="I8" s="2067" t="s">
        <v>418</v>
      </c>
      <c r="J8" s="2068"/>
      <c r="K8" s="2069"/>
      <c r="L8" s="2069"/>
      <c r="M8" s="2070" t="s">
        <v>148</v>
      </c>
      <c r="N8" s="2070"/>
      <c r="O8" s="2070"/>
      <c r="P8" s="2071" t="s">
        <v>115</v>
      </c>
      <c r="Q8" s="2065"/>
    </row>
    <row r="9" spans="2:17" ht="53.25" customHeight="1" thickBot="1">
      <c r="B9" s="2051"/>
      <c r="C9" s="2041"/>
      <c r="D9" s="2058"/>
      <c r="E9" s="2054"/>
      <c r="F9" s="2054"/>
      <c r="G9" s="2061"/>
      <c r="H9" s="2020"/>
      <c r="I9" s="761" t="s">
        <v>37</v>
      </c>
      <c r="J9" s="551" t="s">
        <v>413</v>
      </c>
      <c r="K9" s="552" t="s">
        <v>39</v>
      </c>
      <c r="L9" s="552" t="s">
        <v>415</v>
      </c>
      <c r="M9" s="551" t="s">
        <v>213</v>
      </c>
      <c r="N9" s="551" t="s">
        <v>214</v>
      </c>
      <c r="O9" s="551" t="s">
        <v>149</v>
      </c>
      <c r="P9" s="2072"/>
      <c r="Q9" s="2066"/>
    </row>
    <row r="10" spans="1:256" s="555" customFormat="1" ht="22.5" customHeight="1">
      <c r="A10" s="569">
        <v>1</v>
      </c>
      <c r="B10" s="553">
        <v>18</v>
      </c>
      <c r="C10" s="565" t="s">
        <v>14</v>
      </c>
      <c r="D10" s="750"/>
      <c r="E10" s="333"/>
      <c r="F10" s="331"/>
      <c r="G10" s="332"/>
      <c r="H10" s="765"/>
      <c r="I10" s="762"/>
      <c r="J10" s="572"/>
      <c r="K10" s="572"/>
      <c r="L10" s="572"/>
      <c r="M10" s="572"/>
      <c r="N10" s="572"/>
      <c r="O10" s="572"/>
      <c r="P10" s="554"/>
      <c r="Q10" s="557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6"/>
      <c r="DR10" s="326"/>
      <c r="DS10" s="326"/>
      <c r="DT10" s="326"/>
      <c r="DU10" s="326"/>
      <c r="DV10" s="326"/>
      <c r="DW10" s="326"/>
      <c r="DX10" s="326"/>
      <c r="DY10" s="326"/>
      <c r="DZ10" s="326"/>
      <c r="EA10" s="326"/>
      <c r="EB10" s="326"/>
      <c r="EC10" s="326"/>
      <c r="ED10" s="326"/>
      <c r="EE10" s="326"/>
      <c r="EF10" s="326"/>
      <c r="EG10" s="326"/>
      <c r="EH10" s="326"/>
      <c r="EI10" s="326"/>
      <c r="EJ10" s="326"/>
      <c r="EK10" s="326"/>
      <c r="EL10" s="326"/>
      <c r="EM10" s="326"/>
      <c r="EN10" s="326"/>
      <c r="EO10" s="326"/>
      <c r="EP10" s="326"/>
      <c r="EQ10" s="326"/>
      <c r="ER10" s="326"/>
      <c r="ES10" s="326"/>
      <c r="ET10" s="326"/>
      <c r="EU10" s="326"/>
      <c r="EV10" s="326"/>
      <c r="EW10" s="326"/>
      <c r="EX10" s="326"/>
      <c r="EY10" s="326"/>
      <c r="EZ10" s="326"/>
      <c r="FA10" s="326"/>
      <c r="FB10" s="326"/>
      <c r="FC10" s="326"/>
      <c r="FD10" s="326"/>
      <c r="FE10" s="326"/>
      <c r="FF10" s="326"/>
      <c r="FG10" s="326"/>
      <c r="FH10" s="326"/>
      <c r="FI10" s="326"/>
      <c r="FJ10" s="326"/>
      <c r="FK10" s="326"/>
      <c r="FL10" s="326"/>
      <c r="FM10" s="326"/>
      <c r="FN10" s="326"/>
      <c r="FO10" s="326"/>
      <c r="FP10" s="326"/>
      <c r="FQ10" s="326"/>
      <c r="FR10" s="326"/>
      <c r="FS10" s="326"/>
      <c r="FT10" s="326"/>
      <c r="FU10" s="326"/>
      <c r="FV10" s="326"/>
      <c r="FW10" s="326"/>
      <c r="FX10" s="326"/>
      <c r="FY10" s="326"/>
      <c r="FZ10" s="326"/>
      <c r="GA10" s="326"/>
      <c r="GB10" s="326"/>
      <c r="GC10" s="326"/>
      <c r="GD10" s="326"/>
      <c r="GE10" s="326"/>
      <c r="GF10" s="326"/>
      <c r="GG10" s="326"/>
      <c r="GH10" s="326"/>
      <c r="GI10" s="326"/>
      <c r="GJ10" s="326"/>
      <c r="GK10" s="326"/>
      <c r="GL10" s="326"/>
      <c r="GM10" s="326"/>
      <c r="GN10" s="326"/>
      <c r="GO10" s="326"/>
      <c r="GP10" s="326"/>
      <c r="GQ10" s="326"/>
      <c r="GR10" s="326"/>
      <c r="GS10" s="326"/>
      <c r="GT10" s="326"/>
      <c r="GU10" s="326"/>
      <c r="GV10" s="326"/>
      <c r="GW10" s="326"/>
      <c r="GX10" s="326"/>
      <c r="GY10" s="326"/>
      <c r="GZ10" s="326"/>
      <c r="HA10" s="326"/>
      <c r="HB10" s="326"/>
      <c r="HC10" s="326"/>
      <c r="HD10" s="326"/>
      <c r="HE10" s="326"/>
      <c r="HF10" s="326"/>
      <c r="HG10" s="326"/>
      <c r="HH10" s="326"/>
      <c r="HI10" s="326"/>
      <c r="HJ10" s="326"/>
      <c r="HK10" s="326"/>
      <c r="HL10" s="326"/>
      <c r="HM10" s="326"/>
      <c r="HN10" s="326"/>
      <c r="HO10" s="326"/>
      <c r="HP10" s="326"/>
      <c r="HQ10" s="326"/>
      <c r="HR10" s="326"/>
      <c r="HS10" s="326"/>
      <c r="HT10" s="326"/>
      <c r="HU10" s="326"/>
      <c r="HV10" s="326"/>
      <c r="HW10" s="326"/>
      <c r="HX10" s="326"/>
      <c r="HY10" s="326"/>
      <c r="HZ10" s="326"/>
      <c r="IA10" s="326"/>
      <c r="IB10" s="326"/>
      <c r="IC10" s="326"/>
      <c r="ID10" s="326"/>
      <c r="IE10" s="326"/>
      <c r="IF10" s="326"/>
      <c r="IG10" s="326"/>
      <c r="IH10" s="326"/>
      <c r="II10" s="326"/>
      <c r="IJ10" s="326"/>
      <c r="IK10" s="326"/>
      <c r="IL10" s="326"/>
      <c r="IM10" s="326"/>
      <c r="IN10" s="326"/>
      <c r="IO10" s="326"/>
      <c r="IP10" s="326"/>
      <c r="IQ10" s="326"/>
      <c r="IR10" s="326"/>
      <c r="IS10" s="326"/>
      <c r="IT10" s="326"/>
      <c r="IU10" s="326"/>
      <c r="IV10" s="326"/>
    </row>
    <row r="11" spans="1:256" s="555" customFormat="1" ht="24.75" customHeight="1">
      <c r="A11" s="569">
        <v>2</v>
      </c>
      <c r="B11" s="553"/>
      <c r="C11" s="802">
        <v>1</v>
      </c>
      <c r="D11" s="791" t="s">
        <v>464</v>
      </c>
      <c r="E11" s="333"/>
      <c r="F11" s="331"/>
      <c r="G11" s="332"/>
      <c r="H11" s="765" t="s">
        <v>23</v>
      </c>
      <c r="I11" s="556"/>
      <c r="J11" s="556"/>
      <c r="K11" s="556"/>
      <c r="L11" s="556"/>
      <c r="M11" s="556"/>
      <c r="N11" s="556"/>
      <c r="O11" s="556"/>
      <c r="P11" s="564"/>
      <c r="Q11" s="557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6"/>
      <c r="EF11" s="326"/>
      <c r="EG11" s="326"/>
      <c r="EH11" s="326"/>
      <c r="EI11" s="326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/>
      <c r="EU11" s="326"/>
      <c r="EV11" s="326"/>
      <c r="EW11" s="326"/>
      <c r="EX11" s="326"/>
      <c r="EY11" s="326"/>
      <c r="EZ11" s="326"/>
      <c r="FA11" s="326"/>
      <c r="FB11" s="326"/>
      <c r="FC11" s="326"/>
      <c r="FD11" s="326"/>
      <c r="FE11" s="326"/>
      <c r="FF11" s="326"/>
      <c r="FG11" s="326"/>
      <c r="FH11" s="326"/>
      <c r="FI11" s="326"/>
      <c r="FJ11" s="326"/>
      <c r="FK11" s="326"/>
      <c r="FL11" s="326"/>
      <c r="FM11" s="326"/>
      <c r="FN11" s="326"/>
      <c r="FO11" s="326"/>
      <c r="FP11" s="326"/>
      <c r="FQ11" s="326"/>
      <c r="FR11" s="326"/>
      <c r="FS11" s="326"/>
      <c r="FT11" s="326"/>
      <c r="FU11" s="326"/>
      <c r="FV11" s="326"/>
      <c r="FW11" s="326"/>
      <c r="FX11" s="326"/>
      <c r="FY11" s="326"/>
      <c r="FZ11" s="326"/>
      <c r="GA11" s="326"/>
      <c r="GB11" s="326"/>
      <c r="GC11" s="326"/>
      <c r="GD11" s="326"/>
      <c r="GE11" s="326"/>
      <c r="GF11" s="326"/>
      <c r="GG11" s="326"/>
      <c r="GH11" s="326"/>
      <c r="GI11" s="326"/>
      <c r="GJ11" s="326"/>
      <c r="GK11" s="326"/>
      <c r="GL11" s="326"/>
      <c r="GM11" s="326"/>
      <c r="GN11" s="326"/>
      <c r="GO11" s="326"/>
      <c r="GP11" s="326"/>
      <c r="GQ11" s="326"/>
      <c r="GR11" s="326"/>
      <c r="GS11" s="326"/>
      <c r="GT11" s="326"/>
      <c r="GU11" s="326"/>
      <c r="GV11" s="326"/>
      <c r="GW11" s="326"/>
      <c r="GX11" s="326"/>
      <c r="GY11" s="326"/>
      <c r="GZ11" s="326"/>
      <c r="HA11" s="326"/>
      <c r="HB11" s="326"/>
      <c r="HC11" s="326"/>
      <c r="HD11" s="326"/>
      <c r="HE11" s="326"/>
      <c r="HF11" s="326"/>
      <c r="HG11" s="326"/>
      <c r="HH11" s="326"/>
      <c r="HI11" s="326"/>
      <c r="HJ11" s="326"/>
      <c r="HK11" s="326"/>
      <c r="HL11" s="326"/>
      <c r="HM11" s="326"/>
      <c r="HN11" s="326"/>
      <c r="HO11" s="326"/>
      <c r="HP11" s="326"/>
      <c r="HQ11" s="326"/>
      <c r="HR11" s="326"/>
      <c r="HS11" s="326"/>
      <c r="HT11" s="326"/>
      <c r="HU11" s="326"/>
      <c r="HV11" s="326"/>
      <c r="HW11" s="326"/>
      <c r="HX11" s="326"/>
      <c r="HY11" s="326"/>
      <c r="HZ11" s="326"/>
      <c r="IA11" s="326"/>
      <c r="IB11" s="326"/>
      <c r="IC11" s="326"/>
      <c r="ID11" s="326"/>
      <c r="IE11" s="326"/>
      <c r="IF11" s="326"/>
      <c r="IG11" s="326"/>
      <c r="IH11" s="326"/>
      <c r="II11" s="326"/>
      <c r="IJ11" s="326"/>
      <c r="IK11" s="326"/>
      <c r="IL11" s="326"/>
      <c r="IM11" s="326"/>
      <c r="IN11" s="326"/>
      <c r="IO11" s="326"/>
      <c r="IP11" s="326"/>
      <c r="IQ11" s="326"/>
      <c r="IR11" s="326"/>
      <c r="IS11" s="326"/>
      <c r="IT11" s="326"/>
      <c r="IU11" s="326"/>
      <c r="IV11" s="326"/>
    </row>
    <row r="12" spans="1:256" s="555" customFormat="1" ht="22.5" customHeight="1">
      <c r="A12" s="569">
        <v>3</v>
      </c>
      <c r="B12" s="563"/>
      <c r="C12" s="366"/>
      <c r="D12" s="787" t="s">
        <v>465</v>
      </c>
      <c r="E12" s="335"/>
      <c r="F12" s="559"/>
      <c r="G12" s="336"/>
      <c r="H12" s="766"/>
      <c r="I12" s="763"/>
      <c r="J12" s="556"/>
      <c r="K12" s="556"/>
      <c r="L12" s="556"/>
      <c r="M12" s="556"/>
      <c r="N12" s="556"/>
      <c r="O12" s="556"/>
      <c r="P12" s="564"/>
      <c r="Q12" s="560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6"/>
      <c r="CL12" s="326"/>
      <c r="CM12" s="326"/>
      <c r="CN12" s="326"/>
      <c r="CO12" s="326"/>
      <c r="CP12" s="326"/>
      <c r="CQ12" s="326"/>
      <c r="CR12" s="326"/>
      <c r="CS12" s="326"/>
      <c r="CT12" s="326"/>
      <c r="CU12" s="326"/>
      <c r="CV12" s="326"/>
      <c r="CW12" s="326"/>
      <c r="CX12" s="326"/>
      <c r="CY12" s="326"/>
      <c r="CZ12" s="326"/>
      <c r="DA12" s="326"/>
      <c r="DB12" s="326"/>
      <c r="DC12" s="326"/>
      <c r="DD12" s="326"/>
      <c r="DE12" s="326"/>
      <c r="DF12" s="326"/>
      <c r="DG12" s="326"/>
      <c r="DH12" s="326"/>
      <c r="DI12" s="326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26"/>
      <c r="DX12" s="326"/>
      <c r="DY12" s="326"/>
      <c r="DZ12" s="326"/>
      <c r="EA12" s="326"/>
      <c r="EB12" s="326"/>
      <c r="EC12" s="326"/>
      <c r="ED12" s="326"/>
      <c r="EE12" s="326"/>
      <c r="EF12" s="326"/>
      <c r="EG12" s="326"/>
      <c r="EH12" s="326"/>
      <c r="EI12" s="326"/>
      <c r="EJ12" s="326"/>
      <c r="EK12" s="326"/>
      <c r="EL12" s="326"/>
      <c r="EM12" s="326"/>
      <c r="EN12" s="326"/>
      <c r="EO12" s="326"/>
      <c r="EP12" s="326"/>
      <c r="EQ12" s="326"/>
      <c r="ER12" s="326"/>
      <c r="ES12" s="326"/>
      <c r="ET12" s="326"/>
      <c r="EU12" s="326"/>
      <c r="EV12" s="326"/>
      <c r="EW12" s="326"/>
      <c r="EX12" s="326"/>
      <c r="EY12" s="326"/>
      <c r="EZ12" s="326"/>
      <c r="FA12" s="326"/>
      <c r="FB12" s="326"/>
      <c r="FC12" s="326"/>
      <c r="FD12" s="326"/>
      <c r="FE12" s="326"/>
      <c r="FF12" s="326"/>
      <c r="FG12" s="326"/>
      <c r="FH12" s="326"/>
      <c r="FI12" s="326"/>
      <c r="FJ12" s="326"/>
      <c r="FK12" s="326"/>
      <c r="FL12" s="326"/>
      <c r="FM12" s="326"/>
      <c r="FN12" s="326"/>
      <c r="FO12" s="326"/>
      <c r="FP12" s="326"/>
      <c r="FQ12" s="326"/>
      <c r="FR12" s="326"/>
      <c r="FS12" s="326"/>
      <c r="FT12" s="326"/>
      <c r="FU12" s="326"/>
      <c r="FV12" s="326"/>
      <c r="FW12" s="326"/>
      <c r="FX12" s="326"/>
      <c r="FY12" s="326"/>
      <c r="FZ12" s="326"/>
      <c r="GA12" s="326"/>
      <c r="GB12" s="326"/>
      <c r="GC12" s="326"/>
      <c r="GD12" s="326"/>
      <c r="GE12" s="326"/>
      <c r="GF12" s="326"/>
      <c r="GG12" s="326"/>
      <c r="GH12" s="326"/>
      <c r="GI12" s="326"/>
      <c r="GJ12" s="326"/>
      <c r="GK12" s="326"/>
      <c r="GL12" s="326"/>
      <c r="GM12" s="326"/>
      <c r="GN12" s="326"/>
      <c r="GO12" s="326"/>
      <c r="GP12" s="326"/>
      <c r="GQ12" s="326"/>
      <c r="GR12" s="326"/>
      <c r="GS12" s="326"/>
      <c r="GT12" s="326"/>
      <c r="GU12" s="326"/>
      <c r="GV12" s="326"/>
      <c r="GW12" s="326"/>
      <c r="GX12" s="326"/>
      <c r="GY12" s="326"/>
      <c r="GZ12" s="326"/>
      <c r="HA12" s="326"/>
      <c r="HB12" s="326"/>
      <c r="HC12" s="326"/>
      <c r="HD12" s="326"/>
      <c r="HE12" s="326"/>
      <c r="HF12" s="326"/>
      <c r="HG12" s="326"/>
      <c r="HH12" s="326"/>
      <c r="HI12" s="326"/>
      <c r="HJ12" s="326"/>
      <c r="HK12" s="326"/>
      <c r="HL12" s="326"/>
      <c r="HM12" s="326"/>
      <c r="HN12" s="326"/>
      <c r="HO12" s="326"/>
      <c r="HP12" s="326"/>
      <c r="HQ12" s="326"/>
      <c r="HR12" s="326"/>
      <c r="HS12" s="326"/>
      <c r="HT12" s="326"/>
      <c r="HU12" s="326"/>
      <c r="HV12" s="326"/>
      <c r="HW12" s="326"/>
      <c r="HX12" s="326"/>
      <c r="HY12" s="326"/>
      <c r="HZ12" s="326"/>
      <c r="IA12" s="326"/>
      <c r="IB12" s="326"/>
      <c r="IC12" s="326"/>
      <c r="ID12" s="326"/>
      <c r="IE12" s="326"/>
      <c r="IF12" s="326"/>
      <c r="IG12" s="326"/>
      <c r="IH12" s="326"/>
      <c r="II12" s="326"/>
      <c r="IJ12" s="326"/>
      <c r="IK12" s="326"/>
      <c r="IL12" s="326"/>
      <c r="IM12" s="326"/>
      <c r="IN12" s="326"/>
      <c r="IO12" s="326"/>
      <c r="IP12" s="326"/>
      <c r="IQ12" s="326"/>
      <c r="IR12" s="326"/>
      <c r="IS12" s="326"/>
      <c r="IT12" s="326"/>
      <c r="IU12" s="326"/>
      <c r="IV12" s="326"/>
    </row>
    <row r="13" spans="1:17" s="759" customFormat="1" ht="18" customHeight="1">
      <c r="A13" s="569">
        <v>4</v>
      </c>
      <c r="B13" s="752"/>
      <c r="C13" s="366"/>
      <c r="D13" s="754" t="s">
        <v>283</v>
      </c>
      <c r="E13" s="335">
        <f>F13+G13+P14+6083</f>
        <v>21666</v>
      </c>
      <c r="F13" s="789"/>
      <c r="G13" s="336">
        <f>3869+9817</f>
        <v>13686</v>
      </c>
      <c r="H13" s="767"/>
      <c r="I13" s="764">
        <v>300</v>
      </c>
      <c r="J13" s="757">
        <v>42</v>
      </c>
      <c r="K13" s="757">
        <v>1994</v>
      </c>
      <c r="L13" s="757"/>
      <c r="M13" s="777"/>
      <c r="N13" s="777"/>
      <c r="O13" s="757"/>
      <c r="P13" s="751">
        <f>SUM(I13:O13)</f>
        <v>2336</v>
      </c>
      <c r="Q13" s="758"/>
    </row>
    <row r="14" spans="1:17" s="759" customFormat="1" ht="18" customHeight="1">
      <c r="A14" s="569">
        <v>5</v>
      </c>
      <c r="B14" s="752"/>
      <c r="C14" s="366"/>
      <c r="D14" s="478" t="s">
        <v>757</v>
      </c>
      <c r="E14" s="335"/>
      <c r="F14" s="789"/>
      <c r="G14" s="336"/>
      <c r="H14" s="767"/>
      <c r="I14" s="1187">
        <v>900</v>
      </c>
      <c r="J14" s="1188">
        <v>126</v>
      </c>
      <c r="K14" s="1188">
        <v>871</v>
      </c>
      <c r="L14" s="1188"/>
      <c r="M14" s="556"/>
      <c r="N14" s="556"/>
      <c r="O14" s="1188"/>
      <c r="P14" s="564">
        <f>SUM(I14:O14)</f>
        <v>1897</v>
      </c>
      <c r="Q14" s="758"/>
    </row>
    <row r="15" spans="1:17" s="759" customFormat="1" ht="18" customHeight="1">
      <c r="A15" s="569">
        <v>6</v>
      </c>
      <c r="B15" s="752"/>
      <c r="C15" s="366"/>
      <c r="D15" s="1090" t="s">
        <v>892</v>
      </c>
      <c r="E15" s="335"/>
      <c r="F15" s="789"/>
      <c r="G15" s="336"/>
      <c r="H15" s="767"/>
      <c r="I15" s="1185">
        <v>900</v>
      </c>
      <c r="J15" s="1186">
        <v>126</v>
      </c>
      <c r="K15" s="1186">
        <v>871</v>
      </c>
      <c r="L15" s="1196"/>
      <c r="M15" s="1186"/>
      <c r="N15" s="1186"/>
      <c r="O15" s="1196"/>
      <c r="P15" s="1723">
        <f>SUM(I15:O15)</f>
        <v>1897</v>
      </c>
      <c r="Q15" s="758"/>
    </row>
    <row r="16" spans="1:17" s="759" customFormat="1" ht="22.5" customHeight="1">
      <c r="A16" s="569">
        <v>7</v>
      </c>
      <c r="B16" s="752"/>
      <c r="C16" s="366"/>
      <c r="D16" s="787" t="s">
        <v>466</v>
      </c>
      <c r="E16" s="335"/>
      <c r="F16" s="789"/>
      <c r="G16" s="336"/>
      <c r="H16" s="767"/>
      <c r="I16" s="764"/>
      <c r="J16" s="757"/>
      <c r="K16" s="777"/>
      <c r="L16" s="757"/>
      <c r="M16" s="777"/>
      <c r="N16" s="777"/>
      <c r="O16" s="757"/>
      <c r="P16" s="751"/>
      <c r="Q16" s="758"/>
    </row>
    <row r="17" spans="1:17" s="759" customFormat="1" ht="22.5" customHeight="1">
      <c r="A17" s="569">
        <v>8</v>
      </c>
      <c r="B17" s="752"/>
      <c r="C17" s="366"/>
      <c r="D17" s="558" t="s">
        <v>600</v>
      </c>
      <c r="E17" s="335"/>
      <c r="F17" s="789"/>
      <c r="G17" s="336"/>
      <c r="H17" s="767"/>
      <c r="I17" s="764"/>
      <c r="J17" s="757"/>
      <c r="K17" s="777"/>
      <c r="L17" s="757"/>
      <c r="M17" s="777"/>
      <c r="N17" s="777"/>
      <c r="O17" s="757"/>
      <c r="P17" s="751"/>
      <c r="Q17" s="758"/>
    </row>
    <row r="18" spans="1:17" s="759" customFormat="1" ht="18" customHeight="1">
      <c r="A18" s="569">
        <v>9</v>
      </c>
      <c r="B18" s="752"/>
      <c r="C18" s="366"/>
      <c r="D18" s="754" t="s">
        <v>283</v>
      </c>
      <c r="E18" s="335">
        <f>F18+G18+P19</f>
        <v>1500</v>
      </c>
      <c r="F18" s="789"/>
      <c r="G18" s="336"/>
      <c r="H18" s="767"/>
      <c r="I18" s="764"/>
      <c r="J18" s="757"/>
      <c r="K18" s="777"/>
      <c r="L18" s="757"/>
      <c r="M18" s="757">
        <v>1500</v>
      </c>
      <c r="N18" s="757"/>
      <c r="O18" s="757"/>
      <c r="P18" s="751">
        <f>SUM(I18:O18)</f>
        <v>1500</v>
      </c>
      <c r="Q18" s="758"/>
    </row>
    <row r="19" spans="1:17" s="759" customFormat="1" ht="18" customHeight="1">
      <c r="A19" s="569">
        <v>10</v>
      </c>
      <c r="B19" s="752"/>
      <c r="C19" s="366"/>
      <c r="D19" s="478" t="s">
        <v>757</v>
      </c>
      <c r="E19" s="335"/>
      <c r="F19" s="789"/>
      <c r="G19" s="336"/>
      <c r="H19" s="767"/>
      <c r="I19" s="764"/>
      <c r="J19" s="757"/>
      <c r="K19" s="777"/>
      <c r="L19" s="757"/>
      <c r="M19" s="1188">
        <v>0</v>
      </c>
      <c r="N19" s="556"/>
      <c r="O19" s="1188">
        <v>1500</v>
      </c>
      <c r="P19" s="564">
        <f>SUM(I19:O19)</f>
        <v>1500</v>
      </c>
      <c r="Q19" s="758"/>
    </row>
    <row r="20" spans="1:17" s="759" customFormat="1" ht="18" customHeight="1">
      <c r="A20" s="569">
        <v>11</v>
      </c>
      <c r="B20" s="752"/>
      <c r="C20" s="366"/>
      <c r="D20" s="1090" t="s">
        <v>892</v>
      </c>
      <c r="E20" s="335"/>
      <c r="F20" s="789"/>
      <c r="G20" s="336"/>
      <c r="H20" s="767"/>
      <c r="I20" s="764"/>
      <c r="J20" s="757"/>
      <c r="K20" s="777"/>
      <c r="L20" s="757"/>
      <c r="M20" s="1186">
        <v>0</v>
      </c>
      <c r="N20" s="556"/>
      <c r="O20" s="1186">
        <v>1500</v>
      </c>
      <c r="P20" s="1723">
        <f>SUM(I20:O20)</f>
        <v>1500</v>
      </c>
      <c r="Q20" s="758"/>
    </row>
    <row r="21" spans="1:17" s="759" customFormat="1" ht="22.5" customHeight="1">
      <c r="A21" s="569">
        <v>12</v>
      </c>
      <c r="B21" s="752"/>
      <c r="C21" s="366"/>
      <c r="D21" s="558" t="s">
        <v>601</v>
      </c>
      <c r="E21" s="335"/>
      <c r="F21" s="789"/>
      <c r="G21" s="336"/>
      <c r="H21" s="767"/>
      <c r="I21" s="764"/>
      <c r="J21" s="757"/>
      <c r="K21" s="777"/>
      <c r="L21" s="757"/>
      <c r="M21" s="777"/>
      <c r="N21" s="777"/>
      <c r="O21" s="757"/>
      <c r="P21" s="751"/>
      <c r="Q21" s="758"/>
    </row>
    <row r="22" spans="1:17" s="759" customFormat="1" ht="18" customHeight="1">
      <c r="A22" s="569">
        <v>13</v>
      </c>
      <c r="B22" s="752"/>
      <c r="C22" s="366"/>
      <c r="D22" s="754" t="s">
        <v>283</v>
      </c>
      <c r="E22" s="335">
        <f>F22+G22+P23</f>
        <v>52892</v>
      </c>
      <c r="F22" s="789"/>
      <c r="G22" s="336">
        <v>15138</v>
      </c>
      <c r="H22" s="767"/>
      <c r="I22" s="764"/>
      <c r="J22" s="757"/>
      <c r="K22" s="777"/>
      <c r="L22" s="757"/>
      <c r="M22" s="757">
        <v>39794</v>
      </c>
      <c r="N22" s="777"/>
      <c r="O22" s="757"/>
      <c r="P22" s="751">
        <f>SUM(I22:O22)</f>
        <v>39794</v>
      </c>
      <c r="Q22" s="758"/>
    </row>
    <row r="23" spans="1:17" s="759" customFormat="1" ht="18" customHeight="1">
      <c r="A23" s="569">
        <v>14</v>
      </c>
      <c r="B23" s="752"/>
      <c r="C23" s="366"/>
      <c r="D23" s="478" t="s">
        <v>757</v>
      </c>
      <c r="E23" s="335"/>
      <c r="F23" s="789"/>
      <c r="G23" s="336"/>
      <c r="H23" s="767"/>
      <c r="I23" s="764"/>
      <c r="J23" s="757"/>
      <c r="K23" s="777"/>
      <c r="L23" s="757"/>
      <c r="M23" s="1188">
        <v>37754</v>
      </c>
      <c r="N23" s="777"/>
      <c r="O23" s="757"/>
      <c r="P23" s="564">
        <f>SUM(I23:O23)</f>
        <v>37754</v>
      </c>
      <c r="Q23" s="758"/>
    </row>
    <row r="24" spans="1:17" s="759" customFormat="1" ht="18" customHeight="1">
      <c r="A24" s="569">
        <v>15</v>
      </c>
      <c r="B24" s="752"/>
      <c r="C24" s="366"/>
      <c r="D24" s="1090" t="s">
        <v>892</v>
      </c>
      <c r="E24" s="335"/>
      <c r="F24" s="789"/>
      <c r="G24" s="336"/>
      <c r="H24" s="767"/>
      <c r="I24" s="764"/>
      <c r="J24" s="757"/>
      <c r="K24" s="777"/>
      <c r="L24" s="757"/>
      <c r="M24" s="1186">
        <v>37753</v>
      </c>
      <c r="N24" s="556"/>
      <c r="O24" s="1188"/>
      <c r="P24" s="1723">
        <f>SUM(I24:O24)</f>
        <v>37753</v>
      </c>
      <c r="Q24" s="758"/>
    </row>
    <row r="25" spans="1:17" s="759" customFormat="1" ht="22.5" customHeight="1">
      <c r="A25" s="569">
        <v>16</v>
      </c>
      <c r="B25" s="752"/>
      <c r="C25" s="366"/>
      <c r="D25" s="558" t="s">
        <v>602</v>
      </c>
      <c r="E25" s="335"/>
      <c r="F25" s="789"/>
      <c r="G25" s="336"/>
      <c r="H25" s="767"/>
      <c r="I25" s="764"/>
      <c r="J25" s="757"/>
      <c r="K25" s="777"/>
      <c r="L25" s="757"/>
      <c r="M25" s="777"/>
      <c r="N25" s="777"/>
      <c r="O25" s="757"/>
      <c r="P25" s="751"/>
      <c r="Q25" s="758"/>
    </row>
    <row r="26" spans="1:17" s="759" customFormat="1" ht="18" customHeight="1">
      <c r="A26" s="569">
        <v>17</v>
      </c>
      <c r="B26" s="752"/>
      <c r="C26" s="366"/>
      <c r="D26" s="754" t="s">
        <v>283</v>
      </c>
      <c r="E26" s="335">
        <f>F26+G26+P27</f>
        <v>108328</v>
      </c>
      <c r="F26" s="789"/>
      <c r="G26" s="336">
        <v>25527</v>
      </c>
      <c r="H26" s="767"/>
      <c r="I26" s="764"/>
      <c r="J26" s="757"/>
      <c r="K26" s="777"/>
      <c r="L26" s="757"/>
      <c r="M26" s="757">
        <v>82877</v>
      </c>
      <c r="N26" s="777"/>
      <c r="O26" s="757"/>
      <c r="P26" s="751">
        <f>SUM(I26:O26)</f>
        <v>82877</v>
      </c>
      <c r="Q26" s="758"/>
    </row>
    <row r="27" spans="1:17" s="759" customFormat="1" ht="18" customHeight="1">
      <c r="A27" s="569">
        <v>18</v>
      </c>
      <c r="B27" s="752"/>
      <c r="C27" s="366"/>
      <c r="D27" s="478" t="s">
        <v>757</v>
      </c>
      <c r="E27" s="335"/>
      <c r="F27" s="789"/>
      <c r="G27" s="336"/>
      <c r="H27" s="767"/>
      <c r="I27" s="764"/>
      <c r="J27" s="757"/>
      <c r="K27" s="777"/>
      <c r="L27" s="757"/>
      <c r="M27" s="1188">
        <v>82801</v>
      </c>
      <c r="N27" s="777"/>
      <c r="O27" s="757"/>
      <c r="P27" s="564">
        <f>SUM(I27:O27)</f>
        <v>82801</v>
      </c>
      <c r="Q27" s="758"/>
    </row>
    <row r="28" spans="1:17" s="759" customFormat="1" ht="18" customHeight="1">
      <c r="A28" s="569">
        <v>19</v>
      </c>
      <c r="B28" s="752"/>
      <c r="C28" s="366"/>
      <c r="D28" s="1090" t="s">
        <v>892</v>
      </c>
      <c r="E28" s="335"/>
      <c r="F28" s="789"/>
      <c r="G28" s="336"/>
      <c r="H28" s="767"/>
      <c r="I28" s="764"/>
      <c r="J28" s="757"/>
      <c r="K28" s="777"/>
      <c r="L28" s="757"/>
      <c r="M28" s="1186">
        <v>82801</v>
      </c>
      <c r="N28" s="556"/>
      <c r="O28" s="1188"/>
      <c r="P28" s="1723">
        <f>SUM(I28:O28)</f>
        <v>82801</v>
      </c>
      <c r="Q28" s="758"/>
    </row>
    <row r="29" spans="1:17" s="759" customFormat="1" ht="22.5" customHeight="1">
      <c r="A29" s="569">
        <v>20</v>
      </c>
      <c r="B29" s="752"/>
      <c r="C29" s="366"/>
      <c r="D29" s="558" t="s">
        <v>669</v>
      </c>
      <c r="E29" s="335"/>
      <c r="F29" s="789"/>
      <c r="G29" s="336"/>
      <c r="H29" s="767"/>
      <c r="I29" s="764"/>
      <c r="J29" s="757"/>
      <c r="K29" s="777"/>
      <c r="L29" s="757"/>
      <c r="M29" s="777"/>
      <c r="N29" s="777"/>
      <c r="O29" s="757"/>
      <c r="P29" s="751"/>
      <c r="Q29" s="758"/>
    </row>
    <row r="30" spans="1:17" s="759" customFormat="1" ht="18" customHeight="1">
      <c r="A30" s="569">
        <v>21</v>
      </c>
      <c r="B30" s="752"/>
      <c r="C30" s="366"/>
      <c r="D30" s="754" t="s">
        <v>283</v>
      </c>
      <c r="E30" s="335">
        <f>F30+G30+P31</f>
        <v>37500</v>
      </c>
      <c r="F30" s="789"/>
      <c r="G30" s="336">
        <v>7620</v>
      </c>
      <c r="H30" s="767"/>
      <c r="I30" s="764"/>
      <c r="J30" s="757"/>
      <c r="K30" s="777"/>
      <c r="L30" s="757"/>
      <c r="M30" s="757">
        <v>29880</v>
      </c>
      <c r="N30" s="777"/>
      <c r="O30" s="757"/>
      <c r="P30" s="751">
        <f>SUM(I30:O30)</f>
        <v>29880</v>
      </c>
      <c r="Q30" s="758"/>
    </row>
    <row r="31" spans="1:17" s="759" customFormat="1" ht="18" customHeight="1">
      <c r="A31" s="569">
        <v>22</v>
      </c>
      <c r="B31" s="752"/>
      <c r="C31" s="366"/>
      <c r="D31" s="478" t="s">
        <v>757</v>
      </c>
      <c r="E31" s="335"/>
      <c r="F31" s="789"/>
      <c r="G31" s="336"/>
      <c r="H31" s="767"/>
      <c r="I31" s="764"/>
      <c r="J31" s="757"/>
      <c r="K31" s="777"/>
      <c r="L31" s="757"/>
      <c r="M31" s="1188">
        <v>29880</v>
      </c>
      <c r="N31" s="777"/>
      <c r="O31" s="757"/>
      <c r="P31" s="564">
        <f>SUM(I31:O31)</f>
        <v>29880</v>
      </c>
      <c r="Q31" s="758"/>
    </row>
    <row r="32" spans="1:17" s="759" customFormat="1" ht="18" customHeight="1">
      <c r="A32" s="569">
        <v>23</v>
      </c>
      <c r="B32" s="752"/>
      <c r="C32" s="366"/>
      <c r="D32" s="1090" t="s">
        <v>893</v>
      </c>
      <c r="E32" s="335"/>
      <c r="F32" s="789"/>
      <c r="G32" s="336"/>
      <c r="H32" s="767"/>
      <c r="I32" s="764"/>
      <c r="J32" s="757"/>
      <c r="K32" s="777"/>
      <c r="L32" s="757"/>
      <c r="M32" s="556">
        <v>29880</v>
      </c>
      <c r="N32" s="556"/>
      <c r="O32" s="1188"/>
      <c r="P32" s="1723">
        <f>SUM(I32:O32)</f>
        <v>29880</v>
      </c>
      <c r="Q32" s="758"/>
    </row>
    <row r="33" spans="1:256" s="555" customFormat="1" ht="22.5" customHeight="1">
      <c r="A33" s="569">
        <v>24</v>
      </c>
      <c r="B33" s="563"/>
      <c r="C33" s="366"/>
      <c r="D33" s="558" t="s">
        <v>603</v>
      </c>
      <c r="E33" s="335"/>
      <c r="F33" s="559"/>
      <c r="G33" s="336"/>
      <c r="H33" s="766"/>
      <c r="I33" s="763"/>
      <c r="J33" s="556"/>
      <c r="K33" s="556"/>
      <c r="L33" s="556"/>
      <c r="M33" s="556"/>
      <c r="N33" s="556"/>
      <c r="O33" s="556"/>
      <c r="P33" s="564"/>
      <c r="Q33" s="560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6"/>
      <c r="CN33" s="326"/>
      <c r="CO33" s="326"/>
      <c r="CP33" s="326"/>
      <c r="CQ33" s="326"/>
      <c r="CR33" s="326"/>
      <c r="CS33" s="326"/>
      <c r="CT33" s="326"/>
      <c r="CU33" s="326"/>
      <c r="CV33" s="326"/>
      <c r="CW33" s="326"/>
      <c r="CX33" s="326"/>
      <c r="CY33" s="326"/>
      <c r="CZ33" s="326"/>
      <c r="DA33" s="326"/>
      <c r="DB33" s="326"/>
      <c r="DC33" s="326"/>
      <c r="DD33" s="326"/>
      <c r="DE33" s="326"/>
      <c r="DF33" s="326"/>
      <c r="DG33" s="326"/>
      <c r="DH33" s="326"/>
      <c r="DI33" s="326"/>
      <c r="DJ33" s="326"/>
      <c r="DK33" s="326"/>
      <c r="DL33" s="326"/>
      <c r="DM33" s="326"/>
      <c r="DN33" s="326"/>
      <c r="DO33" s="326"/>
      <c r="DP33" s="326"/>
      <c r="DQ33" s="326"/>
      <c r="DR33" s="326"/>
      <c r="DS33" s="326"/>
      <c r="DT33" s="326"/>
      <c r="DU33" s="326"/>
      <c r="DV33" s="326"/>
      <c r="DW33" s="326"/>
      <c r="DX33" s="326"/>
      <c r="DY33" s="326"/>
      <c r="DZ33" s="326"/>
      <c r="EA33" s="326"/>
      <c r="EB33" s="326"/>
      <c r="EC33" s="326"/>
      <c r="ED33" s="326"/>
      <c r="EE33" s="326"/>
      <c r="EF33" s="326"/>
      <c r="EG33" s="326"/>
      <c r="EH33" s="326"/>
      <c r="EI33" s="326"/>
      <c r="EJ33" s="326"/>
      <c r="EK33" s="326"/>
      <c r="EL33" s="326"/>
      <c r="EM33" s="326"/>
      <c r="EN33" s="326"/>
      <c r="EO33" s="326"/>
      <c r="EP33" s="326"/>
      <c r="EQ33" s="326"/>
      <c r="ER33" s="326"/>
      <c r="ES33" s="326"/>
      <c r="ET33" s="326"/>
      <c r="EU33" s="326"/>
      <c r="EV33" s="326"/>
      <c r="EW33" s="326"/>
      <c r="EX33" s="326"/>
      <c r="EY33" s="326"/>
      <c r="EZ33" s="326"/>
      <c r="FA33" s="326"/>
      <c r="FB33" s="326"/>
      <c r="FC33" s="326"/>
      <c r="FD33" s="326"/>
      <c r="FE33" s="326"/>
      <c r="FF33" s="326"/>
      <c r="FG33" s="326"/>
      <c r="FH33" s="326"/>
      <c r="FI33" s="326"/>
      <c r="FJ33" s="326"/>
      <c r="FK33" s="326"/>
      <c r="FL33" s="326"/>
      <c r="FM33" s="326"/>
      <c r="FN33" s="326"/>
      <c r="FO33" s="326"/>
      <c r="FP33" s="326"/>
      <c r="FQ33" s="326"/>
      <c r="FR33" s="326"/>
      <c r="FS33" s="326"/>
      <c r="FT33" s="326"/>
      <c r="FU33" s="326"/>
      <c r="FV33" s="326"/>
      <c r="FW33" s="326"/>
      <c r="FX33" s="326"/>
      <c r="FY33" s="326"/>
      <c r="FZ33" s="326"/>
      <c r="GA33" s="326"/>
      <c r="GB33" s="326"/>
      <c r="GC33" s="326"/>
      <c r="GD33" s="326"/>
      <c r="GE33" s="326"/>
      <c r="GF33" s="326"/>
      <c r="GG33" s="326"/>
      <c r="GH33" s="326"/>
      <c r="GI33" s="326"/>
      <c r="GJ33" s="326"/>
      <c r="GK33" s="326"/>
      <c r="GL33" s="326"/>
      <c r="GM33" s="326"/>
      <c r="GN33" s="326"/>
      <c r="GO33" s="326"/>
      <c r="GP33" s="326"/>
      <c r="GQ33" s="326"/>
      <c r="GR33" s="326"/>
      <c r="GS33" s="326"/>
      <c r="GT33" s="326"/>
      <c r="GU33" s="326"/>
      <c r="GV33" s="326"/>
      <c r="GW33" s="326"/>
      <c r="GX33" s="326"/>
      <c r="GY33" s="326"/>
      <c r="GZ33" s="326"/>
      <c r="HA33" s="326"/>
      <c r="HB33" s="326"/>
      <c r="HC33" s="326"/>
      <c r="HD33" s="326"/>
      <c r="HE33" s="326"/>
      <c r="HF33" s="326"/>
      <c r="HG33" s="326"/>
      <c r="HH33" s="326"/>
      <c r="HI33" s="326"/>
      <c r="HJ33" s="326"/>
      <c r="HK33" s="326"/>
      <c r="HL33" s="326"/>
      <c r="HM33" s="326"/>
      <c r="HN33" s="326"/>
      <c r="HO33" s="326"/>
      <c r="HP33" s="326"/>
      <c r="HQ33" s="326"/>
      <c r="HR33" s="326"/>
      <c r="HS33" s="326"/>
      <c r="HT33" s="326"/>
      <c r="HU33" s="326"/>
      <c r="HV33" s="326"/>
      <c r="HW33" s="326"/>
      <c r="HX33" s="326"/>
      <c r="HY33" s="326"/>
      <c r="HZ33" s="326"/>
      <c r="IA33" s="326"/>
      <c r="IB33" s="326"/>
      <c r="IC33" s="326"/>
      <c r="ID33" s="326"/>
      <c r="IE33" s="326"/>
      <c r="IF33" s="326"/>
      <c r="IG33" s="326"/>
      <c r="IH33" s="326"/>
      <c r="II33" s="326"/>
      <c r="IJ33" s="326"/>
      <c r="IK33" s="326"/>
      <c r="IL33" s="326"/>
      <c r="IM33" s="326"/>
      <c r="IN33" s="326"/>
      <c r="IO33" s="326"/>
      <c r="IP33" s="326"/>
      <c r="IQ33" s="326"/>
      <c r="IR33" s="326"/>
      <c r="IS33" s="326"/>
      <c r="IT33" s="326"/>
      <c r="IU33" s="326"/>
      <c r="IV33" s="326"/>
    </row>
    <row r="34" spans="1:17" s="759" customFormat="1" ht="18" customHeight="1">
      <c r="A34" s="569">
        <v>25</v>
      </c>
      <c r="B34" s="752"/>
      <c r="C34" s="813"/>
      <c r="D34" s="814" t="s">
        <v>283</v>
      </c>
      <c r="E34" s="335">
        <f>F34+G34+P35</f>
        <v>8000</v>
      </c>
      <c r="F34" s="815"/>
      <c r="G34" s="1315"/>
      <c r="H34" s="816"/>
      <c r="I34" s="817"/>
      <c r="J34" s="818"/>
      <c r="K34" s="819"/>
      <c r="L34" s="818"/>
      <c r="M34" s="818">
        <v>8000</v>
      </c>
      <c r="N34" s="818"/>
      <c r="O34" s="818"/>
      <c r="P34" s="820">
        <f>SUM(I34:O34)</f>
        <v>8000</v>
      </c>
      <c r="Q34" s="810"/>
    </row>
    <row r="35" spans="1:17" s="759" customFormat="1" ht="18" customHeight="1">
      <c r="A35" s="569">
        <v>26</v>
      </c>
      <c r="B35" s="752"/>
      <c r="C35" s="813"/>
      <c r="D35" s="478" t="s">
        <v>757</v>
      </c>
      <c r="E35" s="335"/>
      <c r="F35" s="815"/>
      <c r="G35" s="1315"/>
      <c r="H35" s="816"/>
      <c r="I35" s="817"/>
      <c r="J35" s="817"/>
      <c r="K35" s="1332"/>
      <c r="L35" s="817"/>
      <c r="M35" s="1460">
        <v>6000</v>
      </c>
      <c r="N35" s="1460"/>
      <c r="O35" s="1460">
        <v>2000</v>
      </c>
      <c r="P35" s="1239">
        <f>SUM(I35:O35)</f>
        <v>8000</v>
      </c>
      <c r="Q35" s="810"/>
    </row>
    <row r="36" spans="1:17" s="759" customFormat="1" ht="18" customHeight="1" thickBot="1">
      <c r="A36" s="569">
        <v>27</v>
      </c>
      <c r="B36" s="752"/>
      <c r="C36" s="366"/>
      <c r="D36" s="1090" t="s">
        <v>893</v>
      </c>
      <c r="E36" s="335"/>
      <c r="F36" s="789"/>
      <c r="G36" s="336"/>
      <c r="H36" s="767"/>
      <c r="I36" s="764"/>
      <c r="J36" s="764"/>
      <c r="K36" s="781"/>
      <c r="L36" s="764"/>
      <c r="M36" s="1185">
        <v>6000</v>
      </c>
      <c r="N36" s="1187"/>
      <c r="O36" s="1185">
        <v>2000</v>
      </c>
      <c r="P36" s="1723">
        <f>SUM(I36:O36)</f>
        <v>8000</v>
      </c>
      <c r="Q36" s="758"/>
    </row>
    <row r="37" spans="1:17" s="759" customFormat="1" ht="24.75" customHeight="1" thickTop="1">
      <c r="A37" s="569">
        <v>28</v>
      </c>
      <c r="B37" s="752"/>
      <c r="C37" s="1202"/>
      <c r="D37" s="1343" t="s">
        <v>508</v>
      </c>
      <c r="E37" s="1331">
        <f>E34+E22+E18+E13+E26+E30</f>
        <v>229886</v>
      </c>
      <c r="F37" s="1331">
        <f>F34+F22+F18+F13+F12</f>
        <v>0</v>
      </c>
      <c r="G37" s="1331">
        <f>G34+G22+G18+G13+G30+G26</f>
        <v>61971</v>
      </c>
      <c r="H37" s="1203"/>
      <c r="I37" s="1204"/>
      <c r="J37" s="1204"/>
      <c r="K37" s="1204"/>
      <c r="L37" s="1204"/>
      <c r="M37" s="1204"/>
      <c r="N37" s="1204"/>
      <c r="O37" s="1204"/>
      <c r="P37" s="1204"/>
      <c r="Q37" s="1205"/>
    </row>
    <row r="38" spans="1:17" s="759" customFormat="1" ht="19.5" customHeight="1">
      <c r="A38" s="569">
        <v>29</v>
      </c>
      <c r="B38" s="752"/>
      <c r="C38" s="366"/>
      <c r="D38" s="1511" t="s">
        <v>283</v>
      </c>
      <c r="E38" s="559"/>
      <c r="F38" s="559"/>
      <c r="G38" s="1316"/>
      <c r="H38" s="1206"/>
      <c r="I38" s="764">
        <f aca="true" t="shared" si="0" ref="I38:P39">I34+I30+I26+I22+I18+I13</f>
        <v>300</v>
      </c>
      <c r="J38" s="764">
        <f t="shared" si="0"/>
        <v>42</v>
      </c>
      <c r="K38" s="764">
        <f t="shared" si="0"/>
        <v>1994</v>
      </c>
      <c r="L38" s="764">
        <f t="shared" si="0"/>
        <v>0</v>
      </c>
      <c r="M38" s="764">
        <f t="shared" si="0"/>
        <v>162051</v>
      </c>
      <c r="N38" s="764">
        <f t="shared" si="0"/>
        <v>0</v>
      </c>
      <c r="O38" s="764">
        <f t="shared" si="0"/>
        <v>0</v>
      </c>
      <c r="P38" s="764">
        <f t="shared" si="0"/>
        <v>164387</v>
      </c>
      <c r="Q38" s="758"/>
    </row>
    <row r="39" spans="1:17" s="759" customFormat="1" ht="19.5" customHeight="1">
      <c r="A39" s="569">
        <v>30</v>
      </c>
      <c r="B39" s="752"/>
      <c r="C39" s="366"/>
      <c r="D39" s="478" t="s">
        <v>757</v>
      </c>
      <c r="E39" s="559"/>
      <c r="F39" s="559"/>
      <c r="G39" s="1316"/>
      <c r="H39" s="1206"/>
      <c r="I39" s="1187">
        <f t="shared" si="0"/>
        <v>900</v>
      </c>
      <c r="J39" s="1187">
        <f t="shared" si="0"/>
        <v>126</v>
      </c>
      <c r="K39" s="1187">
        <f t="shared" si="0"/>
        <v>871</v>
      </c>
      <c r="L39" s="1187">
        <f t="shared" si="0"/>
        <v>0</v>
      </c>
      <c r="M39" s="1187">
        <f t="shared" si="0"/>
        <v>156435</v>
      </c>
      <c r="N39" s="1187">
        <f t="shared" si="0"/>
        <v>0</v>
      </c>
      <c r="O39" s="1187">
        <f t="shared" si="0"/>
        <v>3500</v>
      </c>
      <c r="P39" s="1187">
        <f t="shared" si="0"/>
        <v>161832</v>
      </c>
      <c r="Q39" s="758"/>
    </row>
    <row r="40" spans="1:17" s="759" customFormat="1" ht="19.5" customHeight="1" thickBot="1">
      <c r="A40" s="569">
        <v>31</v>
      </c>
      <c r="B40" s="752"/>
      <c r="C40" s="1207"/>
      <c r="D40" s="1595" t="s">
        <v>893</v>
      </c>
      <c r="E40" s="1235"/>
      <c r="F40" s="1235"/>
      <c r="G40" s="1607"/>
      <c r="H40" s="1608"/>
      <c r="I40" s="1732">
        <f aca="true" t="shared" si="1" ref="I40:O40">I36+I32+I28+I24+I20+I15</f>
        <v>900</v>
      </c>
      <c r="J40" s="1732">
        <f t="shared" si="1"/>
        <v>126</v>
      </c>
      <c r="K40" s="1732">
        <f t="shared" si="1"/>
        <v>871</v>
      </c>
      <c r="L40" s="1732">
        <f t="shared" si="1"/>
        <v>0</v>
      </c>
      <c r="M40" s="1732">
        <f t="shared" si="1"/>
        <v>156434</v>
      </c>
      <c r="N40" s="1732">
        <f t="shared" si="1"/>
        <v>0</v>
      </c>
      <c r="O40" s="1732">
        <f t="shared" si="1"/>
        <v>3500</v>
      </c>
      <c r="P40" s="1731">
        <f>SUM(I40:O40)</f>
        <v>161831</v>
      </c>
      <c r="Q40" s="1211"/>
    </row>
    <row r="41" spans="1:17" s="759" customFormat="1" ht="24.75" customHeight="1" thickTop="1">
      <c r="A41" s="569">
        <v>32</v>
      </c>
      <c r="B41" s="752"/>
      <c r="C41" s="802">
        <v>2</v>
      </c>
      <c r="D41" s="809" t="s">
        <v>604</v>
      </c>
      <c r="E41" s="803"/>
      <c r="F41" s="804"/>
      <c r="G41" s="1317"/>
      <c r="H41" s="765" t="s">
        <v>23</v>
      </c>
      <c r="I41" s="805"/>
      <c r="J41" s="806"/>
      <c r="K41" s="807"/>
      <c r="L41" s="806"/>
      <c r="M41" s="806"/>
      <c r="N41" s="806"/>
      <c r="O41" s="806"/>
      <c r="P41" s="808"/>
      <c r="Q41" s="811"/>
    </row>
    <row r="42" spans="1:256" s="555" customFormat="1" ht="22.5" customHeight="1">
      <c r="A42" s="569">
        <v>33</v>
      </c>
      <c r="B42" s="563"/>
      <c r="C42" s="366"/>
      <c r="D42" s="787" t="s">
        <v>465</v>
      </c>
      <c r="E42" s="335"/>
      <c r="F42" s="559"/>
      <c r="G42" s="336"/>
      <c r="H42" s="766"/>
      <c r="I42" s="763"/>
      <c r="J42" s="556"/>
      <c r="K42" s="556"/>
      <c r="L42" s="556"/>
      <c r="M42" s="556"/>
      <c r="N42" s="556"/>
      <c r="O42" s="556"/>
      <c r="P42" s="564"/>
      <c r="Q42" s="560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  <c r="DA42" s="326"/>
      <c r="DB42" s="326"/>
      <c r="DC42" s="326"/>
      <c r="DD42" s="326"/>
      <c r="DE42" s="326"/>
      <c r="DF42" s="326"/>
      <c r="DG42" s="326"/>
      <c r="DH42" s="326"/>
      <c r="DI42" s="326"/>
      <c r="DJ42" s="326"/>
      <c r="DK42" s="326"/>
      <c r="DL42" s="326"/>
      <c r="DM42" s="326"/>
      <c r="DN42" s="326"/>
      <c r="DO42" s="326"/>
      <c r="DP42" s="326"/>
      <c r="DQ42" s="326"/>
      <c r="DR42" s="326"/>
      <c r="DS42" s="326"/>
      <c r="DT42" s="326"/>
      <c r="DU42" s="326"/>
      <c r="DV42" s="326"/>
      <c r="DW42" s="326"/>
      <c r="DX42" s="326"/>
      <c r="DY42" s="326"/>
      <c r="DZ42" s="326"/>
      <c r="EA42" s="326"/>
      <c r="EB42" s="326"/>
      <c r="EC42" s="326"/>
      <c r="ED42" s="326"/>
      <c r="EE42" s="326"/>
      <c r="EF42" s="326"/>
      <c r="EG42" s="326"/>
      <c r="EH42" s="326"/>
      <c r="EI42" s="326"/>
      <c r="EJ42" s="326"/>
      <c r="EK42" s="326"/>
      <c r="EL42" s="326"/>
      <c r="EM42" s="326"/>
      <c r="EN42" s="326"/>
      <c r="EO42" s="326"/>
      <c r="EP42" s="326"/>
      <c r="EQ42" s="326"/>
      <c r="ER42" s="326"/>
      <c r="ES42" s="326"/>
      <c r="ET42" s="326"/>
      <c r="EU42" s="326"/>
      <c r="EV42" s="326"/>
      <c r="EW42" s="326"/>
      <c r="EX42" s="326"/>
      <c r="EY42" s="326"/>
      <c r="EZ42" s="326"/>
      <c r="FA42" s="326"/>
      <c r="FB42" s="326"/>
      <c r="FC42" s="326"/>
      <c r="FD42" s="326"/>
      <c r="FE42" s="326"/>
      <c r="FF42" s="326"/>
      <c r="FG42" s="326"/>
      <c r="FH42" s="326"/>
      <c r="FI42" s="326"/>
      <c r="FJ42" s="326"/>
      <c r="FK42" s="326"/>
      <c r="FL42" s="326"/>
      <c r="FM42" s="326"/>
      <c r="FN42" s="326"/>
      <c r="FO42" s="326"/>
      <c r="FP42" s="326"/>
      <c r="FQ42" s="326"/>
      <c r="FR42" s="326"/>
      <c r="FS42" s="326"/>
      <c r="FT42" s="326"/>
      <c r="FU42" s="326"/>
      <c r="FV42" s="326"/>
      <c r="FW42" s="326"/>
      <c r="FX42" s="326"/>
      <c r="FY42" s="326"/>
      <c r="FZ42" s="326"/>
      <c r="GA42" s="326"/>
      <c r="GB42" s="326"/>
      <c r="GC42" s="326"/>
      <c r="GD42" s="326"/>
      <c r="GE42" s="326"/>
      <c r="GF42" s="326"/>
      <c r="GG42" s="326"/>
      <c r="GH42" s="326"/>
      <c r="GI42" s="326"/>
      <c r="GJ42" s="326"/>
      <c r="GK42" s="326"/>
      <c r="GL42" s="326"/>
      <c r="GM42" s="326"/>
      <c r="GN42" s="326"/>
      <c r="GO42" s="326"/>
      <c r="GP42" s="326"/>
      <c r="GQ42" s="326"/>
      <c r="GR42" s="326"/>
      <c r="GS42" s="326"/>
      <c r="GT42" s="326"/>
      <c r="GU42" s="326"/>
      <c r="GV42" s="326"/>
      <c r="GW42" s="326"/>
      <c r="GX42" s="326"/>
      <c r="GY42" s="326"/>
      <c r="GZ42" s="326"/>
      <c r="HA42" s="326"/>
      <c r="HB42" s="326"/>
      <c r="HC42" s="326"/>
      <c r="HD42" s="326"/>
      <c r="HE42" s="326"/>
      <c r="HF42" s="326"/>
      <c r="HG42" s="326"/>
      <c r="HH42" s="326"/>
      <c r="HI42" s="326"/>
      <c r="HJ42" s="326"/>
      <c r="HK42" s="326"/>
      <c r="HL42" s="326"/>
      <c r="HM42" s="326"/>
      <c r="HN42" s="326"/>
      <c r="HO42" s="326"/>
      <c r="HP42" s="326"/>
      <c r="HQ42" s="326"/>
      <c r="HR42" s="326"/>
      <c r="HS42" s="326"/>
      <c r="HT42" s="326"/>
      <c r="HU42" s="326"/>
      <c r="HV42" s="326"/>
      <c r="HW42" s="326"/>
      <c r="HX42" s="326"/>
      <c r="HY42" s="326"/>
      <c r="HZ42" s="326"/>
      <c r="IA42" s="326"/>
      <c r="IB42" s="326"/>
      <c r="IC42" s="326"/>
      <c r="ID42" s="326"/>
      <c r="IE42" s="326"/>
      <c r="IF42" s="326"/>
      <c r="IG42" s="326"/>
      <c r="IH42" s="326"/>
      <c r="II42" s="326"/>
      <c r="IJ42" s="326"/>
      <c r="IK42" s="326"/>
      <c r="IL42" s="326"/>
      <c r="IM42" s="326"/>
      <c r="IN42" s="326"/>
      <c r="IO42" s="326"/>
      <c r="IP42" s="326"/>
      <c r="IQ42" s="326"/>
      <c r="IR42" s="326"/>
      <c r="IS42" s="326"/>
      <c r="IT42" s="326"/>
      <c r="IU42" s="326"/>
      <c r="IV42" s="326"/>
    </row>
    <row r="43" spans="1:17" s="759" customFormat="1" ht="18" customHeight="1">
      <c r="A43" s="569">
        <v>34</v>
      </c>
      <c r="B43" s="752"/>
      <c r="C43" s="366"/>
      <c r="D43" s="754" t="s">
        <v>283</v>
      </c>
      <c r="E43" s="335">
        <f>F43+G43+P44+4262</f>
        <v>123825</v>
      </c>
      <c r="F43" s="756"/>
      <c r="G43" s="336">
        <f>52632+26713</f>
        <v>79345</v>
      </c>
      <c r="H43" s="767"/>
      <c r="I43" s="764">
        <v>2426</v>
      </c>
      <c r="J43" s="757">
        <v>344</v>
      </c>
      <c r="K43" s="757">
        <v>39439</v>
      </c>
      <c r="L43" s="777"/>
      <c r="M43" s="757"/>
      <c r="N43" s="757"/>
      <c r="O43" s="757"/>
      <c r="P43" s="751">
        <f>SUM(I43:O43)</f>
        <v>42209</v>
      </c>
      <c r="Q43" s="758"/>
    </row>
    <row r="44" spans="1:17" s="759" customFormat="1" ht="18" customHeight="1">
      <c r="A44" s="569">
        <v>35</v>
      </c>
      <c r="B44" s="752"/>
      <c r="C44" s="366"/>
      <c r="D44" s="478" t="s">
        <v>757</v>
      </c>
      <c r="E44" s="335"/>
      <c r="F44" s="756"/>
      <c r="G44" s="336"/>
      <c r="H44" s="767"/>
      <c r="I44" s="1187">
        <v>650</v>
      </c>
      <c r="J44" s="1188">
        <v>91</v>
      </c>
      <c r="K44" s="1188">
        <v>39477</v>
      </c>
      <c r="L44" s="556"/>
      <c r="M44" s="1188"/>
      <c r="N44" s="1188"/>
      <c r="O44" s="1188"/>
      <c r="P44" s="564">
        <f>SUM(I44:O44)</f>
        <v>40218</v>
      </c>
      <c r="Q44" s="758"/>
    </row>
    <row r="45" spans="1:17" s="759" customFormat="1" ht="18" customHeight="1">
      <c r="A45" s="569">
        <v>36</v>
      </c>
      <c r="B45" s="752"/>
      <c r="C45" s="366"/>
      <c r="D45" s="1090" t="s">
        <v>892</v>
      </c>
      <c r="E45" s="335"/>
      <c r="F45" s="756"/>
      <c r="G45" s="336"/>
      <c r="H45" s="767"/>
      <c r="I45" s="1185">
        <v>650</v>
      </c>
      <c r="J45" s="1186">
        <v>91</v>
      </c>
      <c r="K45" s="1186">
        <v>33572</v>
      </c>
      <c r="L45" s="556"/>
      <c r="M45" s="1188"/>
      <c r="N45" s="1188"/>
      <c r="O45" s="1188"/>
      <c r="P45" s="1723">
        <f>SUM(I45:O45)</f>
        <v>34313</v>
      </c>
      <c r="Q45" s="758"/>
    </row>
    <row r="46" spans="1:17" s="759" customFormat="1" ht="22.5" customHeight="1">
      <c r="A46" s="569">
        <v>37</v>
      </c>
      <c r="B46" s="752"/>
      <c r="C46" s="366"/>
      <c r="D46" s="558" t="s">
        <v>605</v>
      </c>
      <c r="E46" s="755"/>
      <c r="F46" s="756"/>
      <c r="G46" s="1318"/>
      <c r="H46" s="767"/>
      <c r="I46" s="764"/>
      <c r="J46" s="757"/>
      <c r="K46" s="777"/>
      <c r="L46" s="777"/>
      <c r="M46" s="757"/>
      <c r="N46" s="757"/>
      <c r="O46" s="757"/>
      <c r="P46" s="751"/>
      <c r="Q46" s="758"/>
    </row>
    <row r="47" spans="1:17" s="759" customFormat="1" ht="18" customHeight="1">
      <c r="A47" s="569">
        <v>38</v>
      </c>
      <c r="B47" s="752"/>
      <c r="C47" s="813"/>
      <c r="D47" s="814" t="s">
        <v>283</v>
      </c>
      <c r="E47" s="822">
        <f>F47+G47+P48</f>
        <v>2500</v>
      </c>
      <c r="F47" s="965"/>
      <c r="G47" s="1319"/>
      <c r="H47" s="816"/>
      <c r="I47" s="817"/>
      <c r="J47" s="818"/>
      <c r="K47" s="819"/>
      <c r="L47" s="819"/>
      <c r="M47" s="818"/>
      <c r="N47" s="818">
        <v>2500</v>
      </c>
      <c r="O47" s="818"/>
      <c r="P47" s="820">
        <f>SUM(I47:O47)</f>
        <v>2500</v>
      </c>
      <c r="Q47" s="810"/>
    </row>
    <row r="48" spans="1:17" s="759" customFormat="1" ht="18" customHeight="1">
      <c r="A48" s="569">
        <v>39</v>
      </c>
      <c r="B48" s="752"/>
      <c r="C48" s="813"/>
      <c r="D48" s="478" t="s">
        <v>757</v>
      </c>
      <c r="E48" s="822"/>
      <c r="F48" s="965"/>
      <c r="G48" s="1319"/>
      <c r="H48" s="816"/>
      <c r="I48" s="817"/>
      <c r="J48" s="817"/>
      <c r="K48" s="1332"/>
      <c r="L48" s="1332"/>
      <c r="M48" s="817"/>
      <c r="N48" s="1460">
        <v>2500</v>
      </c>
      <c r="O48" s="1460"/>
      <c r="P48" s="1239">
        <f>SUM(I48:O48)</f>
        <v>2500</v>
      </c>
      <c r="Q48" s="810"/>
    </row>
    <row r="49" spans="1:17" s="759" customFormat="1" ht="18" customHeight="1" thickBot="1">
      <c r="A49" s="569">
        <v>40</v>
      </c>
      <c r="B49" s="752"/>
      <c r="C49" s="366"/>
      <c r="D49" s="1090" t="s">
        <v>893</v>
      </c>
      <c r="E49" s="335"/>
      <c r="F49" s="756"/>
      <c r="G49" s="1318"/>
      <c r="H49" s="767"/>
      <c r="I49" s="764"/>
      <c r="J49" s="764"/>
      <c r="K49" s="781"/>
      <c r="L49" s="781"/>
      <c r="M49" s="764"/>
      <c r="N49" s="1185">
        <v>2500</v>
      </c>
      <c r="O49" s="1195"/>
      <c r="P49" s="1723">
        <f>SUM(I49:O49)</f>
        <v>2500</v>
      </c>
      <c r="Q49" s="758"/>
    </row>
    <row r="50" spans="1:17" s="759" customFormat="1" ht="24.75" customHeight="1" thickTop="1">
      <c r="A50" s="569">
        <v>41</v>
      </c>
      <c r="B50" s="752"/>
      <c r="C50" s="1202"/>
      <c r="D50" s="1343" t="s">
        <v>606</v>
      </c>
      <c r="E50" s="1212">
        <f>E47+E43</f>
        <v>126325</v>
      </c>
      <c r="F50" s="1212">
        <f>F47+F43</f>
        <v>0</v>
      </c>
      <c r="G50" s="1212">
        <f>G47+G43</f>
        <v>79345</v>
      </c>
      <c r="H50" s="1213"/>
      <c r="I50" s="1204"/>
      <c r="J50" s="1204"/>
      <c r="K50" s="1204"/>
      <c r="L50" s="1204"/>
      <c r="M50" s="1204"/>
      <c r="N50" s="1204"/>
      <c r="O50" s="1204"/>
      <c r="P50" s="1204"/>
      <c r="Q50" s="1205"/>
    </row>
    <row r="51" spans="1:17" s="759" customFormat="1" ht="19.5" customHeight="1">
      <c r="A51" s="569">
        <v>42</v>
      </c>
      <c r="B51" s="752"/>
      <c r="C51" s="366"/>
      <c r="D51" s="814" t="s">
        <v>283</v>
      </c>
      <c r="E51" s="1002"/>
      <c r="F51" s="1002"/>
      <c r="G51" s="1320"/>
      <c r="H51" s="767"/>
      <c r="I51" s="764">
        <f aca="true" t="shared" si="2" ref="I51:P52">I47+I43</f>
        <v>2426</v>
      </c>
      <c r="J51" s="764">
        <f t="shared" si="2"/>
        <v>344</v>
      </c>
      <c r="K51" s="764">
        <f t="shared" si="2"/>
        <v>39439</v>
      </c>
      <c r="L51" s="764">
        <f t="shared" si="2"/>
        <v>0</v>
      </c>
      <c r="M51" s="764">
        <f t="shared" si="2"/>
        <v>0</v>
      </c>
      <c r="N51" s="764">
        <f t="shared" si="2"/>
        <v>2500</v>
      </c>
      <c r="O51" s="764">
        <f t="shared" si="2"/>
        <v>0</v>
      </c>
      <c r="P51" s="764">
        <f t="shared" si="2"/>
        <v>44709</v>
      </c>
      <c r="Q51" s="758"/>
    </row>
    <row r="52" spans="1:17" s="759" customFormat="1" ht="19.5" customHeight="1">
      <c r="A52" s="569">
        <v>43</v>
      </c>
      <c r="B52" s="752"/>
      <c r="C52" s="366"/>
      <c r="D52" s="478" t="s">
        <v>757</v>
      </c>
      <c r="E52" s="1002"/>
      <c r="F52" s="1002"/>
      <c r="G52" s="1320"/>
      <c r="H52" s="767"/>
      <c r="I52" s="1187">
        <f t="shared" si="2"/>
        <v>650</v>
      </c>
      <c r="J52" s="1187">
        <f t="shared" si="2"/>
        <v>91</v>
      </c>
      <c r="K52" s="1187">
        <f t="shared" si="2"/>
        <v>39477</v>
      </c>
      <c r="L52" s="1187">
        <f t="shared" si="2"/>
        <v>0</v>
      </c>
      <c r="M52" s="1187">
        <f t="shared" si="2"/>
        <v>0</v>
      </c>
      <c r="N52" s="1187">
        <f t="shared" si="2"/>
        <v>2500</v>
      </c>
      <c r="O52" s="1187">
        <f t="shared" si="2"/>
        <v>0</v>
      </c>
      <c r="P52" s="1187">
        <f t="shared" si="2"/>
        <v>42718</v>
      </c>
      <c r="Q52" s="758"/>
    </row>
    <row r="53" spans="1:17" s="759" customFormat="1" ht="19.5" customHeight="1" thickBot="1">
      <c r="A53" s="569">
        <v>44</v>
      </c>
      <c r="B53" s="752"/>
      <c r="C53" s="1207"/>
      <c r="D53" s="1595" t="s">
        <v>893</v>
      </c>
      <c r="E53" s="1208"/>
      <c r="F53" s="1208"/>
      <c r="G53" s="1321"/>
      <c r="H53" s="1209"/>
      <c r="I53" s="1610">
        <f aca="true" t="shared" si="3" ref="I53:O53">I49+I45</f>
        <v>650</v>
      </c>
      <c r="J53" s="1610">
        <f t="shared" si="3"/>
        <v>91</v>
      </c>
      <c r="K53" s="1610">
        <f t="shared" si="3"/>
        <v>33572</v>
      </c>
      <c r="L53" s="1610">
        <f t="shared" si="3"/>
        <v>0</v>
      </c>
      <c r="M53" s="1610">
        <f t="shared" si="3"/>
        <v>0</v>
      </c>
      <c r="N53" s="1610">
        <f t="shared" si="3"/>
        <v>2500</v>
      </c>
      <c r="O53" s="1610">
        <f t="shared" si="3"/>
        <v>0</v>
      </c>
      <c r="P53" s="1731">
        <f>SUM(I53:O53)</f>
        <v>36813</v>
      </c>
      <c r="Q53" s="1736"/>
    </row>
    <row r="54" spans="1:256" s="555" customFormat="1" ht="22.5" customHeight="1" thickTop="1">
      <c r="A54" s="569">
        <v>45</v>
      </c>
      <c r="B54" s="563"/>
      <c r="C54" s="802">
        <v>3</v>
      </c>
      <c r="D54" s="809" t="s">
        <v>607</v>
      </c>
      <c r="E54" s="333"/>
      <c r="F54" s="331"/>
      <c r="G54" s="332"/>
      <c r="H54" s="765" t="s">
        <v>23</v>
      </c>
      <c r="I54" s="966"/>
      <c r="J54" s="967"/>
      <c r="K54" s="967"/>
      <c r="L54" s="967"/>
      <c r="M54" s="967"/>
      <c r="N54" s="967"/>
      <c r="O54" s="967"/>
      <c r="P54" s="968"/>
      <c r="Q54" s="557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326"/>
      <c r="DH54" s="326"/>
      <c r="DI54" s="326"/>
      <c r="DJ54" s="326"/>
      <c r="DK54" s="326"/>
      <c r="DL54" s="326"/>
      <c r="DM54" s="326"/>
      <c r="DN54" s="326"/>
      <c r="DO54" s="326"/>
      <c r="DP54" s="326"/>
      <c r="DQ54" s="326"/>
      <c r="DR54" s="326"/>
      <c r="DS54" s="326"/>
      <c r="DT54" s="326"/>
      <c r="DU54" s="326"/>
      <c r="DV54" s="326"/>
      <c r="DW54" s="326"/>
      <c r="DX54" s="326"/>
      <c r="DY54" s="326"/>
      <c r="DZ54" s="326"/>
      <c r="EA54" s="326"/>
      <c r="EB54" s="326"/>
      <c r="EC54" s="326"/>
      <c r="ED54" s="326"/>
      <c r="EE54" s="326"/>
      <c r="EF54" s="326"/>
      <c r="EG54" s="326"/>
      <c r="EH54" s="326"/>
      <c r="EI54" s="326"/>
      <c r="EJ54" s="326"/>
      <c r="EK54" s="326"/>
      <c r="EL54" s="326"/>
      <c r="EM54" s="326"/>
      <c r="EN54" s="326"/>
      <c r="EO54" s="326"/>
      <c r="EP54" s="326"/>
      <c r="EQ54" s="326"/>
      <c r="ER54" s="326"/>
      <c r="ES54" s="326"/>
      <c r="ET54" s="326"/>
      <c r="EU54" s="326"/>
      <c r="EV54" s="326"/>
      <c r="EW54" s="326"/>
      <c r="EX54" s="326"/>
      <c r="EY54" s="326"/>
      <c r="EZ54" s="326"/>
      <c r="FA54" s="326"/>
      <c r="FB54" s="326"/>
      <c r="FC54" s="326"/>
      <c r="FD54" s="326"/>
      <c r="FE54" s="326"/>
      <c r="FF54" s="326"/>
      <c r="FG54" s="326"/>
      <c r="FH54" s="326"/>
      <c r="FI54" s="326"/>
      <c r="FJ54" s="326"/>
      <c r="FK54" s="326"/>
      <c r="FL54" s="326"/>
      <c r="FM54" s="326"/>
      <c r="FN54" s="326"/>
      <c r="FO54" s="326"/>
      <c r="FP54" s="326"/>
      <c r="FQ54" s="326"/>
      <c r="FR54" s="326"/>
      <c r="FS54" s="326"/>
      <c r="FT54" s="326"/>
      <c r="FU54" s="326"/>
      <c r="FV54" s="326"/>
      <c r="FW54" s="326"/>
      <c r="FX54" s="326"/>
      <c r="FY54" s="326"/>
      <c r="FZ54" s="326"/>
      <c r="GA54" s="326"/>
      <c r="GB54" s="326"/>
      <c r="GC54" s="326"/>
      <c r="GD54" s="326"/>
      <c r="GE54" s="326"/>
      <c r="GF54" s="326"/>
      <c r="GG54" s="326"/>
      <c r="GH54" s="326"/>
      <c r="GI54" s="326"/>
      <c r="GJ54" s="326"/>
      <c r="GK54" s="326"/>
      <c r="GL54" s="326"/>
      <c r="GM54" s="326"/>
      <c r="GN54" s="326"/>
      <c r="GO54" s="326"/>
      <c r="GP54" s="326"/>
      <c r="GQ54" s="326"/>
      <c r="GR54" s="326"/>
      <c r="GS54" s="326"/>
      <c r="GT54" s="326"/>
      <c r="GU54" s="326"/>
      <c r="GV54" s="326"/>
      <c r="GW54" s="326"/>
      <c r="GX54" s="326"/>
      <c r="GY54" s="326"/>
      <c r="GZ54" s="326"/>
      <c r="HA54" s="326"/>
      <c r="HB54" s="326"/>
      <c r="HC54" s="326"/>
      <c r="HD54" s="326"/>
      <c r="HE54" s="326"/>
      <c r="HF54" s="326"/>
      <c r="HG54" s="326"/>
      <c r="HH54" s="326"/>
      <c r="HI54" s="326"/>
      <c r="HJ54" s="326"/>
      <c r="HK54" s="326"/>
      <c r="HL54" s="326"/>
      <c r="HM54" s="326"/>
      <c r="HN54" s="326"/>
      <c r="HO54" s="326"/>
      <c r="HP54" s="326"/>
      <c r="HQ54" s="326"/>
      <c r="HR54" s="326"/>
      <c r="HS54" s="326"/>
      <c r="HT54" s="326"/>
      <c r="HU54" s="326"/>
      <c r="HV54" s="326"/>
      <c r="HW54" s="326"/>
      <c r="HX54" s="326"/>
      <c r="HY54" s="326"/>
      <c r="HZ54" s="326"/>
      <c r="IA54" s="326"/>
      <c r="IB54" s="326"/>
      <c r="IC54" s="326"/>
      <c r="ID54" s="326"/>
      <c r="IE54" s="326"/>
      <c r="IF54" s="326"/>
      <c r="IG54" s="326"/>
      <c r="IH54" s="326"/>
      <c r="II54" s="326"/>
      <c r="IJ54" s="326"/>
      <c r="IK54" s="326"/>
      <c r="IL54" s="326"/>
      <c r="IM54" s="326"/>
      <c r="IN54" s="326"/>
      <c r="IO54" s="326"/>
      <c r="IP54" s="326"/>
      <c r="IQ54" s="326"/>
      <c r="IR54" s="326"/>
      <c r="IS54" s="326"/>
      <c r="IT54" s="326"/>
      <c r="IU54" s="326"/>
      <c r="IV54" s="326"/>
    </row>
    <row r="55" spans="1:256" s="555" customFormat="1" ht="37.5" customHeight="1">
      <c r="A55" s="569">
        <v>46</v>
      </c>
      <c r="B55" s="563"/>
      <c r="C55" s="366"/>
      <c r="D55" s="328" t="s">
        <v>608</v>
      </c>
      <c r="E55" s="335"/>
      <c r="F55" s="559"/>
      <c r="G55" s="336"/>
      <c r="H55" s="766"/>
      <c r="I55" s="763"/>
      <c r="J55" s="556"/>
      <c r="K55" s="556"/>
      <c r="L55" s="556"/>
      <c r="M55" s="556"/>
      <c r="N55" s="556"/>
      <c r="O55" s="556"/>
      <c r="P55" s="564"/>
      <c r="Q55" s="560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  <c r="CZ55" s="326"/>
      <c r="DA55" s="326"/>
      <c r="DB55" s="326"/>
      <c r="DC55" s="326"/>
      <c r="DD55" s="326"/>
      <c r="DE55" s="326"/>
      <c r="DF55" s="326"/>
      <c r="DG55" s="326"/>
      <c r="DH55" s="326"/>
      <c r="DI55" s="326"/>
      <c r="DJ55" s="326"/>
      <c r="DK55" s="326"/>
      <c r="DL55" s="326"/>
      <c r="DM55" s="326"/>
      <c r="DN55" s="326"/>
      <c r="DO55" s="326"/>
      <c r="DP55" s="326"/>
      <c r="DQ55" s="326"/>
      <c r="DR55" s="326"/>
      <c r="DS55" s="326"/>
      <c r="DT55" s="326"/>
      <c r="DU55" s="326"/>
      <c r="DV55" s="326"/>
      <c r="DW55" s="326"/>
      <c r="DX55" s="326"/>
      <c r="DY55" s="326"/>
      <c r="DZ55" s="326"/>
      <c r="EA55" s="326"/>
      <c r="EB55" s="326"/>
      <c r="EC55" s="326"/>
      <c r="ED55" s="326"/>
      <c r="EE55" s="326"/>
      <c r="EF55" s="326"/>
      <c r="EG55" s="326"/>
      <c r="EH55" s="326"/>
      <c r="EI55" s="326"/>
      <c r="EJ55" s="326"/>
      <c r="EK55" s="326"/>
      <c r="EL55" s="326"/>
      <c r="EM55" s="326"/>
      <c r="EN55" s="326"/>
      <c r="EO55" s="326"/>
      <c r="EP55" s="326"/>
      <c r="EQ55" s="326"/>
      <c r="ER55" s="326"/>
      <c r="ES55" s="326"/>
      <c r="ET55" s="326"/>
      <c r="EU55" s="326"/>
      <c r="EV55" s="326"/>
      <c r="EW55" s="326"/>
      <c r="EX55" s="326"/>
      <c r="EY55" s="326"/>
      <c r="EZ55" s="326"/>
      <c r="FA55" s="326"/>
      <c r="FB55" s="326"/>
      <c r="FC55" s="326"/>
      <c r="FD55" s="326"/>
      <c r="FE55" s="326"/>
      <c r="FF55" s="326"/>
      <c r="FG55" s="326"/>
      <c r="FH55" s="326"/>
      <c r="FI55" s="326"/>
      <c r="FJ55" s="326"/>
      <c r="FK55" s="326"/>
      <c r="FL55" s="326"/>
      <c r="FM55" s="326"/>
      <c r="FN55" s="326"/>
      <c r="FO55" s="326"/>
      <c r="FP55" s="326"/>
      <c r="FQ55" s="326"/>
      <c r="FR55" s="326"/>
      <c r="FS55" s="326"/>
      <c r="FT55" s="326"/>
      <c r="FU55" s="326"/>
      <c r="FV55" s="326"/>
      <c r="FW55" s="326"/>
      <c r="FX55" s="326"/>
      <c r="FY55" s="326"/>
      <c r="FZ55" s="326"/>
      <c r="GA55" s="326"/>
      <c r="GB55" s="326"/>
      <c r="GC55" s="326"/>
      <c r="GD55" s="326"/>
      <c r="GE55" s="326"/>
      <c r="GF55" s="326"/>
      <c r="GG55" s="326"/>
      <c r="GH55" s="326"/>
      <c r="GI55" s="326"/>
      <c r="GJ55" s="326"/>
      <c r="GK55" s="326"/>
      <c r="GL55" s="326"/>
      <c r="GM55" s="326"/>
      <c r="GN55" s="326"/>
      <c r="GO55" s="326"/>
      <c r="GP55" s="326"/>
      <c r="GQ55" s="326"/>
      <c r="GR55" s="326"/>
      <c r="GS55" s="326"/>
      <c r="GT55" s="326"/>
      <c r="GU55" s="326"/>
      <c r="GV55" s="326"/>
      <c r="GW55" s="326"/>
      <c r="GX55" s="326"/>
      <c r="GY55" s="326"/>
      <c r="GZ55" s="326"/>
      <c r="HA55" s="326"/>
      <c r="HB55" s="326"/>
      <c r="HC55" s="326"/>
      <c r="HD55" s="326"/>
      <c r="HE55" s="326"/>
      <c r="HF55" s="326"/>
      <c r="HG55" s="326"/>
      <c r="HH55" s="326"/>
      <c r="HI55" s="326"/>
      <c r="HJ55" s="326"/>
      <c r="HK55" s="326"/>
      <c r="HL55" s="326"/>
      <c r="HM55" s="326"/>
      <c r="HN55" s="326"/>
      <c r="HO55" s="326"/>
      <c r="HP55" s="326"/>
      <c r="HQ55" s="326"/>
      <c r="HR55" s="326"/>
      <c r="HS55" s="326"/>
      <c r="HT55" s="326"/>
      <c r="HU55" s="326"/>
      <c r="HV55" s="326"/>
      <c r="HW55" s="326"/>
      <c r="HX55" s="326"/>
      <c r="HY55" s="326"/>
      <c r="HZ55" s="326"/>
      <c r="IA55" s="326"/>
      <c r="IB55" s="326"/>
      <c r="IC55" s="326"/>
      <c r="ID55" s="326"/>
      <c r="IE55" s="326"/>
      <c r="IF55" s="326"/>
      <c r="IG55" s="326"/>
      <c r="IH55" s="326"/>
      <c r="II55" s="326"/>
      <c r="IJ55" s="326"/>
      <c r="IK55" s="326"/>
      <c r="IL55" s="326"/>
      <c r="IM55" s="326"/>
      <c r="IN55" s="326"/>
      <c r="IO55" s="326"/>
      <c r="IP55" s="326"/>
      <c r="IQ55" s="326"/>
      <c r="IR55" s="326"/>
      <c r="IS55" s="326"/>
      <c r="IT55" s="326"/>
      <c r="IU55" s="326"/>
      <c r="IV55" s="326"/>
    </row>
    <row r="56" spans="1:256" s="555" customFormat="1" ht="19.5" customHeight="1">
      <c r="A56" s="569">
        <v>47</v>
      </c>
      <c r="B56" s="563"/>
      <c r="C56" s="327"/>
      <c r="D56" s="754" t="s">
        <v>283</v>
      </c>
      <c r="E56" s="335">
        <f>F56+G56+P57</f>
        <v>2414207</v>
      </c>
      <c r="F56" s="559"/>
      <c r="G56" s="336"/>
      <c r="H56" s="766"/>
      <c r="I56" s="763"/>
      <c r="J56" s="556"/>
      <c r="K56" s="556"/>
      <c r="L56" s="556"/>
      <c r="M56" s="757">
        <v>2414207</v>
      </c>
      <c r="N56" s="556"/>
      <c r="O56" s="556"/>
      <c r="P56" s="751">
        <f>SUM(I56:O56)</f>
        <v>2414207</v>
      </c>
      <c r="Q56" s="560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6"/>
      <c r="BO56" s="326"/>
      <c r="BP56" s="326"/>
      <c r="BQ56" s="326"/>
      <c r="BR56" s="326"/>
      <c r="BS56" s="326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6"/>
      <c r="CW56" s="326"/>
      <c r="CX56" s="326"/>
      <c r="CY56" s="326"/>
      <c r="CZ56" s="326"/>
      <c r="DA56" s="326"/>
      <c r="DB56" s="326"/>
      <c r="DC56" s="326"/>
      <c r="DD56" s="326"/>
      <c r="DE56" s="326"/>
      <c r="DF56" s="326"/>
      <c r="DG56" s="326"/>
      <c r="DH56" s="326"/>
      <c r="DI56" s="326"/>
      <c r="DJ56" s="326"/>
      <c r="DK56" s="326"/>
      <c r="DL56" s="326"/>
      <c r="DM56" s="326"/>
      <c r="DN56" s="326"/>
      <c r="DO56" s="326"/>
      <c r="DP56" s="326"/>
      <c r="DQ56" s="326"/>
      <c r="DR56" s="326"/>
      <c r="DS56" s="326"/>
      <c r="DT56" s="326"/>
      <c r="DU56" s="326"/>
      <c r="DV56" s="326"/>
      <c r="DW56" s="326"/>
      <c r="DX56" s="326"/>
      <c r="DY56" s="326"/>
      <c r="DZ56" s="326"/>
      <c r="EA56" s="326"/>
      <c r="EB56" s="326"/>
      <c r="EC56" s="326"/>
      <c r="ED56" s="326"/>
      <c r="EE56" s="326"/>
      <c r="EF56" s="326"/>
      <c r="EG56" s="326"/>
      <c r="EH56" s="326"/>
      <c r="EI56" s="326"/>
      <c r="EJ56" s="326"/>
      <c r="EK56" s="326"/>
      <c r="EL56" s="326"/>
      <c r="EM56" s="326"/>
      <c r="EN56" s="326"/>
      <c r="EO56" s="326"/>
      <c r="EP56" s="326"/>
      <c r="EQ56" s="326"/>
      <c r="ER56" s="326"/>
      <c r="ES56" s="326"/>
      <c r="ET56" s="326"/>
      <c r="EU56" s="326"/>
      <c r="EV56" s="326"/>
      <c r="EW56" s="326"/>
      <c r="EX56" s="326"/>
      <c r="EY56" s="326"/>
      <c r="EZ56" s="326"/>
      <c r="FA56" s="326"/>
      <c r="FB56" s="326"/>
      <c r="FC56" s="326"/>
      <c r="FD56" s="326"/>
      <c r="FE56" s="326"/>
      <c r="FF56" s="326"/>
      <c r="FG56" s="326"/>
      <c r="FH56" s="326"/>
      <c r="FI56" s="326"/>
      <c r="FJ56" s="326"/>
      <c r="FK56" s="326"/>
      <c r="FL56" s="326"/>
      <c r="FM56" s="326"/>
      <c r="FN56" s="326"/>
      <c r="FO56" s="326"/>
      <c r="FP56" s="326"/>
      <c r="FQ56" s="326"/>
      <c r="FR56" s="326"/>
      <c r="FS56" s="326"/>
      <c r="FT56" s="326"/>
      <c r="FU56" s="326"/>
      <c r="FV56" s="326"/>
      <c r="FW56" s="326"/>
      <c r="FX56" s="326"/>
      <c r="FY56" s="326"/>
      <c r="FZ56" s="326"/>
      <c r="GA56" s="326"/>
      <c r="GB56" s="326"/>
      <c r="GC56" s="326"/>
      <c r="GD56" s="326"/>
      <c r="GE56" s="326"/>
      <c r="GF56" s="326"/>
      <c r="GG56" s="326"/>
      <c r="GH56" s="326"/>
      <c r="GI56" s="326"/>
      <c r="GJ56" s="326"/>
      <c r="GK56" s="326"/>
      <c r="GL56" s="326"/>
      <c r="GM56" s="326"/>
      <c r="GN56" s="326"/>
      <c r="GO56" s="326"/>
      <c r="GP56" s="326"/>
      <c r="GQ56" s="326"/>
      <c r="GR56" s="326"/>
      <c r="GS56" s="326"/>
      <c r="GT56" s="326"/>
      <c r="GU56" s="326"/>
      <c r="GV56" s="326"/>
      <c r="GW56" s="326"/>
      <c r="GX56" s="326"/>
      <c r="GY56" s="326"/>
      <c r="GZ56" s="326"/>
      <c r="HA56" s="326"/>
      <c r="HB56" s="326"/>
      <c r="HC56" s="326"/>
      <c r="HD56" s="326"/>
      <c r="HE56" s="326"/>
      <c r="HF56" s="326"/>
      <c r="HG56" s="326"/>
      <c r="HH56" s="326"/>
      <c r="HI56" s="326"/>
      <c r="HJ56" s="326"/>
      <c r="HK56" s="326"/>
      <c r="HL56" s="326"/>
      <c r="HM56" s="326"/>
      <c r="HN56" s="326"/>
      <c r="HO56" s="326"/>
      <c r="HP56" s="326"/>
      <c r="HQ56" s="326"/>
      <c r="HR56" s="326"/>
      <c r="HS56" s="326"/>
      <c r="HT56" s="326"/>
      <c r="HU56" s="326"/>
      <c r="HV56" s="326"/>
      <c r="HW56" s="326"/>
      <c r="HX56" s="326"/>
      <c r="HY56" s="326"/>
      <c r="HZ56" s="326"/>
      <c r="IA56" s="326"/>
      <c r="IB56" s="326"/>
      <c r="IC56" s="326"/>
      <c r="ID56" s="326"/>
      <c r="IE56" s="326"/>
      <c r="IF56" s="326"/>
      <c r="IG56" s="326"/>
      <c r="IH56" s="326"/>
      <c r="II56" s="326"/>
      <c r="IJ56" s="326"/>
      <c r="IK56" s="326"/>
      <c r="IL56" s="326"/>
      <c r="IM56" s="326"/>
      <c r="IN56" s="326"/>
      <c r="IO56" s="326"/>
      <c r="IP56" s="326"/>
      <c r="IQ56" s="326"/>
      <c r="IR56" s="326"/>
      <c r="IS56" s="326"/>
      <c r="IT56" s="326"/>
      <c r="IU56" s="326"/>
      <c r="IV56" s="326"/>
    </row>
    <row r="57" spans="1:256" s="555" customFormat="1" ht="19.5" customHeight="1">
      <c r="A57" s="569">
        <v>48</v>
      </c>
      <c r="B57" s="563"/>
      <c r="C57" s="327"/>
      <c r="D57" s="478" t="s">
        <v>757</v>
      </c>
      <c r="E57" s="335"/>
      <c r="F57" s="559"/>
      <c r="G57" s="336"/>
      <c r="H57" s="766"/>
      <c r="I57" s="763"/>
      <c r="J57" s="556"/>
      <c r="K57" s="1188">
        <v>773</v>
      </c>
      <c r="L57" s="556"/>
      <c r="M57" s="1188">
        <v>2368296</v>
      </c>
      <c r="N57" s="556"/>
      <c r="O57" s="1188">
        <v>45138</v>
      </c>
      <c r="P57" s="564">
        <f>SUM(I57:O57)</f>
        <v>2414207</v>
      </c>
      <c r="Q57" s="560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6"/>
      <c r="BD57" s="326"/>
      <c r="BE57" s="326"/>
      <c r="BF57" s="326"/>
      <c r="BG57" s="326"/>
      <c r="BH57" s="326"/>
      <c r="BI57" s="326"/>
      <c r="BJ57" s="326"/>
      <c r="BK57" s="326"/>
      <c r="BL57" s="326"/>
      <c r="BM57" s="326"/>
      <c r="BN57" s="326"/>
      <c r="BO57" s="326"/>
      <c r="BP57" s="326"/>
      <c r="BQ57" s="326"/>
      <c r="BR57" s="326"/>
      <c r="BS57" s="326"/>
      <c r="BT57" s="326"/>
      <c r="BU57" s="326"/>
      <c r="BV57" s="326"/>
      <c r="BW57" s="326"/>
      <c r="BX57" s="326"/>
      <c r="BY57" s="326"/>
      <c r="BZ57" s="326"/>
      <c r="CA57" s="326"/>
      <c r="CB57" s="326"/>
      <c r="CC57" s="326"/>
      <c r="CD57" s="326"/>
      <c r="CE57" s="326"/>
      <c r="CF57" s="326"/>
      <c r="CG57" s="326"/>
      <c r="CH57" s="326"/>
      <c r="CI57" s="326"/>
      <c r="CJ57" s="326"/>
      <c r="CK57" s="326"/>
      <c r="CL57" s="326"/>
      <c r="CM57" s="326"/>
      <c r="CN57" s="326"/>
      <c r="CO57" s="326"/>
      <c r="CP57" s="326"/>
      <c r="CQ57" s="326"/>
      <c r="CR57" s="326"/>
      <c r="CS57" s="326"/>
      <c r="CT57" s="326"/>
      <c r="CU57" s="326"/>
      <c r="CV57" s="326"/>
      <c r="CW57" s="326"/>
      <c r="CX57" s="326"/>
      <c r="CY57" s="326"/>
      <c r="CZ57" s="326"/>
      <c r="DA57" s="326"/>
      <c r="DB57" s="326"/>
      <c r="DC57" s="326"/>
      <c r="DD57" s="326"/>
      <c r="DE57" s="326"/>
      <c r="DF57" s="326"/>
      <c r="DG57" s="326"/>
      <c r="DH57" s="326"/>
      <c r="DI57" s="326"/>
      <c r="DJ57" s="326"/>
      <c r="DK57" s="326"/>
      <c r="DL57" s="326"/>
      <c r="DM57" s="326"/>
      <c r="DN57" s="326"/>
      <c r="DO57" s="326"/>
      <c r="DP57" s="326"/>
      <c r="DQ57" s="326"/>
      <c r="DR57" s="326"/>
      <c r="DS57" s="326"/>
      <c r="DT57" s="326"/>
      <c r="DU57" s="326"/>
      <c r="DV57" s="326"/>
      <c r="DW57" s="326"/>
      <c r="DX57" s="326"/>
      <c r="DY57" s="326"/>
      <c r="DZ57" s="326"/>
      <c r="EA57" s="326"/>
      <c r="EB57" s="326"/>
      <c r="EC57" s="326"/>
      <c r="ED57" s="326"/>
      <c r="EE57" s="326"/>
      <c r="EF57" s="326"/>
      <c r="EG57" s="326"/>
      <c r="EH57" s="326"/>
      <c r="EI57" s="326"/>
      <c r="EJ57" s="326"/>
      <c r="EK57" s="326"/>
      <c r="EL57" s="326"/>
      <c r="EM57" s="326"/>
      <c r="EN57" s="326"/>
      <c r="EO57" s="326"/>
      <c r="EP57" s="326"/>
      <c r="EQ57" s="326"/>
      <c r="ER57" s="326"/>
      <c r="ES57" s="326"/>
      <c r="ET57" s="326"/>
      <c r="EU57" s="326"/>
      <c r="EV57" s="326"/>
      <c r="EW57" s="326"/>
      <c r="EX57" s="326"/>
      <c r="EY57" s="326"/>
      <c r="EZ57" s="326"/>
      <c r="FA57" s="326"/>
      <c r="FB57" s="326"/>
      <c r="FC57" s="326"/>
      <c r="FD57" s="326"/>
      <c r="FE57" s="326"/>
      <c r="FF57" s="326"/>
      <c r="FG57" s="326"/>
      <c r="FH57" s="326"/>
      <c r="FI57" s="326"/>
      <c r="FJ57" s="326"/>
      <c r="FK57" s="326"/>
      <c r="FL57" s="326"/>
      <c r="FM57" s="326"/>
      <c r="FN57" s="326"/>
      <c r="FO57" s="326"/>
      <c r="FP57" s="326"/>
      <c r="FQ57" s="326"/>
      <c r="FR57" s="326"/>
      <c r="FS57" s="326"/>
      <c r="FT57" s="326"/>
      <c r="FU57" s="326"/>
      <c r="FV57" s="326"/>
      <c r="FW57" s="326"/>
      <c r="FX57" s="326"/>
      <c r="FY57" s="326"/>
      <c r="FZ57" s="326"/>
      <c r="GA57" s="326"/>
      <c r="GB57" s="326"/>
      <c r="GC57" s="326"/>
      <c r="GD57" s="326"/>
      <c r="GE57" s="326"/>
      <c r="GF57" s="326"/>
      <c r="GG57" s="326"/>
      <c r="GH57" s="326"/>
      <c r="GI57" s="326"/>
      <c r="GJ57" s="326"/>
      <c r="GK57" s="326"/>
      <c r="GL57" s="326"/>
      <c r="GM57" s="326"/>
      <c r="GN57" s="326"/>
      <c r="GO57" s="326"/>
      <c r="GP57" s="326"/>
      <c r="GQ57" s="326"/>
      <c r="GR57" s="326"/>
      <c r="GS57" s="326"/>
      <c r="GT57" s="326"/>
      <c r="GU57" s="326"/>
      <c r="GV57" s="326"/>
      <c r="GW57" s="326"/>
      <c r="GX57" s="326"/>
      <c r="GY57" s="326"/>
      <c r="GZ57" s="326"/>
      <c r="HA57" s="326"/>
      <c r="HB57" s="326"/>
      <c r="HC57" s="326"/>
      <c r="HD57" s="326"/>
      <c r="HE57" s="326"/>
      <c r="HF57" s="326"/>
      <c r="HG57" s="326"/>
      <c r="HH57" s="326"/>
      <c r="HI57" s="326"/>
      <c r="HJ57" s="326"/>
      <c r="HK57" s="326"/>
      <c r="HL57" s="326"/>
      <c r="HM57" s="326"/>
      <c r="HN57" s="326"/>
      <c r="HO57" s="326"/>
      <c r="HP57" s="326"/>
      <c r="HQ57" s="326"/>
      <c r="HR57" s="326"/>
      <c r="HS57" s="326"/>
      <c r="HT57" s="326"/>
      <c r="HU57" s="326"/>
      <c r="HV57" s="326"/>
      <c r="HW57" s="326"/>
      <c r="HX57" s="326"/>
      <c r="HY57" s="326"/>
      <c r="HZ57" s="326"/>
      <c r="IA57" s="326"/>
      <c r="IB57" s="326"/>
      <c r="IC57" s="326"/>
      <c r="ID57" s="326"/>
      <c r="IE57" s="326"/>
      <c r="IF57" s="326"/>
      <c r="IG57" s="326"/>
      <c r="IH57" s="326"/>
      <c r="II57" s="326"/>
      <c r="IJ57" s="326"/>
      <c r="IK57" s="326"/>
      <c r="IL57" s="326"/>
      <c r="IM57" s="326"/>
      <c r="IN57" s="326"/>
      <c r="IO57" s="326"/>
      <c r="IP57" s="326"/>
      <c r="IQ57" s="326"/>
      <c r="IR57" s="326"/>
      <c r="IS57" s="326"/>
      <c r="IT57" s="326"/>
      <c r="IU57" s="326"/>
      <c r="IV57" s="326"/>
    </row>
    <row r="58" spans="1:256" s="555" customFormat="1" ht="19.5" customHeight="1">
      <c r="A58" s="569">
        <v>49</v>
      </c>
      <c r="B58" s="563"/>
      <c r="C58" s="327"/>
      <c r="D58" s="1090" t="s">
        <v>892</v>
      </c>
      <c r="E58" s="335"/>
      <c r="F58" s="559"/>
      <c r="G58" s="336"/>
      <c r="H58" s="766"/>
      <c r="I58" s="763"/>
      <c r="J58" s="556"/>
      <c r="K58" s="1186">
        <v>0</v>
      </c>
      <c r="L58" s="1186"/>
      <c r="M58" s="1186">
        <v>2368296</v>
      </c>
      <c r="N58" s="1186"/>
      <c r="O58" s="1186">
        <v>0</v>
      </c>
      <c r="P58" s="1723">
        <f>SUM(I58:O58)</f>
        <v>2368296</v>
      </c>
      <c r="Q58" s="560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6"/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  <c r="DA58" s="326"/>
      <c r="DB58" s="326"/>
      <c r="DC58" s="326"/>
      <c r="DD58" s="326"/>
      <c r="DE58" s="326"/>
      <c r="DF58" s="326"/>
      <c r="DG58" s="326"/>
      <c r="DH58" s="326"/>
      <c r="DI58" s="326"/>
      <c r="DJ58" s="326"/>
      <c r="DK58" s="326"/>
      <c r="DL58" s="326"/>
      <c r="DM58" s="326"/>
      <c r="DN58" s="326"/>
      <c r="DO58" s="326"/>
      <c r="DP58" s="326"/>
      <c r="DQ58" s="326"/>
      <c r="DR58" s="326"/>
      <c r="DS58" s="326"/>
      <c r="DT58" s="326"/>
      <c r="DU58" s="326"/>
      <c r="DV58" s="326"/>
      <c r="DW58" s="326"/>
      <c r="DX58" s="326"/>
      <c r="DY58" s="326"/>
      <c r="DZ58" s="326"/>
      <c r="EA58" s="326"/>
      <c r="EB58" s="326"/>
      <c r="EC58" s="326"/>
      <c r="ED58" s="326"/>
      <c r="EE58" s="326"/>
      <c r="EF58" s="326"/>
      <c r="EG58" s="326"/>
      <c r="EH58" s="326"/>
      <c r="EI58" s="326"/>
      <c r="EJ58" s="326"/>
      <c r="EK58" s="326"/>
      <c r="EL58" s="326"/>
      <c r="EM58" s="326"/>
      <c r="EN58" s="326"/>
      <c r="EO58" s="326"/>
      <c r="EP58" s="326"/>
      <c r="EQ58" s="326"/>
      <c r="ER58" s="326"/>
      <c r="ES58" s="326"/>
      <c r="ET58" s="326"/>
      <c r="EU58" s="326"/>
      <c r="EV58" s="326"/>
      <c r="EW58" s="326"/>
      <c r="EX58" s="326"/>
      <c r="EY58" s="326"/>
      <c r="EZ58" s="326"/>
      <c r="FA58" s="326"/>
      <c r="FB58" s="326"/>
      <c r="FC58" s="326"/>
      <c r="FD58" s="326"/>
      <c r="FE58" s="326"/>
      <c r="FF58" s="326"/>
      <c r="FG58" s="326"/>
      <c r="FH58" s="326"/>
      <c r="FI58" s="326"/>
      <c r="FJ58" s="326"/>
      <c r="FK58" s="326"/>
      <c r="FL58" s="326"/>
      <c r="FM58" s="326"/>
      <c r="FN58" s="326"/>
      <c r="FO58" s="326"/>
      <c r="FP58" s="326"/>
      <c r="FQ58" s="326"/>
      <c r="FR58" s="326"/>
      <c r="FS58" s="326"/>
      <c r="FT58" s="326"/>
      <c r="FU58" s="326"/>
      <c r="FV58" s="326"/>
      <c r="FW58" s="326"/>
      <c r="FX58" s="326"/>
      <c r="FY58" s="326"/>
      <c r="FZ58" s="326"/>
      <c r="GA58" s="326"/>
      <c r="GB58" s="326"/>
      <c r="GC58" s="326"/>
      <c r="GD58" s="326"/>
      <c r="GE58" s="326"/>
      <c r="GF58" s="326"/>
      <c r="GG58" s="326"/>
      <c r="GH58" s="326"/>
      <c r="GI58" s="326"/>
      <c r="GJ58" s="326"/>
      <c r="GK58" s="326"/>
      <c r="GL58" s="326"/>
      <c r="GM58" s="326"/>
      <c r="GN58" s="326"/>
      <c r="GO58" s="326"/>
      <c r="GP58" s="326"/>
      <c r="GQ58" s="326"/>
      <c r="GR58" s="326"/>
      <c r="GS58" s="326"/>
      <c r="GT58" s="326"/>
      <c r="GU58" s="326"/>
      <c r="GV58" s="326"/>
      <c r="GW58" s="326"/>
      <c r="GX58" s="326"/>
      <c r="GY58" s="326"/>
      <c r="GZ58" s="326"/>
      <c r="HA58" s="326"/>
      <c r="HB58" s="326"/>
      <c r="HC58" s="326"/>
      <c r="HD58" s="326"/>
      <c r="HE58" s="326"/>
      <c r="HF58" s="326"/>
      <c r="HG58" s="326"/>
      <c r="HH58" s="326"/>
      <c r="HI58" s="326"/>
      <c r="HJ58" s="326"/>
      <c r="HK58" s="326"/>
      <c r="HL58" s="326"/>
      <c r="HM58" s="326"/>
      <c r="HN58" s="326"/>
      <c r="HO58" s="326"/>
      <c r="HP58" s="326"/>
      <c r="HQ58" s="326"/>
      <c r="HR58" s="326"/>
      <c r="HS58" s="326"/>
      <c r="HT58" s="326"/>
      <c r="HU58" s="326"/>
      <c r="HV58" s="326"/>
      <c r="HW58" s="326"/>
      <c r="HX58" s="326"/>
      <c r="HY58" s="326"/>
      <c r="HZ58" s="326"/>
      <c r="IA58" s="326"/>
      <c r="IB58" s="326"/>
      <c r="IC58" s="326"/>
      <c r="ID58" s="326"/>
      <c r="IE58" s="326"/>
      <c r="IF58" s="326"/>
      <c r="IG58" s="326"/>
      <c r="IH58" s="326"/>
      <c r="II58" s="326"/>
      <c r="IJ58" s="326"/>
      <c r="IK58" s="326"/>
      <c r="IL58" s="326"/>
      <c r="IM58" s="326"/>
      <c r="IN58" s="326"/>
      <c r="IO58" s="326"/>
      <c r="IP58" s="326"/>
      <c r="IQ58" s="326"/>
      <c r="IR58" s="326"/>
      <c r="IS58" s="326"/>
      <c r="IT58" s="326"/>
      <c r="IU58" s="326"/>
      <c r="IV58" s="326"/>
    </row>
    <row r="59" spans="1:17" s="759" customFormat="1" ht="37.5" customHeight="1">
      <c r="A59" s="569">
        <v>50</v>
      </c>
      <c r="B59" s="752"/>
      <c r="C59" s="366"/>
      <c r="D59" s="328" t="s">
        <v>609</v>
      </c>
      <c r="E59" s="755"/>
      <c r="F59" s="756"/>
      <c r="G59" s="1318"/>
      <c r="H59" s="767"/>
      <c r="I59" s="764"/>
      <c r="J59" s="757"/>
      <c r="K59" s="757"/>
      <c r="L59" s="757"/>
      <c r="M59" s="777"/>
      <c r="N59" s="757"/>
      <c r="O59" s="757"/>
      <c r="P59" s="751"/>
      <c r="Q59" s="758"/>
    </row>
    <row r="60" spans="1:256" s="555" customFormat="1" ht="19.5" customHeight="1">
      <c r="A60" s="569">
        <v>51</v>
      </c>
      <c r="B60" s="563"/>
      <c r="C60" s="813"/>
      <c r="D60" s="814" t="s">
        <v>283</v>
      </c>
      <c r="E60" s="822">
        <f>F60+G60+P61</f>
        <v>887793</v>
      </c>
      <c r="F60" s="822"/>
      <c r="G60" s="1315"/>
      <c r="H60" s="824"/>
      <c r="I60" s="969"/>
      <c r="J60" s="822"/>
      <c r="K60" s="822"/>
      <c r="L60" s="822"/>
      <c r="M60" s="818">
        <v>889445</v>
      </c>
      <c r="N60" s="822"/>
      <c r="O60" s="822"/>
      <c r="P60" s="820">
        <f>SUM(I60:O60)</f>
        <v>889445</v>
      </c>
      <c r="Q60" s="812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  <c r="DA60" s="326"/>
      <c r="DB60" s="326"/>
      <c r="DC60" s="326"/>
      <c r="DD60" s="326"/>
      <c r="DE60" s="326"/>
      <c r="DF60" s="326"/>
      <c r="DG60" s="326"/>
      <c r="DH60" s="326"/>
      <c r="DI60" s="326"/>
      <c r="DJ60" s="326"/>
      <c r="DK60" s="326"/>
      <c r="DL60" s="326"/>
      <c r="DM60" s="326"/>
      <c r="DN60" s="326"/>
      <c r="DO60" s="326"/>
      <c r="DP60" s="326"/>
      <c r="DQ60" s="326"/>
      <c r="DR60" s="326"/>
      <c r="DS60" s="326"/>
      <c r="DT60" s="326"/>
      <c r="DU60" s="326"/>
      <c r="DV60" s="326"/>
      <c r="DW60" s="326"/>
      <c r="DX60" s="326"/>
      <c r="DY60" s="326"/>
      <c r="DZ60" s="326"/>
      <c r="EA60" s="326"/>
      <c r="EB60" s="326"/>
      <c r="EC60" s="326"/>
      <c r="ED60" s="326"/>
      <c r="EE60" s="326"/>
      <c r="EF60" s="326"/>
      <c r="EG60" s="326"/>
      <c r="EH60" s="326"/>
      <c r="EI60" s="326"/>
      <c r="EJ60" s="326"/>
      <c r="EK60" s="326"/>
      <c r="EL60" s="326"/>
      <c r="EM60" s="326"/>
      <c r="EN60" s="326"/>
      <c r="EO60" s="326"/>
      <c r="EP60" s="326"/>
      <c r="EQ60" s="326"/>
      <c r="ER60" s="326"/>
      <c r="ES60" s="326"/>
      <c r="ET60" s="326"/>
      <c r="EU60" s="326"/>
      <c r="EV60" s="326"/>
      <c r="EW60" s="326"/>
      <c r="EX60" s="326"/>
      <c r="EY60" s="326"/>
      <c r="EZ60" s="326"/>
      <c r="FA60" s="326"/>
      <c r="FB60" s="326"/>
      <c r="FC60" s="326"/>
      <c r="FD60" s="326"/>
      <c r="FE60" s="326"/>
      <c r="FF60" s="326"/>
      <c r="FG60" s="326"/>
      <c r="FH60" s="326"/>
      <c r="FI60" s="326"/>
      <c r="FJ60" s="326"/>
      <c r="FK60" s="326"/>
      <c r="FL60" s="326"/>
      <c r="FM60" s="326"/>
      <c r="FN60" s="326"/>
      <c r="FO60" s="326"/>
      <c r="FP60" s="326"/>
      <c r="FQ60" s="326"/>
      <c r="FR60" s="326"/>
      <c r="FS60" s="326"/>
      <c r="FT60" s="326"/>
      <c r="FU60" s="326"/>
      <c r="FV60" s="326"/>
      <c r="FW60" s="326"/>
      <c r="FX60" s="326"/>
      <c r="FY60" s="326"/>
      <c r="FZ60" s="326"/>
      <c r="GA60" s="326"/>
      <c r="GB60" s="326"/>
      <c r="GC60" s="326"/>
      <c r="GD60" s="326"/>
      <c r="GE60" s="326"/>
      <c r="GF60" s="326"/>
      <c r="GG60" s="326"/>
      <c r="GH60" s="326"/>
      <c r="GI60" s="326"/>
      <c r="GJ60" s="326"/>
      <c r="GK60" s="326"/>
      <c r="GL60" s="326"/>
      <c r="GM60" s="326"/>
      <c r="GN60" s="326"/>
      <c r="GO60" s="326"/>
      <c r="GP60" s="326"/>
      <c r="GQ60" s="326"/>
      <c r="GR60" s="326"/>
      <c r="GS60" s="326"/>
      <c r="GT60" s="326"/>
      <c r="GU60" s="326"/>
      <c r="GV60" s="326"/>
      <c r="GW60" s="326"/>
      <c r="GX60" s="326"/>
      <c r="GY60" s="326"/>
      <c r="GZ60" s="326"/>
      <c r="HA60" s="326"/>
      <c r="HB60" s="326"/>
      <c r="HC60" s="326"/>
      <c r="HD60" s="326"/>
      <c r="HE60" s="326"/>
      <c r="HF60" s="326"/>
      <c r="HG60" s="326"/>
      <c r="HH60" s="326"/>
      <c r="HI60" s="326"/>
      <c r="HJ60" s="326"/>
      <c r="HK60" s="326"/>
      <c r="HL60" s="326"/>
      <c r="HM60" s="326"/>
      <c r="HN60" s="326"/>
      <c r="HO60" s="326"/>
      <c r="HP60" s="326"/>
      <c r="HQ60" s="326"/>
      <c r="HR60" s="326"/>
      <c r="HS60" s="326"/>
      <c r="HT60" s="326"/>
      <c r="HU60" s="326"/>
      <c r="HV60" s="326"/>
      <c r="HW60" s="326"/>
      <c r="HX60" s="326"/>
      <c r="HY60" s="326"/>
      <c r="HZ60" s="326"/>
      <c r="IA60" s="326"/>
      <c r="IB60" s="326"/>
      <c r="IC60" s="326"/>
      <c r="ID60" s="326"/>
      <c r="IE60" s="326"/>
      <c r="IF60" s="326"/>
      <c r="IG60" s="326"/>
      <c r="IH60" s="326"/>
      <c r="II60" s="326"/>
      <c r="IJ60" s="326"/>
      <c r="IK60" s="326"/>
      <c r="IL60" s="326"/>
      <c r="IM60" s="326"/>
      <c r="IN60" s="326"/>
      <c r="IO60" s="326"/>
      <c r="IP60" s="326"/>
      <c r="IQ60" s="326"/>
      <c r="IR60" s="326"/>
      <c r="IS60" s="326"/>
      <c r="IT60" s="326"/>
      <c r="IU60" s="326"/>
      <c r="IV60" s="326"/>
    </row>
    <row r="61" spans="1:256" s="555" customFormat="1" ht="19.5" customHeight="1">
      <c r="A61" s="569">
        <v>52</v>
      </c>
      <c r="B61" s="1001"/>
      <c r="C61" s="813"/>
      <c r="D61" s="478" t="s">
        <v>757</v>
      </c>
      <c r="E61" s="822"/>
      <c r="F61" s="822"/>
      <c r="G61" s="1315"/>
      <c r="H61" s="824"/>
      <c r="I61" s="969"/>
      <c r="J61" s="822"/>
      <c r="K61" s="822"/>
      <c r="L61" s="822"/>
      <c r="M61" s="1523">
        <v>700000</v>
      </c>
      <c r="N61" s="822"/>
      <c r="O61" s="1005">
        <v>187793</v>
      </c>
      <c r="P61" s="1239">
        <f>SUM(I61:O61)</f>
        <v>887793</v>
      </c>
      <c r="Q61" s="812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6"/>
      <c r="BW61" s="326"/>
      <c r="BX61" s="326"/>
      <c r="BY61" s="326"/>
      <c r="BZ61" s="326"/>
      <c r="CA61" s="326"/>
      <c r="CB61" s="326"/>
      <c r="CC61" s="326"/>
      <c r="CD61" s="326"/>
      <c r="CE61" s="326"/>
      <c r="CF61" s="326"/>
      <c r="CG61" s="326"/>
      <c r="CH61" s="326"/>
      <c r="CI61" s="326"/>
      <c r="CJ61" s="326"/>
      <c r="CK61" s="326"/>
      <c r="CL61" s="326"/>
      <c r="CM61" s="326"/>
      <c r="CN61" s="326"/>
      <c r="CO61" s="326"/>
      <c r="CP61" s="326"/>
      <c r="CQ61" s="326"/>
      <c r="CR61" s="326"/>
      <c r="CS61" s="326"/>
      <c r="CT61" s="326"/>
      <c r="CU61" s="326"/>
      <c r="CV61" s="326"/>
      <c r="CW61" s="326"/>
      <c r="CX61" s="326"/>
      <c r="CY61" s="326"/>
      <c r="CZ61" s="326"/>
      <c r="DA61" s="326"/>
      <c r="DB61" s="326"/>
      <c r="DC61" s="326"/>
      <c r="DD61" s="326"/>
      <c r="DE61" s="326"/>
      <c r="DF61" s="326"/>
      <c r="DG61" s="326"/>
      <c r="DH61" s="326"/>
      <c r="DI61" s="326"/>
      <c r="DJ61" s="326"/>
      <c r="DK61" s="326"/>
      <c r="DL61" s="326"/>
      <c r="DM61" s="326"/>
      <c r="DN61" s="326"/>
      <c r="DO61" s="326"/>
      <c r="DP61" s="326"/>
      <c r="DQ61" s="326"/>
      <c r="DR61" s="326"/>
      <c r="DS61" s="326"/>
      <c r="DT61" s="326"/>
      <c r="DU61" s="326"/>
      <c r="DV61" s="326"/>
      <c r="DW61" s="326"/>
      <c r="DX61" s="326"/>
      <c r="DY61" s="326"/>
      <c r="DZ61" s="326"/>
      <c r="EA61" s="326"/>
      <c r="EB61" s="326"/>
      <c r="EC61" s="326"/>
      <c r="ED61" s="326"/>
      <c r="EE61" s="326"/>
      <c r="EF61" s="326"/>
      <c r="EG61" s="326"/>
      <c r="EH61" s="326"/>
      <c r="EI61" s="326"/>
      <c r="EJ61" s="326"/>
      <c r="EK61" s="326"/>
      <c r="EL61" s="326"/>
      <c r="EM61" s="326"/>
      <c r="EN61" s="326"/>
      <c r="EO61" s="326"/>
      <c r="EP61" s="326"/>
      <c r="EQ61" s="326"/>
      <c r="ER61" s="326"/>
      <c r="ES61" s="326"/>
      <c r="ET61" s="326"/>
      <c r="EU61" s="326"/>
      <c r="EV61" s="326"/>
      <c r="EW61" s="326"/>
      <c r="EX61" s="326"/>
      <c r="EY61" s="326"/>
      <c r="EZ61" s="326"/>
      <c r="FA61" s="326"/>
      <c r="FB61" s="326"/>
      <c r="FC61" s="326"/>
      <c r="FD61" s="326"/>
      <c r="FE61" s="326"/>
      <c r="FF61" s="326"/>
      <c r="FG61" s="326"/>
      <c r="FH61" s="326"/>
      <c r="FI61" s="326"/>
      <c r="FJ61" s="326"/>
      <c r="FK61" s="326"/>
      <c r="FL61" s="326"/>
      <c r="FM61" s="326"/>
      <c r="FN61" s="326"/>
      <c r="FO61" s="326"/>
      <c r="FP61" s="326"/>
      <c r="FQ61" s="326"/>
      <c r="FR61" s="326"/>
      <c r="FS61" s="326"/>
      <c r="FT61" s="326"/>
      <c r="FU61" s="326"/>
      <c r="FV61" s="326"/>
      <c r="FW61" s="326"/>
      <c r="FX61" s="326"/>
      <c r="FY61" s="326"/>
      <c r="FZ61" s="326"/>
      <c r="GA61" s="326"/>
      <c r="GB61" s="326"/>
      <c r="GC61" s="326"/>
      <c r="GD61" s="326"/>
      <c r="GE61" s="326"/>
      <c r="GF61" s="326"/>
      <c r="GG61" s="326"/>
      <c r="GH61" s="326"/>
      <c r="GI61" s="326"/>
      <c r="GJ61" s="326"/>
      <c r="GK61" s="326"/>
      <c r="GL61" s="326"/>
      <c r="GM61" s="326"/>
      <c r="GN61" s="326"/>
      <c r="GO61" s="326"/>
      <c r="GP61" s="326"/>
      <c r="GQ61" s="326"/>
      <c r="GR61" s="326"/>
      <c r="GS61" s="326"/>
      <c r="GT61" s="326"/>
      <c r="GU61" s="326"/>
      <c r="GV61" s="326"/>
      <c r="GW61" s="326"/>
      <c r="GX61" s="326"/>
      <c r="GY61" s="326"/>
      <c r="GZ61" s="326"/>
      <c r="HA61" s="326"/>
      <c r="HB61" s="326"/>
      <c r="HC61" s="326"/>
      <c r="HD61" s="326"/>
      <c r="HE61" s="326"/>
      <c r="HF61" s="326"/>
      <c r="HG61" s="326"/>
      <c r="HH61" s="326"/>
      <c r="HI61" s="326"/>
      <c r="HJ61" s="326"/>
      <c r="HK61" s="326"/>
      <c r="HL61" s="326"/>
      <c r="HM61" s="326"/>
      <c r="HN61" s="326"/>
      <c r="HO61" s="326"/>
      <c r="HP61" s="326"/>
      <c r="HQ61" s="326"/>
      <c r="HR61" s="326"/>
      <c r="HS61" s="326"/>
      <c r="HT61" s="326"/>
      <c r="HU61" s="326"/>
      <c r="HV61" s="326"/>
      <c r="HW61" s="326"/>
      <c r="HX61" s="326"/>
      <c r="HY61" s="326"/>
      <c r="HZ61" s="326"/>
      <c r="IA61" s="326"/>
      <c r="IB61" s="326"/>
      <c r="IC61" s="326"/>
      <c r="ID61" s="326"/>
      <c r="IE61" s="326"/>
      <c r="IF61" s="326"/>
      <c r="IG61" s="326"/>
      <c r="IH61" s="326"/>
      <c r="II61" s="326"/>
      <c r="IJ61" s="326"/>
      <c r="IK61" s="326"/>
      <c r="IL61" s="326"/>
      <c r="IM61" s="326"/>
      <c r="IN61" s="326"/>
      <c r="IO61" s="326"/>
      <c r="IP61" s="326"/>
      <c r="IQ61" s="326"/>
      <c r="IR61" s="326"/>
      <c r="IS61" s="326"/>
      <c r="IT61" s="326"/>
      <c r="IU61" s="326"/>
      <c r="IV61" s="326"/>
    </row>
    <row r="62" spans="1:256" s="555" customFormat="1" ht="19.5" customHeight="1" thickBot="1">
      <c r="A62" s="569">
        <v>53</v>
      </c>
      <c r="B62" s="1001"/>
      <c r="C62" s="366"/>
      <c r="D62" s="1090" t="s">
        <v>893</v>
      </c>
      <c r="E62" s="335"/>
      <c r="F62" s="335"/>
      <c r="G62" s="336"/>
      <c r="H62" s="766"/>
      <c r="I62" s="1214"/>
      <c r="J62" s="335"/>
      <c r="K62" s="335"/>
      <c r="L62" s="335"/>
      <c r="M62" s="1186">
        <v>700000</v>
      </c>
      <c r="N62" s="335"/>
      <c r="O62" s="1724">
        <v>0</v>
      </c>
      <c r="P62" s="1723">
        <f>SUM(I62:O62)</f>
        <v>700000</v>
      </c>
      <c r="Q62" s="560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  <c r="CY62" s="326"/>
      <c r="CZ62" s="326"/>
      <c r="DA62" s="326"/>
      <c r="DB62" s="326"/>
      <c r="DC62" s="326"/>
      <c r="DD62" s="326"/>
      <c r="DE62" s="326"/>
      <c r="DF62" s="326"/>
      <c r="DG62" s="326"/>
      <c r="DH62" s="326"/>
      <c r="DI62" s="326"/>
      <c r="DJ62" s="326"/>
      <c r="DK62" s="326"/>
      <c r="DL62" s="326"/>
      <c r="DM62" s="326"/>
      <c r="DN62" s="326"/>
      <c r="DO62" s="326"/>
      <c r="DP62" s="326"/>
      <c r="DQ62" s="326"/>
      <c r="DR62" s="326"/>
      <c r="DS62" s="326"/>
      <c r="DT62" s="326"/>
      <c r="DU62" s="326"/>
      <c r="DV62" s="326"/>
      <c r="DW62" s="326"/>
      <c r="DX62" s="326"/>
      <c r="DY62" s="326"/>
      <c r="DZ62" s="326"/>
      <c r="EA62" s="326"/>
      <c r="EB62" s="326"/>
      <c r="EC62" s="326"/>
      <c r="ED62" s="326"/>
      <c r="EE62" s="326"/>
      <c r="EF62" s="326"/>
      <c r="EG62" s="326"/>
      <c r="EH62" s="326"/>
      <c r="EI62" s="326"/>
      <c r="EJ62" s="326"/>
      <c r="EK62" s="326"/>
      <c r="EL62" s="326"/>
      <c r="EM62" s="326"/>
      <c r="EN62" s="326"/>
      <c r="EO62" s="326"/>
      <c r="EP62" s="326"/>
      <c r="EQ62" s="326"/>
      <c r="ER62" s="326"/>
      <c r="ES62" s="326"/>
      <c r="ET62" s="326"/>
      <c r="EU62" s="326"/>
      <c r="EV62" s="326"/>
      <c r="EW62" s="326"/>
      <c r="EX62" s="326"/>
      <c r="EY62" s="326"/>
      <c r="EZ62" s="326"/>
      <c r="FA62" s="326"/>
      <c r="FB62" s="326"/>
      <c r="FC62" s="326"/>
      <c r="FD62" s="326"/>
      <c r="FE62" s="326"/>
      <c r="FF62" s="326"/>
      <c r="FG62" s="326"/>
      <c r="FH62" s="326"/>
      <c r="FI62" s="326"/>
      <c r="FJ62" s="326"/>
      <c r="FK62" s="326"/>
      <c r="FL62" s="326"/>
      <c r="FM62" s="326"/>
      <c r="FN62" s="326"/>
      <c r="FO62" s="326"/>
      <c r="FP62" s="326"/>
      <c r="FQ62" s="326"/>
      <c r="FR62" s="326"/>
      <c r="FS62" s="326"/>
      <c r="FT62" s="326"/>
      <c r="FU62" s="326"/>
      <c r="FV62" s="326"/>
      <c r="FW62" s="326"/>
      <c r="FX62" s="326"/>
      <c r="FY62" s="326"/>
      <c r="FZ62" s="326"/>
      <c r="GA62" s="326"/>
      <c r="GB62" s="326"/>
      <c r="GC62" s="326"/>
      <c r="GD62" s="326"/>
      <c r="GE62" s="326"/>
      <c r="GF62" s="326"/>
      <c r="GG62" s="326"/>
      <c r="GH62" s="326"/>
      <c r="GI62" s="326"/>
      <c r="GJ62" s="326"/>
      <c r="GK62" s="326"/>
      <c r="GL62" s="326"/>
      <c r="GM62" s="326"/>
      <c r="GN62" s="326"/>
      <c r="GO62" s="326"/>
      <c r="GP62" s="326"/>
      <c r="GQ62" s="326"/>
      <c r="GR62" s="326"/>
      <c r="GS62" s="326"/>
      <c r="GT62" s="326"/>
      <c r="GU62" s="326"/>
      <c r="GV62" s="326"/>
      <c r="GW62" s="326"/>
      <c r="GX62" s="326"/>
      <c r="GY62" s="326"/>
      <c r="GZ62" s="326"/>
      <c r="HA62" s="326"/>
      <c r="HB62" s="326"/>
      <c r="HC62" s="326"/>
      <c r="HD62" s="326"/>
      <c r="HE62" s="326"/>
      <c r="HF62" s="326"/>
      <c r="HG62" s="326"/>
      <c r="HH62" s="326"/>
      <c r="HI62" s="326"/>
      <c r="HJ62" s="326"/>
      <c r="HK62" s="326"/>
      <c r="HL62" s="326"/>
      <c r="HM62" s="326"/>
      <c r="HN62" s="326"/>
      <c r="HO62" s="326"/>
      <c r="HP62" s="326"/>
      <c r="HQ62" s="326"/>
      <c r="HR62" s="326"/>
      <c r="HS62" s="326"/>
      <c r="HT62" s="326"/>
      <c r="HU62" s="326"/>
      <c r="HV62" s="326"/>
      <c r="HW62" s="326"/>
      <c r="HX62" s="326"/>
      <c r="HY62" s="326"/>
      <c r="HZ62" s="326"/>
      <c r="IA62" s="326"/>
      <c r="IB62" s="326"/>
      <c r="IC62" s="326"/>
      <c r="ID62" s="326"/>
      <c r="IE62" s="326"/>
      <c r="IF62" s="326"/>
      <c r="IG62" s="326"/>
      <c r="IH62" s="326"/>
      <c r="II62" s="326"/>
      <c r="IJ62" s="326"/>
      <c r="IK62" s="326"/>
      <c r="IL62" s="326"/>
      <c r="IM62" s="326"/>
      <c r="IN62" s="326"/>
      <c r="IO62" s="326"/>
      <c r="IP62" s="326"/>
      <c r="IQ62" s="326"/>
      <c r="IR62" s="326"/>
      <c r="IS62" s="326"/>
      <c r="IT62" s="326"/>
      <c r="IU62" s="326"/>
      <c r="IV62" s="326"/>
    </row>
    <row r="63" spans="1:256" s="555" customFormat="1" ht="24.75" customHeight="1" thickTop="1">
      <c r="A63" s="569">
        <v>54</v>
      </c>
      <c r="B63" s="1001"/>
      <c r="C63" s="1202"/>
      <c r="D63" s="1343" t="s">
        <v>610</v>
      </c>
      <c r="E63" s="1212">
        <f>E60+E56</f>
        <v>3302000</v>
      </c>
      <c r="F63" s="1212">
        <f>F60+F56</f>
        <v>0</v>
      </c>
      <c r="G63" s="1322">
        <f>G60+G56</f>
        <v>0</v>
      </c>
      <c r="H63" s="1218"/>
      <c r="I63" s="1212"/>
      <c r="J63" s="1212"/>
      <c r="K63" s="1212"/>
      <c r="L63" s="1212"/>
      <c r="M63" s="1212"/>
      <c r="N63" s="1212"/>
      <c r="O63" s="1212"/>
      <c r="P63" s="1212"/>
      <c r="Q63" s="1219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  <c r="DA63" s="326"/>
      <c r="DB63" s="326"/>
      <c r="DC63" s="326"/>
      <c r="DD63" s="326"/>
      <c r="DE63" s="326"/>
      <c r="DF63" s="326"/>
      <c r="DG63" s="326"/>
      <c r="DH63" s="326"/>
      <c r="DI63" s="326"/>
      <c r="DJ63" s="326"/>
      <c r="DK63" s="326"/>
      <c r="DL63" s="326"/>
      <c r="DM63" s="326"/>
      <c r="DN63" s="326"/>
      <c r="DO63" s="326"/>
      <c r="DP63" s="326"/>
      <c r="DQ63" s="326"/>
      <c r="DR63" s="326"/>
      <c r="DS63" s="326"/>
      <c r="DT63" s="326"/>
      <c r="DU63" s="326"/>
      <c r="DV63" s="326"/>
      <c r="DW63" s="326"/>
      <c r="DX63" s="326"/>
      <c r="DY63" s="326"/>
      <c r="DZ63" s="326"/>
      <c r="EA63" s="326"/>
      <c r="EB63" s="326"/>
      <c r="EC63" s="326"/>
      <c r="ED63" s="326"/>
      <c r="EE63" s="326"/>
      <c r="EF63" s="326"/>
      <c r="EG63" s="326"/>
      <c r="EH63" s="326"/>
      <c r="EI63" s="326"/>
      <c r="EJ63" s="326"/>
      <c r="EK63" s="326"/>
      <c r="EL63" s="326"/>
      <c r="EM63" s="326"/>
      <c r="EN63" s="326"/>
      <c r="EO63" s="326"/>
      <c r="EP63" s="326"/>
      <c r="EQ63" s="326"/>
      <c r="ER63" s="326"/>
      <c r="ES63" s="326"/>
      <c r="ET63" s="326"/>
      <c r="EU63" s="326"/>
      <c r="EV63" s="326"/>
      <c r="EW63" s="326"/>
      <c r="EX63" s="326"/>
      <c r="EY63" s="326"/>
      <c r="EZ63" s="326"/>
      <c r="FA63" s="326"/>
      <c r="FB63" s="326"/>
      <c r="FC63" s="326"/>
      <c r="FD63" s="326"/>
      <c r="FE63" s="326"/>
      <c r="FF63" s="326"/>
      <c r="FG63" s="326"/>
      <c r="FH63" s="326"/>
      <c r="FI63" s="326"/>
      <c r="FJ63" s="326"/>
      <c r="FK63" s="326"/>
      <c r="FL63" s="326"/>
      <c r="FM63" s="326"/>
      <c r="FN63" s="326"/>
      <c r="FO63" s="326"/>
      <c r="FP63" s="326"/>
      <c r="FQ63" s="326"/>
      <c r="FR63" s="326"/>
      <c r="FS63" s="326"/>
      <c r="FT63" s="326"/>
      <c r="FU63" s="326"/>
      <c r="FV63" s="326"/>
      <c r="FW63" s="326"/>
      <c r="FX63" s="326"/>
      <c r="FY63" s="326"/>
      <c r="FZ63" s="326"/>
      <c r="GA63" s="326"/>
      <c r="GB63" s="326"/>
      <c r="GC63" s="326"/>
      <c r="GD63" s="326"/>
      <c r="GE63" s="326"/>
      <c r="GF63" s="326"/>
      <c r="GG63" s="326"/>
      <c r="GH63" s="326"/>
      <c r="GI63" s="326"/>
      <c r="GJ63" s="326"/>
      <c r="GK63" s="326"/>
      <c r="GL63" s="326"/>
      <c r="GM63" s="326"/>
      <c r="GN63" s="326"/>
      <c r="GO63" s="326"/>
      <c r="GP63" s="326"/>
      <c r="GQ63" s="326"/>
      <c r="GR63" s="326"/>
      <c r="GS63" s="326"/>
      <c r="GT63" s="326"/>
      <c r="GU63" s="326"/>
      <c r="GV63" s="326"/>
      <c r="GW63" s="326"/>
      <c r="GX63" s="326"/>
      <c r="GY63" s="326"/>
      <c r="GZ63" s="326"/>
      <c r="HA63" s="326"/>
      <c r="HB63" s="326"/>
      <c r="HC63" s="326"/>
      <c r="HD63" s="326"/>
      <c r="HE63" s="326"/>
      <c r="HF63" s="326"/>
      <c r="HG63" s="326"/>
      <c r="HH63" s="326"/>
      <c r="HI63" s="326"/>
      <c r="HJ63" s="326"/>
      <c r="HK63" s="326"/>
      <c r="HL63" s="326"/>
      <c r="HM63" s="326"/>
      <c r="HN63" s="326"/>
      <c r="HO63" s="326"/>
      <c r="HP63" s="326"/>
      <c r="HQ63" s="326"/>
      <c r="HR63" s="326"/>
      <c r="HS63" s="326"/>
      <c r="HT63" s="326"/>
      <c r="HU63" s="326"/>
      <c r="HV63" s="326"/>
      <c r="HW63" s="326"/>
      <c r="HX63" s="326"/>
      <c r="HY63" s="326"/>
      <c r="HZ63" s="326"/>
      <c r="IA63" s="326"/>
      <c r="IB63" s="326"/>
      <c r="IC63" s="326"/>
      <c r="ID63" s="326"/>
      <c r="IE63" s="326"/>
      <c r="IF63" s="326"/>
      <c r="IG63" s="326"/>
      <c r="IH63" s="326"/>
      <c r="II63" s="326"/>
      <c r="IJ63" s="326"/>
      <c r="IK63" s="326"/>
      <c r="IL63" s="326"/>
      <c r="IM63" s="326"/>
      <c r="IN63" s="326"/>
      <c r="IO63" s="326"/>
      <c r="IP63" s="326"/>
      <c r="IQ63" s="326"/>
      <c r="IR63" s="326"/>
      <c r="IS63" s="326"/>
      <c r="IT63" s="326"/>
      <c r="IU63" s="326"/>
      <c r="IV63" s="326"/>
    </row>
    <row r="64" spans="1:256" s="555" customFormat="1" ht="19.5" customHeight="1">
      <c r="A64" s="569">
        <v>55</v>
      </c>
      <c r="B64" s="1001"/>
      <c r="C64" s="366"/>
      <c r="D64" s="814" t="s">
        <v>283</v>
      </c>
      <c r="E64" s="1002"/>
      <c r="F64" s="1002"/>
      <c r="G64" s="1320"/>
      <c r="H64" s="1220"/>
      <c r="I64" s="755">
        <f aca="true" t="shared" si="4" ref="I64:P65">I60+I56</f>
        <v>0</v>
      </c>
      <c r="J64" s="755">
        <f t="shared" si="4"/>
        <v>0</v>
      </c>
      <c r="K64" s="755">
        <f t="shared" si="4"/>
        <v>0</v>
      </c>
      <c r="L64" s="755">
        <f t="shared" si="4"/>
        <v>0</v>
      </c>
      <c r="M64" s="755">
        <f t="shared" si="4"/>
        <v>3303652</v>
      </c>
      <c r="N64" s="755">
        <f t="shared" si="4"/>
        <v>0</v>
      </c>
      <c r="O64" s="755">
        <f t="shared" si="4"/>
        <v>0</v>
      </c>
      <c r="P64" s="755">
        <f t="shared" si="4"/>
        <v>3303652</v>
      </c>
      <c r="Q64" s="560"/>
      <c r="R64" s="326"/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326"/>
      <c r="AJ64" s="326"/>
      <c r="AK64" s="326"/>
      <c r="AL64" s="326"/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6"/>
      <c r="CG64" s="326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  <c r="DA64" s="326"/>
      <c r="DB64" s="326"/>
      <c r="DC64" s="326"/>
      <c r="DD64" s="326"/>
      <c r="DE64" s="326"/>
      <c r="DF64" s="326"/>
      <c r="DG64" s="326"/>
      <c r="DH64" s="326"/>
      <c r="DI64" s="326"/>
      <c r="DJ64" s="326"/>
      <c r="DK64" s="326"/>
      <c r="DL64" s="326"/>
      <c r="DM64" s="326"/>
      <c r="DN64" s="326"/>
      <c r="DO64" s="326"/>
      <c r="DP64" s="326"/>
      <c r="DQ64" s="326"/>
      <c r="DR64" s="326"/>
      <c r="DS64" s="326"/>
      <c r="DT64" s="326"/>
      <c r="DU64" s="326"/>
      <c r="DV64" s="326"/>
      <c r="DW64" s="326"/>
      <c r="DX64" s="326"/>
      <c r="DY64" s="326"/>
      <c r="DZ64" s="326"/>
      <c r="EA64" s="326"/>
      <c r="EB64" s="326"/>
      <c r="EC64" s="326"/>
      <c r="ED64" s="326"/>
      <c r="EE64" s="326"/>
      <c r="EF64" s="326"/>
      <c r="EG64" s="326"/>
      <c r="EH64" s="326"/>
      <c r="EI64" s="326"/>
      <c r="EJ64" s="326"/>
      <c r="EK64" s="326"/>
      <c r="EL64" s="326"/>
      <c r="EM64" s="326"/>
      <c r="EN64" s="326"/>
      <c r="EO64" s="326"/>
      <c r="EP64" s="326"/>
      <c r="EQ64" s="326"/>
      <c r="ER64" s="326"/>
      <c r="ES64" s="326"/>
      <c r="ET64" s="326"/>
      <c r="EU64" s="326"/>
      <c r="EV64" s="326"/>
      <c r="EW64" s="326"/>
      <c r="EX64" s="326"/>
      <c r="EY64" s="326"/>
      <c r="EZ64" s="326"/>
      <c r="FA64" s="326"/>
      <c r="FB64" s="326"/>
      <c r="FC64" s="326"/>
      <c r="FD64" s="326"/>
      <c r="FE64" s="326"/>
      <c r="FF64" s="326"/>
      <c r="FG64" s="326"/>
      <c r="FH64" s="326"/>
      <c r="FI64" s="326"/>
      <c r="FJ64" s="326"/>
      <c r="FK64" s="326"/>
      <c r="FL64" s="326"/>
      <c r="FM64" s="326"/>
      <c r="FN64" s="326"/>
      <c r="FO64" s="326"/>
      <c r="FP64" s="326"/>
      <c r="FQ64" s="326"/>
      <c r="FR64" s="326"/>
      <c r="FS64" s="326"/>
      <c r="FT64" s="326"/>
      <c r="FU64" s="326"/>
      <c r="FV64" s="326"/>
      <c r="FW64" s="326"/>
      <c r="FX64" s="326"/>
      <c r="FY64" s="326"/>
      <c r="FZ64" s="326"/>
      <c r="GA64" s="326"/>
      <c r="GB64" s="326"/>
      <c r="GC64" s="326"/>
      <c r="GD64" s="326"/>
      <c r="GE64" s="326"/>
      <c r="GF64" s="326"/>
      <c r="GG64" s="326"/>
      <c r="GH64" s="326"/>
      <c r="GI64" s="326"/>
      <c r="GJ64" s="326"/>
      <c r="GK64" s="326"/>
      <c r="GL64" s="326"/>
      <c r="GM64" s="326"/>
      <c r="GN64" s="326"/>
      <c r="GO64" s="326"/>
      <c r="GP64" s="326"/>
      <c r="GQ64" s="326"/>
      <c r="GR64" s="326"/>
      <c r="GS64" s="326"/>
      <c r="GT64" s="326"/>
      <c r="GU64" s="326"/>
      <c r="GV64" s="326"/>
      <c r="GW64" s="326"/>
      <c r="GX64" s="326"/>
      <c r="GY64" s="326"/>
      <c r="GZ64" s="326"/>
      <c r="HA64" s="326"/>
      <c r="HB64" s="326"/>
      <c r="HC64" s="326"/>
      <c r="HD64" s="326"/>
      <c r="HE64" s="326"/>
      <c r="HF64" s="326"/>
      <c r="HG64" s="326"/>
      <c r="HH64" s="326"/>
      <c r="HI64" s="326"/>
      <c r="HJ64" s="326"/>
      <c r="HK64" s="326"/>
      <c r="HL64" s="326"/>
      <c r="HM64" s="326"/>
      <c r="HN64" s="326"/>
      <c r="HO64" s="326"/>
      <c r="HP64" s="326"/>
      <c r="HQ64" s="326"/>
      <c r="HR64" s="326"/>
      <c r="HS64" s="326"/>
      <c r="HT64" s="326"/>
      <c r="HU64" s="326"/>
      <c r="HV64" s="326"/>
      <c r="HW64" s="326"/>
      <c r="HX64" s="326"/>
      <c r="HY64" s="326"/>
      <c r="HZ64" s="326"/>
      <c r="IA64" s="326"/>
      <c r="IB64" s="326"/>
      <c r="IC64" s="326"/>
      <c r="ID64" s="326"/>
      <c r="IE64" s="326"/>
      <c r="IF64" s="326"/>
      <c r="IG64" s="326"/>
      <c r="IH64" s="326"/>
      <c r="II64" s="326"/>
      <c r="IJ64" s="326"/>
      <c r="IK64" s="326"/>
      <c r="IL64" s="326"/>
      <c r="IM64" s="326"/>
      <c r="IN64" s="326"/>
      <c r="IO64" s="326"/>
      <c r="IP64" s="326"/>
      <c r="IQ64" s="326"/>
      <c r="IR64" s="326"/>
      <c r="IS64" s="326"/>
      <c r="IT64" s="326"/>
      <c r="IU64" s="326"/>
      <c r="IV64" s="326"/>
    </row>
    <row r="65" spans="1:256" s="555" customFormat="1" ht="19.5" customHeight="1">
      <c r="A65" s="569">
        <v>56</v>
      </c>
      <c r="B65" s="1001"/>
      <c r="C65" s="366"/>
      <c r="D65" s="478" t="s">
        <v>757</v>
      </c>
      <c r="E65" s="1002"/>
      <c r="F65" s="1002"/>
      <c r="G65" s="1320"/>
      <c r="H65" s="1220"/>
      <c r="I65" s="1002">
        <f t="shared" si="4"/>
        <v>0</v>
      </c>
      <c r="J65" s="1002">
        <f t="shared" si="4"/>
        <v>0</v>
      </c>
      <c r="K65" s="1002">
        <f t="shared" si="4"/>
        <v>773</v>
      </c>
      <c r="L65" s="1002">
        <f t="shared" si="4"/>
        <v>0</v>
      </c>
      <c r="M65" s="1002">
        <f t="shared" si="4"/>
        <v>3068296</v>
      </c>
      <c r="N65" s="1002">
        <f t="shared" si="4"/>
        <v>0</v>
      </c>
      <c r="O65" s="1002">
        <f t="shared" si="4"/>
        <v>232931</v>
      </c>
      <c r="P65" s="1002">
        <f>P61+P57</f>
        <v>3302000</v>
      </c>
      <c r="Q65" s="560"/>
      <c r="R65" s="326"/>
      <c r="S65" s="326"/>
      <c r="T65" s="326"/>
      <c r="U65" s="326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  <c r="AG65" s="326"/>
      <c r="AH65" s="326"/>
      <c r="AI65" s="326"/>
      <c r="AJ65" s="326"/>
      <c r="AK65" s="326"/>
      <c r="AL65" s="326"/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  <c r="DA65" s="326"/>
      <c r="DB65" s="326"/>
      <c r="DC65" s="326"/>
      <c r="DD65" s="326"/>
      <c r="DE65" s="326"/>
      <c r="DF65" s="326"/>
      <c r="DG65" s="326"/>
      <c r="DH65" s="326"/>
      <c r="DI65" s="326"/>
      <c r="DJ65" s="326"/>
      <c r="DK65" s="326"/>
      <c r="DL65" s="326"/>
      <c r="DM65" s="326"/>
      <c r="DN65" s="326"/>
      <c r="DO65" s="326"/>
      <c r="DP65" s="326"/>
      <c r="DQ65" s="326"/>
      <c r="DR65" s="326"/>
      <c r="DS65" s="326"/>
      <c r="DT65" s="326"/>
      <c r="DU65" s="326"/>
      <c r="DV65" s="326"/>
      <c r="DW65" s="326"/>
      <c r="DX65" s="326"/>
      <c r="DY65" s="326"/>
      <c r="DZ65" s="326"/>
      <c r="EA65" s="326"/>
      <c r="EB65" s="326"/>
      <c r="EC65" s="326"/>
      <c r="ED65" s="326"/>
      <c r="EE65" s="326"/>
      <c r="EF65" s="326"/>
      <c r="EG65" s="326"/>
      <c r="EH65" s="326"/>
      <c r="EI65" s="326"/>
      <c r="EJ65" s="326"/>
      <c r="EK65" s="326"/>
      <c r="EL65" s="326"/>
      <c r="EM65" s="326"/>
      <c r="EN65" s="326"/>
      <c r="EO65" s="326"/>
      <c r="EP65" s="326"/>
      <c r="EQ65" s="326"/>
      <c r="ER65" s="326"/>
      <c r="ES65" s="326"/>
      <c r="ET65" s="326"/>
      <c r="EU65" s="326"/>
      <c r="EV65" s="326"/>
      <c r="EW65" s="326"/>
      <c r="EX65" s="326"/>
      <c r="EY65" s="326"/>
      <c r="EZ65" s="326"/>
      <c r="FA65" s="326"/>
      <c r="FB65" s="326"/>
      <c r="FC65" s="326"/>
      <c r="FD65" s="326"/>
      <c r="FE65" s="326"/>
      <c r="FF65" s="326"/>
      <c r="FG65" s="326"/>
      <c r="FH65" s="326"/>
      <c r="FI65" s="326"/>
      <c r="FJ65" s="326"/>
      <c r="FK65" s="326"/>
      <c r="FL65" s="326"/>
      <c r="FM65" s="326"/>
      <c r="FN65" s="326"/>
      <c r="FO65" s="326"/>
      <c r="FP65" s="326"/>
      <c r="FQ65" s="326"/>
      <c r="FR65" s="326"/>
      <c r="FS65" s="326"/>
      <c r="FT65" s="326"/>
      <c r="FU65" s="326"/>
      <c r="FV65" s="326"/>
      <c r="FW65" s="326"/>
      <c r="FX65" s="326"/>
      <c r="FY65" s="326"/>
      <c r="FZ65" s="326"/>
      <c r="GA65" s="326"/>
      <c r="GB65" s="326"/>
      <c r="GC65" s="326"/>
      <c r="GD65" s="326"/>
      <c r="GE65" s="326"/>
      <c r="GF65" s="326"/>
      <c r="GG65" s="326"/>
      <c r="GH65" s="326"/>
      <c r="GI65" s="326"/>
      <c r="GJ65" s="326"/>
      <c r="GK65" s="326"/>
      <c r="GL65" s="326"/>
      <c r="GM65" s="326"/>
      <c r="GN65" s="326"/>
      <c r="GO65" s="326"/>
      <c r="GP65" s="326"/>
      <c r="GQ65" s="326"/>
      <c r="GR65" s="326"/>
      <c r="GS65" s="326"/>
      <c r="GT65" s="326"/>
      <c r="GU65" s="326"/>
      <c r="GV65" s="326"/>
      <c r="GW65" s="326"/>
      <c r="GX65" s="326"/>
      <c r="GY65" s="326"/>
      <c r="GZ65" s="326"/>
      <c r="HA65" s="326"/>
      <c r="HB65" s="326"/>
      <c r="HC65" s="326"/>
      <c r="HD65" s="326"/>
      <c r="HE65" s="326"/>
      <c r="HF65" s="326"/>
      <c r="HG65" s="326"/>
      <c r="HH65" s="326"/>
      <c r="HI65" s="326"/>
      <c r="HJ65" s="326"/>
      <c r="HK65" s="326"/>
      <c r="HL65" s="326"/>
      <c r="HM65" s="326"/>
      <c r="HN65" s="326"/>
      <c r="HO65" s="326"/>
      <c r="HP65" s="326"/>
      <c r="HQ65" s="326"/>
      <c r="HR65" s="326"/>
      <c r="HS65" s="326"/>
      <c r="HT65" s="326"/>
      <c r="HU65" s="326"/>
      <c r="HV65" s="326"/>
      <c r="HW65" s="326"/>
      <c r="HX65" s="326"/>
      <c r="HY65" s="326"/>
      <c r="HZ65" s="326"/>
      <c r="IA65" s="326"/>
      <c r="IB65" s="326"/>
      <c r="IC65" s="326"/>
      <c r="ID65" s="326"/>
      <c r="IE65" s="326"/>
      <c r="IF65" s="326"/>
      <c r="IG65" s="326"/>
      <c r="IH65" s="326"/>
      <c r="II65" s="326"/>
      <c r="IJ65" s="326"/>
      <c r="IK65" s="326"/>
      <c r="IL65" s="326"/>
      <c r="IM65" s="326"/>
      <c r="IN65" s="326"/>
      <c r="IO65" s="326"/>
      <c r="IP65" s="326"/>
      <c r="IQ65" s="326"/>
      <c r="IR65" s="326"/>
      <c r="IS65" s="326"/>
      <c r="IT65" s="326"/>
      <c r="IU65" s="326"/>
      <c r="IV65" s="326"/>
    </row>
    <row r="66" spans="1:256" s="555" customFormat="1" ht="19.5" customHeight="1" thickBot="1">
      <c r="A66" s="569">
        <v>57</v>
      </c>
      <c r="B66" s="1001"/>
      <c r="C66" s="1207"/>
      <c r="D66" s="1595" t="s">
        <v>893</v>
      </c>
      <c r="E66" s="1208"/>
      <c r="F66" s="1208"/>
      <c r="G66" s="1321"/>
      <c r="H66" s="1221"/>
      <c r="I66" s="1733">
        <f aca="true" t="shared" si="5" ref="I66:O66">I62+I58</f>
        <v>0</v>
      </c>
      <c r="J66" s="1733">
        <f t="shared" si="5"/>
        <v>0</v>
      </c>
      <c r="K66" s="1733">
        <f t="shared" si="5"/>
        <v>0</v>
      </c>
      <c r="L66" s="1733">
        <f t="shared" si="5"/>
        <v>0</v>
      </c>
      <c r="M66" s="1733">
        <f t="shared" si="5"/>
        <v>3068296</v>
      </c>
      <c r="N66" s="1733">
        <f t="shared" si="5"/>
        <v>0</v>
      </c>
      <c r="O66" s="1733">
        <f t="shared" si="5"/>
        <v>0</v>
      </c>
      <c r="P66" s="1731">
        <f>SUM(I66:O66)</f>
        <v>3068296</v>
      </c>
      <c r="Q66" s="1222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6"/>
      <c r="CF66" s="326"/>
      <c r="CG66" s="326"/>
      <c r="CH66" s="326"/>
      <c r="CI66" s="326"/>
      <c r="CJ66" s="326"/>
      <c r="CK66" s="326"/>
      <c r="CL66" s="326"/>
      <c r="CM66" s="326"/>
      <c r="CN66" s="326"/>
      <c r="CO66" s="326"/>
      <c r="CP66" s="326"/>
      <c r="CQ66" s="326"/>
      <c r="CR66" s="326"/>
      <c r="CS66" s="326"/>
      <c r="CT66" s="326"/>
      <c r="CU66" s="326"/>
      <c r="CV66" s="326"/>
      <c r="CW66" s="326"/>
      <c r="CX66" s="326"/>
      <c r="CY66" s="326"/>
      <c r="CZ66" s="326"/>
      <c r="DA66" s="326"/>
      <c r="DB66" s="326"/>
      <c r="DC66" s="326"/>
      <c r="DD66" s="326"/>
      <c r="DE66" s="326"/>
      <c r="DF66" s="326"/>
      <c r="DG66" s="326"/>
      <c r="DH66" s="326"/>
      <c r="DI66" s="326"/>
      <c r="DJ66" s="326"/>
      <c r="DK66" s="326"/>
      <c r="DL66" s="326"/>
      <c r="DM66" s="326"/>
      <c r="DN66" s="326"/>
      <c r="DO66" s="326"/>
      <c r="DP66" s="326"/>
      <c r="DQ66" s="326"/>
      <c r="DR66" s="326"/>
      <c r="DS66" s="326"/>
      <c r="DT66" s="326"/>
      <c r="DU66" s="326"/>
      <c r="DV66" s="326"/>
      <c r="DW66" s="326"/>
      <c r="DX66" s="326"/>
      <c r="DY66" s="326"/>
      <c r="DZ66" s="326"/>
      <c r="EA66" s="326"/>
      <c r="EB66" s="326"/>
      <c r="EC66" s="326"/>
      <c r="ED66" s="326"/>
      <c r="EE66" s="326"/>
      <c r="EF66" s="326"/>
      <c r="EG66" s="326"/>
      <c r="EH66" s="326"/>
      <c r="EI66" s="326"/>
      <c r="EJ66" s="326"/>
      <c r="EK66" s="326"/>
      <c r="EL66" s="326"/>
      <c r="EM66" s="326"/>
      <c r="EN66" s="326"/>
      <c r="EO66" s="326"/>
      <c r="EP66" s="326"/>
      <c r="EQ66" s="326"/>
      <c r="ER66" s="326"/>
      <c r="ES66" s="326"/>
      <c r="ET66" s="326"/>
      <c r="EU66" s="326"/>
      <c r="EV66" s="326"/>
      <c r="EW66" s="326"/>
      <c r="EX66" s="326"/>
      <c r="EY66" s="326"/>
      <c r="EZ66" s="326"/>
      <c r="FA66" s="326"/>
      <c r="FB66" s="326"/>
      <c r="FC66" s="326"/>
      <c r="FD66" s="326"/>
      <c r="FE66" s="326"/>
      <c r="FF66" s="326"/>
      <c r="FG66" s="326"/>
      <c r="FH66" s="326"/>
      <c r="FI66" s="326"/>
      <c r="FJ66" s="326"/>
      <c r="FK66" s="326"/>
      <c r="FL66" s="326"/>
      <c r="FM66" s="326"/>
      <c r="FN66" s="326"/>
      <c r="FO66" s="326"/>
      <c r="FP66" s="326"/>
      <c r="FQ66" s="326"/>
      <c r="FR66" s="326"/>
      <c r="FS66" s="326"/>
      <c r="FT66" s="326"/>
      <c r="FU66" s="326"/>
      <c r="FV66" s="326"/>
      <c r="FW66" s="326"/>
      <c r="FX66" s="326"/>
      <c r="FY66" s="326"/>
      <c r="FZ66" s="326"/>
      <c r="GA66" s="326"/>
      <c r="GB66" s="326"/>
      <c r="GC66" s="326"/>
      <c r="GD66" s="326"/>
      <c r="GE66" s="326"/>
      <c r="GF66" s="326"/>
      <c r="GG66" s="326"/>
      <c r="GH66" s="326"/>
      <c r="GI66" s="326"/>
      <c r="GJ66" s="326"/>
      <c r="GK66" s="326"/>
      <c r="GL66" s="326"/>
      <c r="GM66" s="326"/>
      <c r="GN66" s="326"/>
      <c r="GO66" s="326"/>
      <c r="GP66" s="326"/>
      <c r="GQ66" s="326"/>
      <c r="GR66" s="326"/>
      <c r="GS66" s="326"/>
      <c r="GT66" s="326"/>
      <c r="GU66" s="326"/>
      <c r="GV66" s="326"/>
      <c r="GW66" s="326"/>
      <c r="GX66" s="326"/>
      <c r="GY66" s="326"/>
      <c r="GZ66" s="326"/>
      <c r="HA66" s="326"/>
      <c r="HB66" s="326"/>
      <c r="HC66" s="326"/>
      <c r="HD66" s="326"/>
      <c r="HE66" s="326"/>
      <c r="HF66" s="326"/>
      <c r="HG66" s="326"/>
      <c r="HH66" s="326"/>
      <c r="HI66" s="326"/>
      <c r="HJ66" s="326"/>
      <c r="HK66" s="326"/>
      <c r="HL66" s="326"/>
      <c r="HM66" s="326"/>
      <c r="HN66" s="326"/>
      <c r="HO66" s="326"/>
      <c r="HP66" s="326"/>
      <c r="HQ66" s="326"/>
      <c r="HR66" s="326"/>
      <c r="HS66" s="326"/>
      <c r="HT66" s="326"/>
      <c r="HU66" s="326"/>
      <c r="HV66" s="326"/>
      <c r="HW66" s="326"/>
      <c r="HX66" s="326"/>
      <c r="HY66" s="326"/>
      <c r="HZ66" s="326"/>
      <c r="IA66" s="326"/>
      <c r="IB66" s="326"/>
      <c r="IC66" s="326"/>
      <c r="ID66" s="326"/>
      <c r="IE66" s="326"/>
      <c r="IF66" s="326"/>
      <c r="IG66" s="326"/>
      <c r="IH66" s="326"/>
      <c r="II66" s="326"/>
      <c r="IJ66" s="326"/>
      <c r="IK66" s="326"/>
      <c r="IL66" s="326"/>
      <c r="IM66" s="326"/>
      <c r="IN66" s="326"/>
      <c r="IO66" s="326"/>
      <c r="IP66" s="326"/>
      <c r="IQ66" s="326"/>
      <c r="IR66" s="326"/>
      <c r="IS66" s="326"/>
      <c r="IT66" s="326"/>
      <c r="IU66" s="326"/>
      <c r="IV66" s="326"/>
    </row>
    <row r="67" spans="1:17" ht="22.5" customHeight="1" thickTop="1">
      <c r="A67" s="569">
        <v>58</v>
      </c>
      <c r="B67" s="462"/>
      <c r="C67" s="802">
        <v>4</v>
      </c>
      <c r="D67" s="809" t="s">
        <v>647</v>
      </c>
      <c r="E67" s="333"/>
      <c r="F67" s="333"/>
      <c r="G67" s="1323"/>
      <c r="H67" s="1008" t="s">
        <v>23</v>
      </c>
      <c r="I67" s="333"/>
      <c r="J67" s="333"/>
      <c r="K67" s="333"/>
      <c r="L67" s="333"/>
      <c r="M67" s="333"/>
      <c r="N67" s="333"/>
      <c r="O67" s="333"/>
      <c r="P67" s="971"/>
      <c r="Q67" s="1009"/>
    </row>
    <row r="68" spans="1:17" ht="22.5" customHeight="1">
      <c r="A68" s="569">
        <v>59</v>
      </c>
      <c r="B68" s="462"/>
      <c r="C68" s="802"/>
      <c r="D68" s="787" t="s">
        <v>465</v>
      </c>
      <c r="E68" s="333"/>
      <c r="F68" s="333"/>
      <c r="G68" s="332"/>
      <c r="H68" s="765"/>
      <c r="I68" s="970"/>
      <c r="J68" s="333"/>
      <c r="K68" s="333"/>
      <c r="L68" s="333"/>
      <c r="M68" s="333"/>
      <c r="N68" s="333"/>
      <c r="O68" s="333"/>
      <c r="P68" s="971"/>
      <c r="Q68" s="557"/>
    </row>
    <row r="69" spans="1:256" s="555" customFormat="1" ht="19.5" customHeight="1">
      <c r="A69" s="569">
        <v>60</v>
      </c>
      <c r="B69" s="563"/>
      <c r="C69" s="813"/>
      <c r="D69" s="821" t="s">
        <v>283</v>
      </c>
      <c r="E69" s="822">
        <f>F69+G69+P70+34903</f>
        <v>380582</v>
      </c>
      <c r="F69" s="823"/>
      <c r="G69" s="1315"/>
      <c r="H69" s="824"/>
      <c r="I69" s="825"/>
      <c r="J69" s="826"/>
      <c r="K69" s="818">
        <f>259700-78400</f>
        <v>181300</v>
      </c>
      <c r="L69" s="818">
        <v>78400</v>
      </c>
      <c r="M69" s="819"/>
      <c r="N69" s="826"/>
      <c r="O69" s="826"/>
      <c r="P69" s="820">
        <f>SUM(I69:O69)</f>
        <v>259700</v>
      </c>
      <c r="Q69" s="812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6"/>
      <c r="BD69" s="326"/>
      <c r="BE69" s="326"/>
      <c r="BF69" s="326"/>
      <c r="BG69" s="326"/>
      <c r="BH69" s="326"/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326"/>
      <c r="CE69" s="326"/>
      <c r="CF69" s="326"/>
      <c r="CG69" s="326"/>
      <c r="CH69" s="326"/>
      <c r="CI69" s="326"/>
      <c r="CJ69" s="326"/>
      <c r="CK69" s="326"/>
      <c r="CL69" s="326"/>
      <c r="CM69" s="326"/>
      <c r="CN69" s="326"/>
      <c r="CO69" s="326"/>
      <c r="CP69" s="326"/>
      <c r="CQ69" s="326"/>
      <c r="CR69" s="326"/>
      <c r="CS69" s="326"/>
      <c r="CT69" s="326"/>
      <c r="CU69" s="326"/>
      <c r="CV69" s="326"/>
      <c r="CW69" s="326"/>
      <c r="CX69" s="326"/>
      <c r="CY69" s="326"/>
      <c r="CZ69" s="326"/>
      <c r="DA69" s="326"/>
      <c r="DB69" s="326"/>
      <c r="DC69" s="326"/>
      <c r="DD69" s="326"/>
      <c r="DE69" s="326"/>
      <c r="DF69" s="326"/>
      <c r="DG69" s="326"/>
      <c r="DH69" s="326"/>
      <c r="DI69" s="326"/>
      <c r="DJ69" s="326"/>
      <c r="DK69" s="326"/>
      <c r="DL69" s="326"/>
      <c r="DM69" s="326"/>
      <c r="DN69" s="326"/>
      <c r="DO69" s="326"/>
      <c r="DP69" s="326"/>
      <c r="DQ69" s="326"/>
      <c r="DR69" s="326"/>
      <c r="DS69" s="326"/>
      <c r="DT69" s="326"/>
      <c r="DU69" s="326"/>
      <c r="DV69" s="326"/>
      <c r="DW69" s="326"/>
      <c r="DX69" s="326"/>
      <c r="DY69" s="326"/>
      <c r="DZ69" s="326"/>
      <c r="EA69" s="326"/>
      <c r="EB69" s="326"/>
      <c r="EC69" s="326"/>
      <c r="ED69" s="326"/>
      <c r="EE69" s="326"/>
      <c r="EF69" s="326"/>
      <c r="EG69" s="326"/>
      <c r="EH69" s="326"/>
      <c r="EI69" s="326"/>
      <c r="EJ69" s="326"/>
      <c r="EK69" s="326"/>
      <c r="EL69" s="326"/>
      <c r="EM69" s="326"/>
      <c r="EN69" s="326"/>
      <c r="EO69" s="326"/>
      <c r="EP69" s="326"/>
      <c r="EQ69" s="326"/>
      <c r="ER69" s="326"/>
      <c r="ES69" s="326"/>
      <c r="ET69" s="326"/>
      <c r="EU69" s="326"/>
      <c r="EV69" s="326"/>
      <c r="EW69" s="326"/>
      <c r="EX69" s="326"/>
      <c r="EY69" s="326"/>
      <c r="EZ69" s="326"/>
      <c r="FA69" s="326"/>
      <c r="FB69" s="326"/>
      <c r="FC69" s="326"/>
      <c r="FD69" s="326"/>
      <c r="FE69" s="326"/>
      <c r="FF69" s="326"/>
      <c r="FG69" s="326"/>
      <c r="FH69" s="326"/>
      <c r="FI69" s="326"/>
      <c r="FJ69" s="326"/>
      <c r="FK69" s="326"/>
      <c r="FL69" s="326"/>
      <c r="FM69" s="326"/>
      <c r="FN69" s="326"/>
      <c r="FO69" s="326"/>
      <c r="FP69" s="326"/>
      <c r="FQ69" s="326"/>
      <c r="FR69" s="326"/>
      <c r="FS69" s="326"/>
      <c r="FT69" s="326"/>
      <c r="FU69" s="326"/>
      <c r="FV69" s="326"/>
      <c r="FW69" s="326"/>
      <c r="FX69" s="326"/>
      <c r="FY69" s="326"/>
      <c r="FZ69" s="326"/>
      <c r="GA69" s="326"/>
      <c r="GB69" s="326"/>
      <c r="GC69" s="326"/>
      <c r="GD69" s="326"/>
      <c r="GE69" s="326"/>
      <c r="GF69" s="326"/>
      <c r="GG69" s="326"/>
      <c r="GH69" s="326"/>
      <c r="GI69" s="326"/>
      <c r="GJ69" s="326"/>
      <c r="GK69" s="326"/>
      <c r="GL69" s="326"/>
      <c r="GM69" s="326"/>
      <c r="GN69" s="326"/>
      <c r="GO69" s="326"/>
      <c r="GP69" s="326"/>
      <c r="GQ69" s="326"/>
      <c r="GR69" s="326"/>
      <c r="GS69" s="326"/>
      <c r="GT69" s="326"/>
      <c r="GU69" s="326"/>
      <c r="GV69" s="326"/>
      <c r="GW69" s="326"/>
      <c r="GX69" s="326"/>
      <c r="GY69" s="326"/>
      <c r="GZ69" s="326"/>
      <c r="HA69" s="326"/>
      <c r="HB69" s="326"/>
      <c r="HC69" s="326"/>
      <c r="HD69" s="326"/>
      <c r="HE69" s="326"/>
      <c r="HF69" s="326"/>
      <c r="HG69" s="326"/>
      <c r="HH69" s="326"/>
      <c r="HI69" s="326"/>
      <c r="HJ69" s="326"/>
      <c r="HK69" s="326"/>
      <c r="HL69" s="326"/>
      <c r="HM69" s="326"/>
      <c r="HN69" s="326"/>
      <c r="HO69" s="326"/>
      <c r="HP69" s="326"/>
      <c r="HQ69" s="326"/>
      <c r="HR69" s="326"/>
      <c r="HS69" s="326"/>
      <c r="HT69" s="326"/>
      <c r="HU69" s="326"/>
      <c r="HV69" s="326"/>
      <c r="HW69" s="326"/>
      <c r="HX69" s="326"/>
      <c r="HY69" s="326"/>
      <c r="HZ69" s="326"/>
      <c r="IA69" s="326"/>
      <c r="IB69" s="326"/>
      <c r="IC69" s="326"/>
      <c r="ID69" s="326"/>
      <c r="IE69" s="326"/>
      <c r="IF69" s="326"/>
      <c r="IG69" s="326"/>
      <c r="IH69" s="326"/>
      <c r="II69" s="326"/>
      <c r="IJ69" s="326"/>
      <c r="IK69" s="326"/>
      <c r="IL69" s="326"/>
      <c r="IM69" s="326"/>
      <c r="IN69" s="326"/>
      <c r="IO69" s="326"/>
      <c r="IP69" s="326"/>
      <c r="IQ69" s="326"/>
      <c r="IR69" s="326"/>
      <c r="IS69" s="326"/>
      <c r="IT69" s="326"/>
      <c r="IU69" s="326"/>
      <c r="IV69" s="326"/>
    </row>
    <row r="70" spans="1:256" s="555" customFormat="1" ht="19.5" customHeight="1">
      <c r="A70" s="569">
        <v>61</v>
      </c>
      <c r="B70" s="563"/>
      <c r="C70" s="813"/>
      <c r="D70" s="478" t="s">
        <v>757</v>
      </c>
      <c r="E70" s="822"/>
      <c r="F70" s="823"/>
      <c r="G70" s="1315"/>
      <c r="H70" s="824"/>
      <c r="I70" s="1460">
        <v>3385</v>
      </c>
      <c r="J70" s="1460">
        <v>524</v>
      </c>
      <c r="K70" s="1460">
        <v>268270</v>
      </c>
      <c r="L70" s="1460">
        <v>73500</v>
      </c>
      <c r="M70" s="825"/>
      <c r="N70" s="825"/>
      <c r="O70" s="825"/>
      <c r="P70" s="1239">
        <f>SUM(I70:O70)</f>
        <v>345679</v>
      </c>
      <c r="Q70" s="812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  <c r="CX70" s="326"/>
      <c r="CY70" s="326"/>
      <c r="CZ70" s="326"/>
      <c r="DA70" s="326"/>
      <c r="DB70" s="326"/>
      <c r="DC70" s="326"/>
      <c r="DD70" s="326"/>
      <c r="DE70" s="326"/>
      <c r="DF70" s="326"/>
      <c r="DG70" s="326"/>
      <c r="DH70" s="326"/>
      <c r="DI70" s="326"/>
      <c r="DJ70" s="326"/>
      <c r="DK70" s="326"/>
      <c r="DL70" s="326"/>
      <c r="DM70" s="326"/>
      <c r="DN70" s="326"/>
      <c r="DO70" s="326"/>
      <c r="DP70" s="326"/>
      <c r="DQ70" s="326"/>
      <c r="DR70" s="326"/>
      <c r="DS70" s="326"/>
      <c r="DT70" s="326"/>
      <c r="DU70" s="326"/>
      <c r="DV70" s="326"/>
      <c r="DW70" s="326"/>
      <c r="DX70" s="326"/>
      <c r="DY70" s="326"/>
      <c r="DZ70" s="326"/>
      <c r="EA70" s="326"/>
      <c r="EB70" s="326"/>
      <c r="EC70" s="326"/>
      <c r="ED70" s="326"/>
      <c r="EE70" s="326"/>
      <c r="EF70" s="326"/>
      <c r="EG70" s="326"/>
      <c r="EH70" s="326"/>
      <c r="EI70" s="326"/>
      <c r="EJ70" s="326"/>
      <c r="EK70" s="326"/>
      <c r="EL70" s="326"/>
      <c r="EM70" s="326"/>
      <c r="EN70" s="326"/>
      <c r="EO70" s="326"/>
      <c r="EP70" s="326"/>
      <c r="EQ70" s="326"/>
      <c r="ER70" s="326"/>
      <c r="ES70" s="326"/>
      <c r="ET70" s="326"/>
      <c r="EU70" s="326"/>
      <c r="EV70" s="326"/>
      <c r="EW70" s="326"/>
      <c r="EX70" s="326"/>
      <c r="EY70" s="326"/>
      <c r="EZ70" s="326"/>
      <c r="FA70" s="326"/>
      <c r="FB70" s="326"/>
      <c r="FC70" s="326"/>
      <c r="FD70" s="326"/>
      <c r="FE70" s="326"/>
      <c r="FF70" s="326"/>
      <c r="FG70" s="326"/>
      <c r="FH70" s="326"/>
      <c r="FI70" s="326"/>
      <c r="FJ70" s="326"/>
      <c r="FK70" s="326"/>
      <c r="FL70" s="326"/>
      <c r="FM70" s="326"/>
      <c r="FN70" s="326"/>
      <c r="FO70" s="326"/>
      <c r="FP70" s="326"/>
      <c r="FQ70" s="326"/>
      <c r="FR70" s="326"/>
      <c r="FS70" s="326"/>
      <c r="FT70" s="326"/>
      <c r="FU70" s="326"/>
      <c r="FV70" s="326"/>
      <c r="FW70" s="326"/>
      <c r="FX70" s="326"/>
      <c r="FY70" s="326"/>
      <c r="FZ70" s="326"/>
      <c r="GA70" s="326"/>
      <c r="GB70" s="326"/>
      <c r="GC70" s="326"/>
      <c r="GD70" s="326"/>
      <c r="GE70" s="326"/>
      <c r="GF70" s="326"/>
      <c r="GG70" s="326"/>
      <c r="GH70" s="326"/>
      <c r="GI70" s="326"/>
      <c r="GJ70" s="326"/>
      <c r="GK70" s="326"/>
      <c r="GL70" s="326"/>
      <c r="GM70" s="326"/>
      <c r="GN70" s="326"/>
      <c r="GO70" s="326"/>
      <c r="GP70" s="326"/>
      <c r="GQ70" s="326"/>
      <c r="GR70" s="326"/>
      <c r="GS70" s="326"/>
      <c r="GT70" s="326"/>
      <c r="GU70" s="326"/>
      <c r="GV70" s="326"/>
      <c r="GW70" s="326"/>
      <c r="GX70" s="326"/>
      <c r="GY70" s="326"/>
      <c r="GZ70" s="326"/>
      <c r="HA70" s="326"/>
      <c r="HB70" s="326"/>
      <c r="HC70" s="326"/>
      <c r="HD70" s="326"/>
      <c r="HE70" s="326"/>
      <c r="HF70" s="326"/>
      <c r="HG70" s="326"/>
      <c r="HH70" s="326"/>
      <c r="HI70" s="326"/>
      <c r="HJ70" s="326"/>
      <c r="HK70" s="326"/>
      <c r="HL70" s="326"/>
      <c r="HM70" s="326"/>
      <c r="HN70" s="326"/>
      <c r="HO70" s="326"/>
      <c r="HP70" s="326"/>
      <c r="HQ70" s="326"/>
      <c r="HR70" s="326"/>
      <c r="HS70" s="326"/>
      <c r="HT70" s="326"/>
      <c r="HU70" s="326"/>
      <c r="HV70" s="326"/>
      <c r="HW70" s="326"/>
      <c r="HX70" s="326"/>
      <c r="HY70" s="326"/>
      <c r="HZ70" s="326"/>
      <c r="IA70" s="326"/>
      <c r="IB70" s="326"/>
      <c r="IC70" s="326"/>
      <c r="ID70" s="326"/>
      <c r="IE70" s="326"/>
      <c r="IF70" s="326"/>
      <c r="IG70" s="326"/>
      <c r="IH70" s="326"/>
      <c r="II70" s="326"/>
      <c r="IJ70" s="326"/>
      <c r="IK70" s="326"/>
      <c r="IL70" s="326"/>
      <c r="IM70" s="326"/>
      <c r="IN70" s="326"/>
      <c r="IO70" s="326"/>
      <c r="IP70" s="326"/>
      <c r="IQ70" s="326"/>
      <c r="IR70" s="326"/>
      <c r="IS70" s="326"/>
      <c r="IT70" s="326"/>
      <c r="IU70" s="326"/>
      <c r="IV70" s="326"/>
    </row>
    <row r="71" spans="1:256" s="555" customFormat="1" ht="19.5" customHeight="1" thickBot="1">
      <c r="A71" s="569">
        <v>62</v>
      </c>
      <c r="B71" s="563"/>
      <c r="C71" s="366"/>
      <c r="D71" s="1090" t="s">
        <v>892</v>
      </c>
      <c r="E71" s="335"/>
      <c r="F71" s="559"/>
      <c r="G71" s="336"/>
      <c r="H71" s="766"/>
      <c r="I71" s="1185">
        <v>624</v>
      </c>
      <c r="J71" s="1185">
        <v>59</v>
      </c>
      <c r="K71" s="1185">
        <v>56735</v>
      </c>
      <c r="L71" s="1185">
        <v>68000</v>
      </c>
      <c r="M71" s="763"/>
      <c r="N71" s="763"/>
      <c r="O71" s="763"/>
      <c r="P71" s="1723">
        <f>SUM(I71:O71)</f>
        <v>125418</v>
      </c>
      <c r="Q71" s="560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  <c r="CV71" s="326"/>
      <c r="CW71" s="326"/>
      <c r="CX71" s="326"/>
      <c r="CY71" s="326"/>
      <c r="CZ71" s="326"/>
      <c r="DA71" s="326"/>
      <c r="DB71" s="326"/>
      <c r="DC71" s="326"/>
      <c r="DD71" s="326"/>
      <c r="DE71" s="326"/>
      <c r="DF71" s="326"/>
      <c r="DG71" s="326"/>
      <c r="DH71" s="326"/>
      <c r="DI71" s="326"/>
      <c r="DJ71" s="326"/>
      <c r="DK71" s="326"/>
      <c r="DL71" s="326"/>
      <c r="DM71" s="326"/>
      <c r="DN71" s="326"/>
      <c r="DO71" s="326"/>
      <c r="DP71" s="326"/>
      <c r="DQ71" s="326"/>
      <c r="DR71" s="326"/>
      <c r="DS71" s="326"/>
      <c r="DT71" s="326"/>
      <c r="DU71" s="326"/>
      <c r="DV71" s="326"/>
      <c r="DW71" s="326"/>
      <c r="DX71" s="326"/>
      <c r="DY71" s="326"/>
      <c r="DZ71" s="326"/>
      <c r="EA71" s="326"/>
      <c r="EB71" s="326"/>
      <c r="EC71" s="326"/>
      <c r="ED71" s="326"/>
      <c r="EE71" s="326"/>
      <c r="EF71" s="326"/>
      <c r="EG71" s="326"/>
      <c r="EH71" s="326"/>
      <c r="EI71" s="326"/>
      <c r="EJ71" s="326"/>
      <c r="EK71" s="326"/>
      <c r="EL71" s="326"/>
      <c r="EM71" s="326"/>
      <c r="EN71" s="326"/>
      <c r="EO71" s="326"/>
      <c r="EP71" s="326"/>
      <c r="EQ71" s="326"/>
      <c r="ER71" s="326"/>
      <c r="ES71" s="326"/>
      <c r="ET71" s="326"/>
      <c r="EU71" s="326"/>
      <c r="EV71" s="326"/>
      <c r="EW71" s="326"/>
      <c r="EX71" s="326"/>
      <c r="EY71" s="326"/>
      <c r="EZ71" s="326"/>
      <c r="FA71" s="326"/>
      <c r="FB71" s="326"/>
      <c r="FC71" s="326"/>
      <c r="FD71" s="326"/>
      <c r="FE71" s="326"/>
      <c r="FF71" s="326"/>
      <c r="FG71" s="326"/>
      <c r="FH71" s="326"/>
      <c r="FI71" s="326"/>
      <c r="FJ71" s="326"/>
      <c r="FK71" s="326"/>
      <c r="FL71" s="326"/>
      <c r="FM71" s="326"/>
      <c r="FN71" s="326"/>
      <c r="FO71" s="326"/>
      <c r="FP71" s="326"/>
      <c r="FQ71" s="326"/>
      <c r="FR71" s="326"/>
      <c r="FS71" s="326"/>
      <c r="FT71" s="326"/>
      <c r="FU71" s="326"/>
      <c r="FV71" s="326"/>
      <c r="FW71" s="326"/>
      <c r="FX71" s="326"/>
      <c r="FY71" s="326"/>
      <c r="FZ71" s="326"/>
      <c r="GA71" s="326"/>
      <c r="GB71" s="326"/>
      <c r="GC71" s="326"/>
      <c r="GD71" s="326"/>
      <c r="GE71" s="326"/>
      <c r="GF71" s="326"/>
      <c r="GG71" s="326"/>
      <c r="GH71" s="326"/>
      <c r="GI71" s="326"/>
      <c r="GJ71" s="326"/>
      <c r="GK71" s="326"/>
      <c r="GL71" s="326"/>
      <c r="GM71" s="326"/>
      <c r="GN71" s="326"/>
      <c r="GO71" s="326"/>
      <c r="GP71" s="326"/>
      <c r="GQ71" s="326"/>
      <c r="GR71" s="326"/>
      <c r="GS71" s="326"/>
      <c r="GT71" s="326"/>
      <c r="GU71" s="326"/>
      <c r="GV71" s="326"/>
      <c r="GW71" s="326"/>
      <c r="GX71" s="326"/>
      <c r="GY71" s="326"/>
      <c r="GZ71" s="326"/>
      <c r="HA71" s="326"/>
      <c r="HB71" s="326"/>
      <c r="HC71" s="326"/>
      <c r="HD71" s="326"/>
      <c r="HE71" s="326"/>
      <c r="HF71" s="326"/>
      <c r="HG71" s="326"/>
      <c r="HH71" s="326"/>
      <c r="HI71" s="326"/>
      <c r="HJ71" s="326"/>
      <c r="HK71" s="326"/>
      <c r="HL71" s="326"/>
      <c r="HM71" s="326"/>
      <c r="HN71" s="326"/>
      <c r="HO71" s="326"/>
      <c r="HP71" s="326"/>
      <c r="HQ71" s="326"/>
      <c r="HR71" s="326"/>
      <c r="HS71" s="326"/>
      <c r="HT71" s="326"/>
      <c r="HU71" s="326"/>
      <c r="HV71" s="326"/>
      <c r="HW71" s="326"/>
      <c r="HX71" s="326"/>
      <c r="HY71" s="326"/>
      <c r="HZ71" s="326"/>
      <c r="IA71" s="326"/>
      <c r="IB71" s="326"/>
      <c r="IC71" s="326"/>
      <c r="ID71" s="326"/>
      <c r="IE71" s="326"/>
      <c r="IF71" s="326"/>
      <c r="IG71" s="326"/>
      <c r="IH71" s="326"/>
      <c r="II71" s="326"/>
      <c r="IJ71" s="326"/>
      <c r="IK71" s="326"/>
      <c r="IL71" s="326"/>
      <c r="IM71" s="326"/>
      <c r="IN71" s="326"/>
      <c r="IO71" s="326"/>
      <c r="IP71" s="326"/>
      <c r="IQ71" s="326"/>
      <c r="IR71" s="326"/>
      <c r="IS71" s="326"/>
      <c r="IT71" s="326"/>
      <c r="IU71" s="326"/>
      <c r="IV71" s="326"/>
    </row>
    <row r="72" spans="1:17" ht="24.75" customHeight="1" thickTop="1">
      <c r="A72" s="569">
        <v>63</v>
      </c>
      <c r="B72" s="462"/>
      <c r="C72" s="1202"/>
      <c r="D72" s="1343" t="s">
        <v>611</v>
      </c>
      <c r="E72" s="1212">
        <f>E69</f>
        <v>380582</v>
      </c>
      <c r="F72" s="1212">
        <f>F69</f>
        <v>0</v>
      </c>
      <c r="G72" s="1212">
        <f>G69</f>
        <v>0</v>
      </c>
      <c r="H72" s="1203"/>
      <c r="I72" s="1204"/>
      <c r="J72" s="1204"/>
      <c r="K72" s="1204"/>
      <c r="L72" s="1204"/>
      <c r="M72" s="1204"/>
      <c r="N72" s="1204"/>
      <c r="O72" s="1204"/>
      <c r="P72" s="1204"/>
      <c r="Q72" s="1228"/>
    </row>
    <row r="73" spans="1:17" ht="19.5" customHeight="1">
      <c r="A73" s="569">
        <v>64</v>
      </c>
      <c r="B73" s="462"/>
      <c r="C73" s="366"/>
      <c r="D73" s="821" t="s">
        <v>283</v>
      </c>
      <c r="E73" s="1002"/>
      <c r="F73" s="1002"/>
      <c r="G73" s="1320"/>
      <c r="H73" s="1206"/>
      <c r="I73" s="764">
        <f aca="true" t="shared" si="6" ref="I73:P74">I69</f>
        <v>0</v>
      </c>
      <c r="J73" s="764">
        <f t="shared" si="6"/>
        <v>0</v>
      </c>
      <c r="K73" s="764">
        <f t="shared" si="6"/>
        <v>181300</v>
      </c>
      <c r="L73" s="764">
        <f t="shared" si="6"/>
        <v>78400</v>
      </c>
      <c r="M73" s="764">
        <f t="shared" si="6"/>
        <v>0</v>
      </c>
      <c r="N73" s="764">
        <f t="shared" si="6"/>
        <v>0</v>
      </c>
      <c r="O73" s="764">
        <f t="shared" si="6"/>
        <v>0</v>
      </c>
      <c r="P73" s="764">
        <f t="shared" si="6"/>
        <v>259700</v>
      </c>
      <c r="Q73" s="1227"/>
    </row>
    <row r="74" spans="1:17" ht="19.5" customHeight="1">
      <c r="A74" s="569">
        <v>65</v>
      </c>
      <c r="B74" s="462"/>
      <c r="C74" s="366"/>
      <c r="D74" s="478" t="s">
        <v>757</v>
      </c>
      <c r="E74" s="1002"/>
      <c r="F74" s="1002"/>
      <c r="G74" s="1320"/>
      <c r="H74" s="1206"/>
      <c r="I74" s="1187">
        <f t="shared" si="6"/>
        <v>3385</v>
      </c>
      <c r="J74" s="1187">
        <f t="shared" si="6"/>
        <v>524</v>
      </c>
      <c r="K74" s="1187">
        <f t="shared" si="6"/>
        <v>268270</v>
      </c>
      <c r="L74" s="1187">
        <f t="shared" si="6"/>
        <v>73500</v>
      </c>
      <c r="M74" s="1187">
        <f t="shared" si="6"/>
        <v>0</v>
      </c>
      <c r="N74" s="1187">
        <f t="shared" si="6"/>
        <v>0</v>
      </c>
      <c r="O74" s="1187">
        <f t="shared" si="6"/>
        <v>0</v>
      </c>
      <c r="P74" s="1187">
        <f t="shared" si="6"/>
        <v>345679</v>
      </c>
      <c r="Q74" s="1227"/>
    </row>
    <row r="75" spans="1:17" ht="19.5" customHeight="1">
      <c r="A75" s="569">
        <v>66</v>
      </c>
      <c r="B75" s="462"/>
      <c r="C75" s="366"/>
      <c r="D75" s="1090" t="s">
        <v>893</v>
      </c>
      <c r="E75" s="1002"/>
      <c r="F75" s="1002"/>
      <c r="G75" s="1320"/>
      <c r="H75" s="1206"/>
      <c r="I75" s="1185">
        <f aca="true" t="shared" si="7" ref="I75:O75">I71</f>
        <v>624</v>
      </c>
      <c r="J75" s="1185">
        <f t="shared" si="7"/>
        <v>59</v>
      </c>
      <c r="K75" s="1185">
        <f t="shared" si="7"/>
        <v>56735</v>
      </c>
      <c r="L75" s="1185">
        <f t="shared" si="7"/>
        <v>68000</v>
      </c>
      <c r="M75" s="1185">
        <f t="shared" si="7"/>
        <v>0</v>
      </c>
      <c r="N75" s="1185">
        <f t="shared" si="7"/>
        <v>0</v>
      </c>
      <c r="O75" s="1185">
        <f t="shared" si="7"/>
        <v>0</v>
      </c>
      <c r="P75" s="1723">
        <f>SUM(I75:O75)</f>
        <v>125418</v>
      </c>
      <c r="Q75" s="1227"/>
    </row>
    <row r="76" spans="1:256" s="555" customFormat="1" ht="24.75" customHeight="1">
      <c r="A76" s="569">
        <v>67</v>
      </c>
      <c r="B76" s="563"/>
      <c r="C76" s="802">
        <v>5</v>
      </c>
      <c r="D76" s="809" t="s">
        <v>648</v>
      </c>
      <c r="E76" s="1010"/>
      <c r="F76" s="1010"/>
      <c r="G76" s="971"/>
      <c r="H76" s="1048" t="s">
        <v>23</v>
      </c>
      <c r="I76" s="1010"/>
      <c r="J76" s="1010"/>
      <c r="K76" s="1010"/>
      <c r="L76" s="1010"/>
      <c r="M76" s="1010"/>
      <c r="N76" s="1010"/>
      <c r="O76" s="1010"/>
      <c r="P76" s="971"/>
      <c r="Q76" s="1009"/>
      <c r="R76" s="326"/>
      <c r="S76" s="326"/>
      <c r="T76" s="326"/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6"/>
      <c r="AF76" s="326"/>
      <c r="AG76" s="326"/>
      <c r="AH76" s="326"/>
      <c r="AI76" s="326"/>
      <c r="AJ76" s="326"/>
      <c r="AK76" s="326"/>
      <c r="AL76" s="326"/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6"/>
      <c r="BW76" s="326"/>
      <c r="BX76" s="326"/>
      <c r="BY76" s="326"/>
      <c r="BZ76" s="326"/>
      <c r="CA76" s="326"/>
      <c r="CB76" s="326"/>
      <c r="CC76" s="326"/>
      <c r="CD76" s="326"/>
      <c r="CE76" s="326"/>
      <c r="CF76" s="326"/>
      <c r="CG76" s="326"/>
      <c r="CH76" s="326"/>
      <c r="CI76" s="326"/>
      <c r="CJ76" s="326"/>
      <c r="CK76" s="326"/>
      <c r="CL76" s="326"/>
      <c r="CM76" s="326"/>
      <c r="CN76" s="326"/>
      <c r="CO76" s="326"/>
      <c r="CP76" s="326"/>
      <c r="CQ76" s="326"/>
      <c r="CR76" s="326"/>
      <c r="CS76" s="326"/>
      <c r="CT76" s="326"/>
      <c r="CU76" s="326"/>
      <c r="CV76" s="326"/>
      <c r="CW76" s="326"/>
      <c r="CX76" s="326"/>
      <c r="CY76" s="326"/>
      <c r="CZ76" s="326"/>
      <c r="DA76" s="326"/>
      <c r="DB76" s="326"/>
      <c r="DC76" s="326"/>
      <c r="DD76" s="326"/>
      <c r="DE76" s="326"/>
      <c r="DF76" s="326"/>
      <c r="DG76" s="326"/>
      <c r="DH76" s="326"/>
      <c r="DI76" s="326"/>
      <c r="DJ76" s="326"/>
      <c r="DK76" s="326"/>
      <c r="DL76" s="326"/>
      <c r="DM76" s="326"/>
      <c r="DN76" s="326"/>
      <c r="DO76" s="326"/>
      <c r="DP76" s="326"/>
      <c r="DQ76" s="326"/>
      <c r="DR76" s="326"/>
      <c r="DS76" s="326"/>
      <c r="DT76" s="326"/>
      <c r="DU76" s="326"/>
      <c r="DV76" s="326"/>
      <c r="DW76" s="326"/>
      <c r="DX76" s="326"/>
      <c r="DY76" s="326"/>
      <c r="DZ76" s="326"/>
      <c r="EA76" s="326"/>
      <c r="EB76" s="326"/>
      <c r="EC76" s="326"/>
      <c r="ED76" s="326"/>
      <c r="EE76" s="326"/>
      <c r="EF76" s="326"/>
      <c r="EG76" s="326"/>
      <c r="EH76" s="326"/>
      <c r="EI76" s="326"/>
      <c r="EJ76" s="326"/>
      <c r="EK76" s="326"/>
      <c r="EL76" s="326"/>
      <c r="EM76" s="326"/>
      <c r="EN76" s="326"/>
      <c r="EO76" s="326"/>
      <c r="EP76" s="326"/>
      <c r="EQ76" s="326"/>
      <c r="ER76" s="326"/>
      <c r="ES76" s="326"/>
      <c r="ET76" s="326"/>
      <c r="EU76" s="326"/>
      <c r="EV76" s="326"/>
      <c r="EW76" s="326"/>
      <c r="EX76" s="326"/>
      <c r="EY76" s="326"/>
      <c r="EZ76" s="326"/>
      <c r="FA76" s="326"/>
      <c r="FB76" s="326"/>
      <c r="FC76" s="326"/>
      <c r="FD76" s="326"/>
      <c r="FE76" s="326"/>
      <c r="FF76" s="326"/>
      <c r="FG76" s="326"/>
      <c r="FH76" s="326"/>
      <c r="FI76" s="326"/>
      <c r="FJ76" s="326"/>
      <c r="FK76" s="326"/>
      <c r="FL76" s="326"/>
      <c r="FM76" s="326"/>
      <c r="FN76" s="326"/>
      <c r="FO76" s="326"/>
      <c r="FP76" s="326"/>
      <c r="FQ76" s="326"/>
      <c r="FR76" s="326"/>
      <c r="FS76" s="326"/>
      <c r="FT76" s="326"/>
      <c r="FU76" s="326"/>
      <c r="FV76" s="326"/>
      <c r="FW76" s="326"/>
      <c r="FX76" s="326"/>
      <c r="FY76" s="326"/>
      <c r="FZ76" s="326"/>
      <c r="GA76" s="326"/>
      <c r="GB76" s="326"/>
      <c r="GC76" s="326"/>
      <c r="GD76" s="326"/>
      <c r="GE76" s="326"/>
      <c r="GF76" s="326"/>
      <c r="GG76" s="326"/>
      <c r="GH76" s="326"/>
      <c r="GI76" s="326"/>
      <c r="GJ76" s="326"/>
      <c r="GK76" s="326"/>
      <c r="GL76" s="326"/>
      <c r="GM76" s="326"/>
      <c r="GN76" s="326"/>
      <c r="GO76" s="326"/>
      <c r="GP76" s="326"/>
      <c r="GQ76" s="326"/>
      <c r="GR76" s="326"/>
      <c r="GS76" s="326"/>
      <c r="GT76" s="326"/>
      <c r="GU76" s="326"/>
      <c r="GV76" s="326"/>
      <c r="GW76" s="326"/>
      <c r="GX76" s="326"/>
      <c r="GY76" s="326"/>
      <c r="GZ76" s="326"/>
      <c r="HA76" s="326"/>
      <c r="HB76" s="326"/>
      <c r="HC76" s="326"/>
      <c r="HD76" s="326"/>
      <c r="HE76" s="326"/>
      <c r="HF76" s="326"/>
      <c r="HG76" s="326"/>
      <c r="HH76" s="326"/>
      <c r="HI76" s="326"/>
      <c r="HJ76" s="326"/>
      <c r="HK76" s="326"/>
      <c r="HL76" s="326"/>
      <c r="HM76" s="326"/>
      <c r="HN76" s="326"/>
      <c r="HO76" s="326"/>
      <c r="HP76" s="326"/>
      <c r="HQ76" s="326"/>
      <c r="HR76" s="326"/>
      <c r="HS76" s="326"/>
      <c r="HT76" s="326"/>
      <c r="HU76" s="326"/>
      <c r="HV76" s="326"/>
      <c r="HW76" s="326"/>
      <c r="HX76" s="326"/>
      <c r="HY76" s="326"/>
      <c r="HZ76" s="326"/>
      <c r="IA76" s="326"/>
      <c r="IB76" s="326"/>
      <c r="IC76" s="326"/>
      <c r="ID76" s="326"/>
      <c r="IE76" s="326"/>
      <c r="IF76" s="326"/>
      <c r="IG76" s="326"/>
      <c r="IH76" s="326"/>
      <c r="II76" s="326"/>
      <c r="IJ76" s="326"/>
      <c r="IK76" s="326"/>
      <c r="IL76" s="326"/>
      <c r="IM76" s="326"/>
      <c r="IN76" s="326"/>
      <c r="IO76" s="326"/>
      <c r="IP76" s="326"/>
      <c r="IQ76" s="326"/>
      <c r="IR76" s="326"/>
      <c r="IS76" s="326"/>
      <c r="IT76" s="326"/>
      <c r="IU76" s="326"/>
      <c r="IV76" s="326"/>
    </row>
    <row r="77" spans="1:256" s="555" customFormat="1" ht="35.25" customHeight="1">
      <c r="A77" s="569">
        <v>68</v>
      </c>
      <c r="B77" s="563"/>
      <c r="C77" s="366"/>
      <c r="D77" s="328" t="s">
        <v>651</v>
      </c>
      <c r="E77" s="1002"/>
      <c r="F77" s="1002"/>
      <c r="G77" s="568"/>
      <c r="H77" s="1004"/>
      <c r="I77" s="1002"/>
      <c r="J77" s="1002"/>
      <c r="K77" s="1002"/>
      <c r="L77" s="1002"/>
      <c r="M77" s="1002"/>
      <c r="N77" s="1002"/>
      <c r="O77" s="1002"/>
      <c r="P77" s="568"/>
      <c r="Q77" s="1003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  <c r="BC77" s="326"/>
      <c r="BD77" s="326"/>
      <c r="BE77" s="326"/>
      <c r="BF77" s="326"/>
      <c r="BG77" s="326"/>
      <c r="BH77" s="326"/>
      <c r="BI77" s="326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6"/>
      <c r="BZ77" s="326"/>
      <c r="CA77" s="326"/>
      <c r="CB77" s="326"/>
      <c r="CC77" s="326"/>
      <c r="CD77" s="326"/>
      <c r="CE77" s="326"/>
      <c r="CF77" s="326"/>
      <c r="CG77" s="326"/>
      <c r="CH77" s="326"/>
      <c r="CI77" s="326"/>
      <c r="CJ77" s="326"/>
      <c r="CK77" s="326"/>
      <c r="CL77" s="326"/>
      <c r="CM77" s="326"/>
      <c r="CN77" s="326"/>
      <c r="CO77" s="326"/>
      <c r="CP77" s="326"/>
      <c r="CQ77" s="326"/>
      <c r="CR77" s="326"/>
      <c r="CS77" s="326"/>
      <c r="CT77" s="326"/>
      <c r="CU77" s="326"/>
      <c r="CV77" s="326"/>
      <c r="CW77" s="326"/>
      <c r="CX77" s="326"/>
      <c r="CY77" s="326"/>
      <c r="CZ77" s="326"/>
      <c r="DA77" s="326"/>
      <c r="DB77" s="326"/>
      <c r="DC77" s="326"/>
      <c r="DD77" s="326"/>
      <c r="DE77" s="326"/>
      <c r="DF77" s="326"/>
      <c r="DG77" s="326"/>
      <c r="DH77" s="326"/>
      <c r="DI77" s="326"/>
      <c r="DJ77" s="326"/>
      <c r="DK77" s="326"/>
      <c r="DL77" s="326"/>
      <c r="DM77" s="326"/>
      <c r="DN77" s="326"/>
      <c r="DO77" s="326"/>
      <c r="DP77" s="326"/>
      <c r="DQ77" s="326"/>
      <c r="DR77" s="326"/>
      <c r="DS77" s="326"/>
      <c r="DT77" s="326"/>
      <c r="DU77" s="326"/>
      <c r="DV77" s="326"/>
      <c r="DW77" s="326"/>
      <c r="DX77" s="326"/>
      <c r="DY77" s="326"/>
      <c r="DZ77" s="326"/>
      <c r="EA77" s="326"/>
      <c r="EB77" s="326"/>
      <c r="EC77" s="326"/>
      <c r="ED77" s="326"/>
      <c r="EE77" s="326"/>
      <c r="EF77" s="326"/>
      <c r="EG77" s="326"/>
      <c r="EH77" s="326"/>
      <c r="EI77" s="326"/>
      <c r="EJ77" s="326"/>
      <c r="EK77" s="326"/>
      <c r="EL77" s="326"/>
      <c r="EM77" s="326"/>
      <c r="EN77" s="326"/>
      <c r="EO77" s="326"/>
      <c r="EP77" s="326"/>
      <c r="EQ77" s="326"/>
      <c r="ER77" s="326"/>
      <c r="ES77" s="326"/>
      <c r="ET77" s="326"/>
      <c r="EU77" s="326"/>
      <c r="EV77" s="326"/>
      <c r="EW77" s="326"/>
      <c r="EX77" s="326"/>
      <c r="EY77" s="326"/>
      <c r="EZ77" s="326"/>
      <c r="FA77" s="326"/>
      <c r="FB77" s="326"/>
      <c r="FC77" s="326"/>
      <c r="FD77" s="326"/>
      <c r="FE77" s="326"/>
      <c r="FF77" s="326"/>
      <c r="FG77" s="326"/>
      <c r="FH77" s="326"/>
      <c r="FI77" s="326"/>
      <c r="FJ77" s="326"/>
      <c r="FK77" s="326"/>
      <c r="FL77" s="326"/>
      <c r="FM77" s="326"/>
      <c r="FN77" s="326"/>
      <c r="FO77" s="326"/>
      <c r="FP77" s="326"/>
      <c r="FQ77" s="326"/>
      <c r="FR77" s="326"/>
      <c r="FS77" s="326"/>
      <c r="FT77" s="326"/>
      <c r="FU77" s="326"/>
      <c r="FV77" s="326"/>
      <c r="FW77" s="326"/>
      <c r="FX77" s="326"/>
      <c r="FY77" s="326"/>
      <c r="FZ77" s="326"/>
      <c r="GA77" s="326"/>
      <c r="GB77" s="326"/>
      <c r="GC77" s="326"/>
      <c r="GD77" s="326"/>
      <c r="GE77" s="326"/>
      <c r="GF77" s="326"/>
      <c r="GG77" s="326"/>
      <c r="GH77" s="326"/>
      <c r="GI77" s="326"/>
      <c r="GJ77" s="326"/>
      <c r="GK77" s="326"/>
      <c r="GL77" s="326"/>
      <c r="GM77" s="326"/>
      <c r="GN77" s="326"/>
      <c r="GO77" s="326"/>
      <c r="GP77" s="326"/>
      <c r="GQ77" s="326"/>
      <c r="GR77" s="326"/>
      <c r="GS77" s="326"/>
      <c r="GT77" s="326"/>
      <c r="GU77" s="326"/>
      <c r="GV77" s="326"/>
      <c r="GW77" s="326"/>
      <c r="GX77" s="326"/>
      <c r="GY77" s="326"/>
      <c r="GZ77" s="326"/>
      <c r="HA77" s="326"/>
      <c r="HB77" s="326"/>
      <c r="HC77" s="326"/>
      <c r="HD77" s="326"/>
      <c r="HE77" s="326"/>
      <c r="HF77" s="326"/>
      <c r="HG77" s="326"/>
      <c r="HH77" s="326"/>
      <c r="HI77" s="326"/>
      <c r="HJ77" s="326"/>
      <c r="HK77" s="326"/>
      <c r="HL77" s="326"/>
      <c r="HM77" s="326"/>
      <c r="HN77" s="326"/>
      <c r="HO77" s="326"/>
      <c r="HP77" s="326"/>
      <c r="HQ77" s="326"/>
      <c r="HR77" s="326"/>
      <c r="HS77" s="326"/>
      <c r="HT77" s="326"/>
      <c r="HU77" s="326"/>
      <c r="HV77" s="326"/>
      <c r="HW77" s="326"/>
      <c r="HX77" s="326"/>
      <c r="HY77" s="326"/>
      <c r="HZ77" s="326"/>
      <c r="IA77" s="326"/>
      <c r="IB77" s="326"/>
      <c r="IC77" s="326"/>
      <c r="ID77" s="326"/>
      <c r="IE77" s="326"/>
      <c r="IF77" s="326"/>
      <c r="IG77" s="326"/>
      <c r="IH77" s="326"/>
      <c r="II77" s="326"/>
      <c r="IJ77" s="326"/>
      <c r="IK77" s="326"/>
      <c r="IL77" s="326"/>
      <c r="IM77" s="326"/>
      <c r="IN77" s="326"/>
      <c r="IO77" s="326"/>
      <c r="IP77" s="326"/>
      <c r="IQ77" s="326"/>
      <c r="IR77" s="326"/>
      <c r="IS77" s="326"/>
      <c r="IT77" s="326"/>
      <c r="IU77" s="326"/>
      <c r="IV77" s="326"/>
    </row>
    <row r="78" spans="1:256" s="555" customFormat="1" ht="19.5" customHeight="1">
      <c r="A78" s="569">
        <v>69</v>
      </c>
      <c r="B78" s="563"/>
      <c r="C78" s="813"/>
      <c r="D78" s="754" t="s">
        <v>283</v>
      </c>
      <c r="E78" s="822">
        <f>F78+G78+P79</f>
        <v>458855</v>
      </c>
      <c r="F78" s="1005"/>
      <c r="G78" s="1324"/>
      <c r="H78" s="1006"/>
      <c r="I78" s="1005"/>
      <c r="J78" s="1005"/>
      <c r="K78" s="1005"/>
      <c r="L78" s="1005"/>
      <c r="M78" s="757">
        <v>363855</v>
      </c>
      <c r="N78" s="1005"/>
      <c r="O78" s="1005"/>
      <c r="P78" s="751">
        <f>SUM(I78:O78)</f>
        <v>363855</v>
      </c>
      <c r="Q78" s="1007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  <c r="BC78" s="326"/>
      <c r="BD78" s="326"/>
      <c r="BE78" s="326"/>
      <c r="BF78" s="326"/>
      <c r="BG78" s="326"/>
      <c r="BH78" s="326"/>
      <c r="BI78" s="326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6"/>
      <c r="BW78" s="326"/>
      <c r="BX78" s="326"/>
      <c r="BY78" s="326"/>
      <c r="BZ78" s="326"/>
      <c r="CA78" s="326"/>
      <c r="CB78" s="326"/>
      <c r="CC78" s="326"/>
      <c r="CD78" s="326"/>
      <c r="CE78" s="326"/>
      <c r="CF78" s="326"/>
      <c r="CG78" s="326"/>
      <c r="CH78" s="326"/>
      <c r="CI78" s="326"/>
      <c r="CJ78" s="326"/>
      <c r="CK78" s="326"/>
      <c r="CL78" s="326"/>
      <c r="CM78" s="326"/>
      <c r="CN78" s="326"/>
      <c r="CO78" s="326"/>
      <c r="CP78" s="326"/>
      <c r="CQ78" s="326"/>
      <c r="CR78" s="326"/>
      <c r="CS78" s="326"/>
      <c r="CT78" s="326"/>
      <c r="CU78" s="326"/>
      <c r="CV78" s="326"/>
      <c r="CW78" s="326"/>
      <c r="CX78" s="326"/>
      <c r="CY78" s="326"/>
      <c r="CZ78" s="326"/>
      <c r="DA78" s="326"/>
      <c r="DB78" s="326"/>
      <c r="DC78" s="326"/>
      <c r="DD78" s="326"/>
      <c r="DE78" s="326"/>
      <c r="DF78" s="326"/>
      <c r="DG78" s="326"/>
      <c r="DH78" s="326"/>
      <c r="DI78" s="326"/>
      <c r="DJ78" s="326"/>
      <c r="DK78" s="326"/>
      <c r="DL78" s="326"/>
      <c r="DM78" s="326"/>
      <c r="DN78" s="326"/>
      <c r="DO78" s="326"/>
      <c r="DP78" s="326"/>
      <c r="DQ78" s="326"/>
      <c r="DR78" s="326"/>
      <c r="DS78" s="326"/>
      <c r="DT78" s="326"/>
      <c r="DU78" s="326"/>
      <c r="DV78" s="326"/>
      <c r="DW78" s="326"/>
      <c r="DX78" s="326"/>
      <c r="DY78" s="326"/>
      <c r="DZ78" s="326"/>
      <c r="EA78" s="326"/>
      <c r="EB78" s="326"/>
      <c r="EC78" s="326"/>
      <c r="ED78" s="326"/>
      <c r="EE78" s="326"/>
      <c r="EF78" s="326"/>
      <c r="EG78" s="326"/>
      <c r="EH78" s="326"/>
      <c r="EI78" s="326"/>
      <c r="EJ78" s="326"/>
      <c r="EK78" s="326"/>
      <c r="EL78" s="326"/>
      <c r="EM78" s="326"/>
      <c r="EN78" s="326"/>
      <c r="EO78" s="326"/>
      <c r="EP78" s="326"/>
      <c r="EQ78" s="326"/>
      <c r="ER78" s="326"/>
      <c r="ES78" s="326"/>
      <c r="ET78" s="326"/>
      <c r="EU78" s="326"/>
      <c r="EV78" s="326"/>
      <c r="EW78" s="326"/>
      <c r="EX78" s="326"/>
      <c r="EY78" s="326"/>
      <c r="EZ78" s="326"/>
      <c r="FA78" s="326"/>
      <c r="FB78" s="326"/>
      <c r="FC78" s="326"/>
      <c r="FD78" s="326"/>
      <c r="FE78" s="326"/>
      <c r="FF78" s="326"/>
      <c r="FG78" s="326"/>
      <c r="FH78" s="326"/>
      <c r="FI78" s="326"/>
      <c r="FJ78" s="326"/>
      <c r="FK78" s="326"/>
      <c r="FL78" s="326"/>
      <c r="FM78" s="326"/>
      <c r="FN78" s="326"/>
      <c r="FO78" s="326"/>
      <c r="FP78" s="326"/>
      <c r="FQ78" s="326"/>
      <c r="FR78" s="326"/>
      <c r="FS78" s="326"/>
      <c r="FT78" s="326"/>
      <c r="FU78" s="326"/>
      <c r="FV78" s="326"/>
      <c r="FW78" s="326"/>
      <c r="FX78" s="326"/>
      <c r="FY78" s="326"/>
      <c r="FZ78" s="326"/>
      <c r="GA78" s="326"/>
      <c r="GB78" s="326"/>
      <c r="GC78" s="326"/>
      <c r="GD78" s="326"/>
      <c r="GE78" s="326"/>
      <c r="GF78" s="326"/>
      <c r="GG78" s="326"/>
      <c r="GH78" s="326"/>
      <c r="GI78" s="326"/>
      <c r="GJ78" s="326"/>
      <c r="GK78" s="326"/>
      <c r="GL78" s="326"/>
      <c r="GM78" s="326"/>
      <c r="GN78" s="326"/>
      <c r="GO78" s="326"/>
      <c r="GP78" s="326"/>
      <c r="GQ78" s="326"/>
      <c r="GR78" s="326"/>
      <c r="GS78" s="326"/>
      <c r="GT78" s="326"/>
      <c r="GU78" s="326"/>
      <c r="GV78" s="326"/>
      <c r="GW78" s="326"/>
      <c r="GX78" s="326"/>
      <c r="GY78" s="326"/>
      <c r="GZ78" s="326"/>
      <c r="HA78" s="326"/>
      <c r="HB78" s="326"/>
      <c r="HC78" s="326"/>
      <c r="HD78" s="326"/>
      <c r="HE78" s="326"/>
      <c r="HF78" s="326"/>
      <c r="HG78" s="326"/>
      <c r="HH78" s="326"/>
      <c r="HI78" s="326"/>
      <c r="HJ78" s="326"/>
      <c r="HK78" s="326"/>
      <c r="HL78" s="326"/>
      <c r="HM78" s="326"/>
      <c r="HN78" s="326"/>
      <c r="HO78" s="326"/>
      <c r="HP78" s="326"/>
      <c r="HQ78" s="326"/>
      <c r="HR78" s="326"/>
      <c r="HS78" s="326"/>
      <c r="HT78" s="326"/>
      <c r="HU78" s="326"/>
      <c r="HV78" s="326"/>
      <c r="HW78" s="326"/>
      <c r="HX78" s="326"/>
      <c r="HY78" s="326"/>
      <c r="HZ78" s="326"/>
      <c r="IA78" s="326"/>
      <c r="IB78" s="326"/>
      <c r="IC78" s="326"/>
      <c r="ID78" s="326"/>
      <c r="IE78" s="326"/>
      <c r="IF78" s="326"/>
      <c r="IG78" s="326"/>
      <c r="IH78" s="326"/>
      <c r="II78" s="326"/>
      <c r="IJ78" s="326"/>
      <c r="IK78" s="326"/>
      <c r="IL78" s="326"/>
      <c r="IM78" s="326"/>
      <c r="IN78" s="326"/>
      <c r="IO78" s="326"/>
      <c r="IP78" s="326"/>
      <c r="IQ78" s="326"/>
      <c r="IR78" s="326"/>
      <c r="IS78" s="326"/>
      <c r="IT78" s="326"/>
      <c r="IU78" s="326"/>
      <c r="IV78" s="326"/>
    </row>
    <row r="79" spans="1:256" s="555" customFormat="1" ht="19.5" customHeight="1">
      <c r="A79" s="569">
        <v>70</v>
      </c>
      <c r="B79" s="563"/>
      <c r="C79" s="813"/>
      <c r="D79" s="478" t="s">
        <v>757</v>
      </c>
      <c r="E79" s="822"/>
      <c r="F79" s="1005"/>
      <c r="G79" s="1324"/>
      <c r="H79" s="1006"/>
      <c r="I79" s="1005"/>
      <c r="J79" s="1005"/>
      <c r="K79" s="1005">
        <v>12573</v>
      </c>
      <c r="L79" s="1005"/>
      <c r="M79" s="1188">
        <v>446282</v>
      </c>
      <c r="N79" s="1005"/>
      <c r="O79" s="1005"/>
      <c r="P79" s="564">
        <f>SUM(I79:O79)</f>
        <v>458855</v>
      </c>
      <c r="Q79" s="1007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  <c r="BC79" s="326"/>
      <c r="BD79" s="326"/>
      <c r="BE79" s="326"/>
      <c r="BF79" s="326"/>
      <c r="BG79" s="326"/>
      <c r="BH79" s="326"/>
      <c r="BI79" s="326"/>
      <c r="BJ79" s="326"/>
      <c r="BK79" s="326"/>
      <c r="BL79" s="326"/>
      <c r="BM79" s="326"/>
      <c r="BN79" s="326"/>
      <c r="BO79" s="326"/>
      <c r="BP79" s="326"/>
      <c r="BQ79" s="326"/>
      <c r="BR79" s="326"/>
      <c r="BS79" s="326"/>
      <c r="BT79" s="326"/>
      <c r="BU79" s="326"/>
      <c r="BV79" s="326"/>
      <c r="BW79" s="326"/>
      <c r="BX79" s="326"/>
      <c r="BY79" s="326"/>
      <c r="BZ79" s="326"/>
      <c r="CA79" s="326"/>
      <c r="CB79" s="326"/>
      <c r="CC79" s="326"/>
      <c r="CD79" s="326"/>
      <c r="CE79" s="326"/>
      <c r="CF79" s="326"/>
      <c r="CG79" s="326"/>
      <c r="CH79" s="326"/>
      <c r="CI79" s="326"/>
      <c r="CJ79" s="326"/>
      <c r="CK79" s="326"/>
      <c r="CL79" s="326"/>
      <c r="CM79" s="326"/>
      <c r="CN79" s="326"/>
      <c r="CO79" s="326"/>
      <c r="CP79" s="326"/>
      <c r="CQ79" s="326"/>
      <c r="CR79" s="326"/>
      <c r="CS79" s="326"/>
      <c r="CT79" s="326"/>
      <c r="CU79" s="326"/>
      <c r="CV79" s="326"/>
      <c r="CW79" s="326"/>
      <c r="CX79" s="326"/>
      <c r="CY79" s="326"/>
      <c r="CZ79" s="326"/>
      <c r="DA79" s="326"/>
      <c r="DB79" s="326"/>
      <c r="DC79" s="326"/>
      <c r="DD79" s="326"/>
      <c r="DE79" s="326"/>
      <c r="DF79" s="326"/>
      <c r="DG79" s="326"/>
      <c r="DH79" s="326"/>
      <c r="DI79" s="326"/>
      <c r="DJ79" s="326"/>
      <c r="DK79" s="326"/>
      <c r="DL79" s="326"/>
      <c r="DM79" s="326"/>
      <c r="DN79" s="326"/>
      <c r="DO79" s="326"/>
      <c r="DP79" s="326"/>
      <c r="DQ79" s="326"/>
      <c r="DR79" s="326"/>
      <c r="DS79" s="326"/>
      <c r="DT79" s="326"/>
      <c r="DU79" s="326"/>
      <c r="DV79" s="326"/>
      <c r="DW79" s="326"/>
      <c r="DX79" s="326"/>
      <c r="DY79" s="326"/>
      <c r="DZ79" s="326"/>
      <c r="EA79" s="326"/>
      <c r="EB79" s="326"/>
      <c r="EC79" s="326"/>
      <c r="ED79" s="326"/>
      <c r="EE79" s="326"/>
      <c r="EF79" s="326"/>
      <c r="EG79" s="326"/>
      <c r="EH79" s="326"/>
      <c r="EI79" s="326"/>
      <c r="EJ79" s="326"/>
      <c r="EK79" s="326"/>
      <c r="EL79" s="326"/>
      <c r="EM79" s="326"/>
      <c r="EN79" s="326"/>
      <c r="EO79" s="326"/>
      <c r="EP79" s="326"/>
      <c r="EQ79" s="326"/>
      <c r="ER79" s="326"/>
      <c r="ES79" s="326"/>
      <c r="ET79" s="326"/>
      <c r="EU79" s="326"/>
      <c r="EV79" s="326"/>
      <c r="EW79" s="326"/>
      <c r="EX79" s="326"/>
      <c r="EY79" s="326"/>
      <c r="EZ79" s="326"/>
      <c r="FA79" s="326"/>
      <c r="FB79" s="326"/>
      <c r="FC79" s="326"/>
      <c r="FD79" s="326"/>
      <c r="FE79" s="326"/>
      <c r="FF79" s="326"/>
      <c r="FG79" s="326"/>
      <c r="FH79" s="326"/>
      <c r="FI79" s="326"/>
      <c r="FJ79" s="326"/>
      <c r="FK79" s="326"/>
      <c r="FL79" s="326"/>
      <c r="FM79" s="326"/>
      <c r="FN79" s="326"/>
      <c r="FO79" s="326"/>
      <c r="FP79" s="326"/>
      <c r="FQ79" s="326"/>
      <c r="FR79" s="326"/>
      <c r="FS79" s="326"/>
      <c r="FT79" s="326"/>
      <c r="FU79" s="326"/>
      <c r="FV79" s="326"/>
      <c r="FW79" s="326"/>
      <c r="FX79" s="326"/>
      <c r="FY79" s="326"/>
      <c r="FZ79" s="326"/>
      <c r="GA79" s="326"/>
      <c r="GB79" s="326"/>
      <c r="GC79" s="326"/>
      <c r="GD79" s="326"/>
      <c r="GE79" s="326"/>
      <c r="GF79" s="326"/>
      <c r="GG79" s="326"/>
      <c r="GH79" s="326"/>
      <c r="GI79" s="326"/>
      <c r="GJ79" s="326"/>
      <c r="GK79" s="326"/>
      <c r="GL79" s="326"/>
      <c r="GM79" s="326"/>
      <c r="GN79" s="326"/>
      <c r="GO79" s="326"/>
      <c r="GP79" s="326"/>
      <c r="GQ79" s="326"/>
      <c r="GR79" s="326"/>
      <c r="GS79" s="326"/>
      <c r="GT79" s="326"/>
      <c r="GU79" s="326"/>
      <c r="GV79" s="326"/>
      <c r="GW79" s="326"/>
      <c r="GX79" s="326"/>
      <c r="GY79" s="326"/>
      <c r="GZ79" s="326"/>
      <c r="HA79" s="326"/>
      <c r="HB79" s="326"/>
      <c r="HC79" s="326"/>
      <c r="HD79" s="326"/>
      <c r="HE79" s="326"/>
      <c r="HF79" s="326"/>
      <c r="HG79" s="326"/>
      <c r="HH79" s="326"/>
      <c r="HI79" s="326"/>
      <c r="HJ79" s="326"/>
      <c r="HK79" s="326"/>
      <c r="HL79" s="326"/>
      <c r="HM79" s="326"/>
      <c r="HN79" s="326"/>
      <c r="HO79" s="326"/>
      <c r="HP79" s="326"/>
      <c r="HQ79" s="326"/>
      <c r="HR79" s="326"/>
      <c r="HS79" s="326"/>
      <c r="HT79" s="326"/>
      <c r="HU79" s="326"/>
      <c r="HV79" s="326"/>
      <c r="HW79" s="326"/>
      <c r="HX79" s="326"/>
      <c r="HY79" s="326"/>
      <c r="HZ79" s="326"/>
      <c r="IA79" s="326"/>
      <c r="IB79" s="326"/>
      <c r="IC79" s="326"/>
      <c r="ID79" s="326"/>
      <c r="IE79" s="326"/>
      <c r="IF79" s="326"/>
      <c r="IG79" s="326"/>
      <c r="IH79" s="326"/>
      <c r="II79" s="326"/>
      <c r="IJ79" s="326"/>
      <c r="IK79" s="326"/>
      <c r="IL79" s="326"/>
      <c r="IM79" s="326"/>
      <c r="IN79" s="326"/>
      <c r="IO79" s="326"/>
      <c r="IP79" s="326"/>
      <c r="IQ79" s="326"/>
      <c r="IR79" s="326"/>
      <c r="IS79" s="326"/>
      <c r="IT79" s="326"/>
      <c r="IU79" s="326"/>
      <c r="IV79" s="326"/>
    </row>
    <row r="80" spans="1:256" s="555" customFormat="1" ht="19.5" customHeight="1">
      <c r="A80" s="569">
        <v>71</v>
      </c>
      <c r="B80" s="563"/>
      <c r="C80" s="813"/>
      <c r="D80" s="1090" t="s">
        <v>892</v>
      </c>
      <c r="E80" s="822"/>
      <c r="F80" s="1005"/>
      <c r="G80" s="1324"/>
      <c r="H80" s="1006"/>
      <c r="I80" s="1005"/>
      <c r="J80" s="1005"/>
      <c r="K80" s="1735">
        <v>0</v>
      </c>
      <c r="L80" s="1005"/>
      <c r="M80" s="1186">
        <v>363855</v>
      </c>
      <c r="N80" s="1005"/>
      <c r="O80" s="1005"/>
      <c r="P80" s="1723">
        <f>SUM(I80:O80)</f>
        <v>363855</v>
      </c>
      <c r="Q80" s="1007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  <c r="BC80" s="326"/>
      <c r="BD80" s="326"/>
      <c r="BE80" s="326"/>
      <c r="BF80" s="326"/>
      <c r="BG80" s="326"/>
      <c r="BH80" s="326"/>
      <c r="BI80" s="326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6"/>
      <c r="BW80" s="326"/>
      <c r="BX80" s="326"/>
      <c r="BY80" s="326"/>
      <c r="BZ80" s="326"/>
      <c r="CA80" s="326"/>
      <c r="CB80" s="326"/>
      <c r="CC80" s="326"/>
      <c r="CD80" s="326"/>
      <c r="CE80" s="326"/>
      <c r="CF80" s="326"/>
      <c r="CG80" s="326"/>
      <c r="CH80" s="326"/>
      <c r="CI80" s="326"/>
      <c r="CJ80" s="326"/>
      <c r="CK80" s="326"/>
      <c r="CL80" s="326"/>
      <c r="CM80" s="326"/>
      <c r="CN80" s="326"/>
      <c r="CO80" s="326"/>
      <c r="CP80" s="326"/>
      <c r="CQ80" s="326"/>
      <c r="CR80" s="326"/>
      <c r="CS80" s="326"/>
      <c r="CT80" s="326"/>
      <c r="CU80" s="326"/>
      <c r="CV80" s="326"/>
      <c r="CW80" s="326"/>
      <c r="CX80" s="326"/>
      <c r="CY80" s="326"/>
      <c r="CZ80" s="326"/>
      <c r="DA80" s="326"/>
      <c r="DB80" s="326"/>
      <c r="DC80" s="326"/>
      <c r="DD80" s="326"/>
      <c r="DE80" s="326"/>
      <c r="DF80" s="326"/>
      <c r="DG80" s="326"/>
      <c r="DH80" s="326"/>
      <c r="DI80" s="326"/>
      <c r="DJ80" s="326"/>
      <c r="DK80" s="326"/>
      <c r="DL80" s="326"/>
      <c r="DM80" s="326"/>
      <c r="DN80" s="326"/>
      <c r="DO80" s="326"/>
      <c r="DP80" s="326"/>
      <c r="DQ80" s="326"/>
      <c r="DR80" s="326"/>
      <c r="DS80" s="326"/>
      <c r="DT80" s="326"/>
      <c r="DU80" s="326"/>
      <c r="DV80" s="326"/>
      <c r="DW80" s="326"/>
      <c r="DX80" s="326"/>
      <c r="DY80" s="326"/>
      <c r="DZ80" s="326"/>
      <c r="EA80" s="326"/>
      <c r="EB80" s="326"/>
      <c r="EC80" s="326"/>
      <c r="ED80" s="326"/>
      <c r="EE80" s="326"/>
      <c r="EF80" s="326"/>
      <c r="EG80" s="326"/>
      <c r="EH80" s="326"/>
      <c r="EI80" s="326"/>
      <c r="EJ80" s="326"/>
      <c r="EK80" s="326"/>
      <c r="EL80" s="326"/>
      <c r="EM80" s="326"/>
      <c r="EN80" s="326"/>
      <c r="EO80" s="326"/>
      <c r="EP80" s="326"/>
      <c r="EQ80" s="326"/>
      <c r="ER80" s="326"/>
      <c r="ES80" s="326"/>
      <c r="ET80" s="326"/>
      <c r="EU80" s="326"/>
      <c r="EV80" s="326"/>
      <c r="EW80" s="326"/>
      <c r="EX80" s="326"/>
      <c r="EY80" s="326"/>
      <c r="EZ80" s="326"/>
      <c r="FA80" s="326"/>
      <c r="FB80" s="326"/>
      <c r="FC80" s="326"/>
      <c r="FD80" s="326"/>
      <c r="FE80" s="326"/>
      <c r="FF80" s="326"/>
      <c r="FG80" s="326"/>
      <c r="FH80" s="326"/>
      <c r="FI80" s="326"/>
      <c r="FJ80" s="326"/>
      <c r="FK80" s="326"/>
      <c r="FL80" s="326"/>
      <c r="FM80" s="326"/>
      <c r="FN80" s="326"/>
      <c r="FO80" s="326"/>
      <c r="FP80" s="326"/>
      <c r="FQ80" s="326"/>
      <c r="FR80" s="326"/>
      <c r="FS80" s="326"/>
      <c r="FT80" s="326"/>
      <c r="FU80" s="326"/>
      <c r="FV80" s="326"/>
      <c r="FW80" s="326"/>
      <c r="FX80" s="326"/>
      <c r="FY80" s="326"/>
      <c r="FZ80" s="326"/>
      <c r="GA80" s="326"/>
      <c r="GB80" s="326"/>
      <c r="GC80" s="326"/>
      <c r="GD80" s="326"/>
      <c r="GE80" s="326"/>
      <c r="GF80" s="326"/>
      <c r="GG80" s="326"/>
      <c r="GH80" s="326"/>
      <c r="GI80" s="326"/>
      <c r="GJ80" s="326"/>
      <c r="GK80" s="326"/>
      <c r="GL80" s="326"/>
      <c r="GM80" s="326"/>
      <c r="GN80" s="326"/>
      <c r="GO80" s="326"/>
      <c r="GP80" s="326"/>
      <c r="GQ80" s="326"/>
      <c r="GR80" s="326"/>
      <c r="GS80" s="326"/>
      <c r="GT80" s="326"/>
      <c r="GU80" s="326"/>
      <c r="GV80" s="326"/>
      <c r="GW80" s="326"/>
      <c r="GX80" s="326"/>
      <c r="GY80" s="326"/>
      <c r="GZ80" s="326"/>
      <c r="HA80" s="326"/>
      <c r="HB80" s="326"/>
      <c r="HC80" s="326"/>
      <c r="HD80" s="326"/>
      <c r="HE80" s="326"/>
      <c r="HF80" s="326"/>
      <c r="HG80" s="326"/>
      <c r="HH80" s="326"/>
      <c r="HI80" s="326"/>
      <c r="HJ80" s="326"/>
      <c r="HK80" s="326"/>
      <c r="HL80" s="326"/>
      <c r="HM80" s="326"/>
      <c r="HN80" s="326"/>
      <c r="HO80" s="326"/>
      <c r="HP80" s="326"/>
      <c r="HQ80" s="326"/>
      <c r="HR80" s="326"/>
      <c r="HS80" s="326"/>
      <c r="HT80" s="326"/>
      <c r="HU80" s="326"/>
      <c r="HV80" s="326"/>
      <c r="HW80" s="326"/>
      <c r="HX80" s="326"/>
      <c r="HY80" s="326"/>
      <c r="HZ80" s="326"/>
      <c r="IA80" s="326"/>
      <c r="IB80" s="326"/>
      <c r="IC80" s="326"/>
      <c r="ID80" s="326"/>
      <c r="IE80" s="326"/>
      <c r="IF80" s="326"/>
      <c r="IG80" s="326"/>
      <c r="IH80" s="326"/>
      <c r="II80" s="326"/>
      <c r="IJ80" s="326"/>
      <c r="IK80" s="326"/>
      <c r="IL80" s="326"/>
      <c r="IM80" s="326"/>
      <c r="IN80" s="326"/>
      <c r="IO80" s="326"/>
      <c r="IP80" s="326"/>
      <c r="IQ80" s="326"/>
      <c r="IR80" s="326"/>
      <c r="IS80" s="326"/>
      <c r="IT80" s="326"/>
      <c r="IU80" s="326"/>
      <c r="IV80" s="326"/>
    </row>
    <row r="81" spans="1:256" s="555" customFormat="1" ht="33.75" customHeight="1">
      <c r="A81" s="569">
        <v>72</v>
      </c>
      <c r="B81" s="563"/>
      <c r="C81" s="366"/>
      <c r="D81" s="328" t="s">
        <v>650</v>
      </c>
      <c r="E81" s="335"/>
      <c r="F81" s="1002"/>
      <c r="G81" s="568"/>
      <c r="H81" s="1004"/>
      <c r="I81" s="1002"/>
      <c r="J81" s="1002"/>
      <c r="K81" s="1002"/>
      <c r="L81" s="1002"/>
      <c r="M81" s="1002"/>
      <c r="N81" s="1002"/>
      <c r="O81" s="1002"/>
      <c r="P81" s="568"/>
      <c r="Q81" s="1003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G81" s="326"/>
      <c r="AH81" s="326"/>
      <c r="AI81" s="326"/>
      <c r="AJ81" s="326"/>
      <c r="AK81" s="326"/>
      <c r="AL81" s="326"/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  <c r="AZ81" s="326"/>
      <c r="BA81" s="326"/>
      <c r="BB81" s="326"/>
      <c r="BC81" s="326"/>
      <c r="BD81" s="326"/>
      <c r="BE81" s="326"/>
      <c r="BF81" s="326"/>
      <c r="BG81" s="326"/>
      <c r="BH81" s="326"/>
      <c r="BI81" s="326"/>
      <c r="BJ81" s="326"/>
      <c r="BK81" s="326"/>
      <c r="BL81" s="326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  <c r="BW81" s="326"/>
      <c r="BX81" s="326"/>
      <c r="BY81" s="326"/>
      <c r="BZ81" s="326"/>
      <c r="CA81" s="326"/>
      <c r="CB81" s="326"/>
      <c r="CC81" s="326"/>
      <c r="CD81" s="326"/>
      <c r="CE81" s="326"/>
      <c r="CF81" s="326"/>
      <c r="CG81" s="326"/>
      <c r="CH81" s="326"/>
      <c r="CI81" s="326"/>
      <c r="CJ81" s="326"/>
      <c r="CK81" s="326"/>
      <c r="CL81" s="326"/>
      <c r="CM81" s="326"/>
      <c r="CN81" s="326"/>
      <c r="CO81" s="326"/>
      <c r="CP81" s="326"/>
      <c r="CQ81" s="326"/>
      <c r="CR81" s="326"/>
      <c r="CS81" s="326"/>
      <c r="CT81" s="326"/>
      <c r="CU81" s="326"/>
      <c r="CV81" s="326"/>
      <c r="CW81" s="326"/>
      <c r="CX81" s="326"/>
      <c r="CY81" s="326"/>
      <c r="CZ81" s="326"/>
      <c r="DA81" s="326"/>
      <c r="DB81" s="326"/>
      <c r="DC81" s="326"/>
      <c r="DD81" s="326"/>
      <c r="DE81" s="326"/>
      <c r="DF81" s="326"/>
      <c r="DG81" s="326"/>
      <c r="DH81" s="326"/>
      <c r="DI81" s="326"/>
      <c r="DJ81" s="326"/>
      <c r="DK81" s="326"/>
      <c r="DL81" s="326"/>
      <c r="DM81" s="326"/>
      <c r="DN81" s="326"/>
      <c r="DO81" s="326"/>
      <c r="DP81" s="326"/>
      <c r="DQ81" s="326"/>
      <c r="DR81" s="326"/>
      <c r="DS81" s="326"/>
      <c r="DT81" s="326"/>
      <c r="DU81" s="326"/>
      <c r="DV81" s="326"/>
      <c r="DW81" s="326"/>
      <c r="DX81" s="326"/>
      <c r="DY81" s="326"/>
      <c r="DZ81" s="326"/>
      <c r="EA81" s="326"/>
      <c r="EB81" s="326"/>
      <c r="EC81" s="326"/>
      <c r="ED81" s="326"/>
      <c r="EE81" s="326"/>
      <c r="EF81" s="326"/>
      <c r="EG81" s="326"/>
      <c r="EH81" s="326"/>
      <c r="EI81" s="326"/>
      <c r="EJ81" s="326"/>
      <c r="EK81" s="326"/>
      <c r="EL81" s="326"/>
      <c r="EM81" s="326"/>
      <c r="EN81" s="326"/>
      <c r="EO81" s="326"/>
      <c r="EP81" s="326"/>
      <c r="EQ81" s="326"/>
      <c r="ER81" s="326"/>
      <c r="ES81" s="326"/>
      <c r="ET81" s="326"/>
      <c r="EU81" s="326"/>
      <c r="EV81" s="326"/>
      <c r="EW81" s="326"/>
      <c r="EX81" s="326"/>
      <c r="EY81" s="326"/>
      <c r="EZ81" s="326"/>
      <c r="FA81" s="326"/>
      <c r="FB81" s="326"/>
      <c r="FC81" s="326"/>
      <c r="FD81" s="326"/>
      <c r="FE81" s="326"/>
      <c r="FF81" s="326"/>
      <c r="FG81" s="326"/>
      <c r="FH81" s="326"/>
      <c r="FI81" s="326"/>
      <c r="FJ81" s="326"/>
      <c r="FK81" s="326"/>
      <c r="FL81" s="326"/>
      <c r="FM81" s="326"/>
      <c r="FN81" s="326"/>
      <c r="FO81" s="326"/>
      <c r="FP81" s="326"/>
      <c r="FQ81" s="326"/>
      <c r="FR81" s="326"/>
      <c r="FS81" s="326"/>
      <c r="FT81" s="326"/>
      <c r="FU81" s="326"/>
      <c r="FV81" s="326"/>
      <c r="FW81" s="326"/>
      <c r="FX81" s="326"/>
      <c r="FY81" s="326"/>
      <c r="FZ81" s="326"/>
      <c r="GA81" s="326"/>
      <c r="GB81" s="326"/>
      <c r="GC81" s="326"/>
      <c r="GD81" s="326"/>
      <c r="GE81" s="326"/>
      <c r="GF81" s="326"/>
      <c r="GG81" s="326"/>
      <c r="GH81" s="326"/>
      <c r="GI81" s="326"/>
      <c r="GJ81" s="326"/>
      <c r="GK81" s="326"/>
      <c r="GL81" s="326"/>
      <c r="GM81" s="326"/>
      <c r="GN81" s="326"/>
      <c r="GO81" s="326"/>
      <c r="GP81" s="326"/>
      <c r="GQ81" s="326"/>
      <c r="GR81" s="326"/>
      <c r="GS81" s="326"/>
      <c r="GT81" s="326"/>
      <c r="GU81" s="326"/>
      <c r="GV81" s="326"/>
      <c r="GW81" s="326"/>
      <c r="GX81" s="326"/>
      <c r="GY81" s="326"/>
      <c r="GZ81" s="326"/>
      <c r="HA81" s="326"/>
      <c r="HB81" s="326"/>
      <c r="HC81" s="326"/>
      <c r="HD81" s="326"/>
      <c r="HE81" s="326"/>
      <c r="HF81" s="326"/>
      <c r="HG81" s="326"/>
      <c r="HH81" s="326"/>
      <c r="HI81" s="326"/>
      <c r="HJ81" s="326"/>
      <c r="HK81" s="326"/>
      <c r="HL81" s="326"/>
      <c r="HM81" s="326"/>
      <c r="HN81" s="326"/>
      <c r="HO81" s="326"/>
      <c r="HP81" s="326"/>
      <c r="HQ81" s="326"/>
      <c r="HR81" s="326"/>
      <c r="HS81" s="326"/>
      <c r="HT81" s="326"/>
      <c r="HU81" s="326"/>
      <c r="HV81" s="326"/>
      <c r="HW81" s="326"/>
      <c r="HX81" s="326"/>
      <c r="HY81" s="326"/>
      <c r="HZ81" s="326"/>
      <c r="IA81" s="326"/>
      <c r="IB81" s="326"/>
      <c r="IC81" s="326"/>
      <c r="ID81" s="326"/>
      <c r="IE81" s="326"/>
      <c r="IF81" s="326"/>
      <c r="IG81" s="326"/>
      <c r="IH81" s="326"/>
      <c r="II81" s="326"/>
      <c r="IJ81" s="326"/>
      <c r="IK81" s="326"/>
      <c r="IL81" s="326"/>
      <c r="IM81" s="326"/>
      <c r="IN81" s="326"/>
      <c r="IO81" s="326"/>
      <c r="IP81" s="326"/>
      <c r="IQ81" s="326"/>
      <c r="IR81" s="326"/>
      <c r="IS81" s="326"/>
      <c r="IT81" s="326"/>
      <c r="IU81" s="326"/>
      <c r="IV81" s="326"/>
    </row>
    <row r="82" spans="1:256" s="555" customFormat="1" ht="19.5" customHeight="1">
      <c r="A82" s="569">
        <v>73</v>
      </c>
      <c r="B82" s="563"/>
      <c r="C82" s="998"/>
      <c r="D82" s="814" t="s">
        <v>283</v>
      </c>
      <c r="E82" s="822">
        <f>F82+G82+P83</f>
        <v>661170</v>
      </c>
      <c r="F82" s="999"/>
      <c r="G82" s="1325"/>
      <c r="H82" s="1000"/>
      <c r="I82" s="999"/>
      <c r="J82" s="999"/>
      <c r="K82" s="999"/>
      <c r="L82" s="999"/>
      <c r="M82" s="818">
        <v>661170</v>
      </c>
      <c r="N82" s="999"/>
      <c r="O82" s="999"/>
      <c r="P82" s="820">
        <f>SUM(I82:O82)</f>
        <v>661170</v>
      </c>
      <c r="Q82" s="1011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/>
      <c r="BU82" s="326"/>
      <c r="BV82" s="326"/>
      <c r="BW82" s="326"/>
      <c r="BX82" s="326"/>
      <c r="BY82" s="326"/>
      <c r="BZ82" s="326"/>
      <c r="CA82" s="326"/>
      <c r="CB82" s="326"/>
      <c r="CC82" s="326"/>
      <c r="CD82" s="326"/>
      <c r="CE82" s="326"/>
      <c r="CF82" s="326"/>
      <c r="CG82" s="326"/>
      <c r="CH82" s="326"/>
      <c r="CI82" s="326"/>
      <c r="CJ82" s="326"/>
      <c r="CK82" s="326"/>
      <c r="CL82" s="326"/>
      <c r="CM82" s="326"/>
      <c r="CN82" s="326"/>
      <c r="CO82" s="326"/>
      <c r="CP82" s="326"/>
      <c r="CQ82" s="326"/>
      <c r="CR82" s="326"/>
      <c r="CS82" s="326"/>
      <c r="CT82" s="326"/>
      <c r="CU82" s="326"/>
      <c r="CV82" s="326"/>
      <c r="CW82" s="326"/>
      <c r="CX82" s="326"/>
      <c r="CY82" s="326"/>
      <c r="CZ82" s="326"/>
      <c r="DA82" s="326"/>
      <c r="DB82" s="326"/>
      <c r="DC82" s="326"/>
      <c r="DD82" s="326"/>
      <c r="DE82" s="326"/>
      <c r="DF82" s="326"/>
      <c r="DG82" s="326"/>
      <c r="DH82" s="326"/>
      <c r="DI82" s="326"/>
      <c r="DJ82" s="326"/>
      <c r="DK82" s="326"/>
      <c r="DL82" s="326"/>
      <c r="DM82" s="326"/>
      <c r="DN82" s="326"/>
      <c r="DO82" s="326"/>
      <c r="DP82" s="326"/>
      <c r="DQ82" s="326"/>
      <c r="DR82" s="326"/>
      <c r="DS82" s="326"/>
      <c r="DT82" s="326"/>
      <c r="DU82" s="326"/>
      <c r="DV82" s="326"/>
      <c r="DW82" s="326"/>
      <c r="DX82" s="326"/>
      <c r="DY82" s="326"/>
      <c r="DZ82" s="326"/>
      <c r="EA82" s="326"/>
      <c r="EB82" s="326"/>
      <c r="EC82" s="326"/>
      <c r="ED82" s="326"/>
      <c r="EE82" s="326"/>
      <c r="EF82" s="326"/>
      <c r="EG82" s="326"/>
      <c r="EH82" s="326"/>
      <c r="EI82" s="326"/>
      <c r="EJ82" s="326"/>
      <c r="EK82" s="326"/>
      <c r="EL82" s="326"/>
      <c r="EM82" s="326"/>
      <c r="EN82" s="326"/>
      <c r="EO82" s="326"/>
      <c r="EP82" s="326"/>
      <c r="EQ82" s="326"/>
      <c r="ER82" s="326"/>
      <c r="ES82" s="326"/>
      <c r="ET82" s="326"/>
      <c r="EU82" s="326"/>
      <c r="EV82" s="326"/>
      <c r="EW82" s="326"/>
      <c r="EX82" s="326"/>
      <c r="EY82" s="326"/>
      <c r="EZ82" s="326"/>
      <c r="FA82" s="326"/>
      <c r="FB82" s="326"/>
      <c r="FC82" s="326"/>
      <c r="FD82" s="326"/>
      <c r="FE82" s="326"/>
      <c r="FF82" s="326"/>
      <c r="FG82" s="326"/>
      <c r="FH82" s="326"/>
      <c r="FI82" s="326"/>
      <c r="FJ82" s="326"/>
      <c r="FK82" s="326"/>
      <c r="FL82" s="326"/>
      <c r="FM82" s="326"/>
      <c r="FN82" s="326"/>
      <c r="FO82" s="326"/>
      <c r="FP82" s="326"/>
      <c r="FQ82" s="326"/>
      <c r="FR82" s="326"/>
      <c r="FS82" s="326"/>
      <c r="FT82" s="326"/>
      <c r="FU82" s="326"/>
      <c r="FV82" s="326"/>
      <c r="FW82" s="326"/>
      <c r="FX82" s="326"/>
      <c r="FY82" s="326"/>
      <c r="FZ82" s="326"/>
      <c r="GA82" s="326"/>
      <c r="GB82" s="326"/>
      <c r="GC82" s="326"/>
      <c r="GD82" s="326"/>
      <c r="GE82" s="326"/>
      <c r="GF82" s="326"/>
      <c r="GG82" s="326"/>
      <c r="GH82" s="326"/>
      <c r="GI82" s="326"/>
      <c r="GJ82" s="326"/>
      <c r="GK82" s="326"/>
      <c r="GL82" s="326"/>
      <c r="GM82" s="326"/>
      <c r="GN82" s="326"/>
      <c r="GO82" s="326"/>
      <c r="GP82" s="326"/>
      <c r="GQ82" s="326"/>
      <c r="GR82" s="326"/>
      <c r="GS82" s="326"/>
      <c r="GT82" s="326"/>
      <c r="GU82" s="326"/>
      <c r="GV82" s="326"/>
      <c r="GW82" s="326"/>
      <c r="GX82" s="326"/>
      <c r="GY82" s="326"/>
      <c r="GZ82" s="326"/>
      <c r="HA82" s="326"/>
      <c r="HB82" s="326"/>
      <c r="HC82" s="326"/>
      <c r="HD82" s="326"/>
      <c r="HE82" s="326"/>
      <c r="HF82" s="326"/>
      <c r="HG82" s="326"/>
      <c r="HH82" s="326"/>
      <c r="HI82" s="326"/>
      <c r="HJ82" s="326"/>
      <c r="HK82" s="326"/>
      <c r="HL82" s="326"/>
      <c r="HM82" s="326"/>
      <c r="HN82" s="326"/>
      <c r="HO82" s="326"/>
      <c r="HP82" s="326"/>
      <c r="HQ82" s="326"/>
      <c r="HR82" s="326"/>
      <c r="HS82" s="326"/>
      <c r="HT82" s="326"/>
      <c r="HU82" s="326"/>
      <c r="HV82" s="326"/>
      <c r="HW82" s="326"/>
      <c r="HX82" s="326"/>
      <c r="HY82" s="326"/>
      <c r="HZ82" s="326"/>
      <c r="IA82" s="326"/>
      <c r="IB82" s="326"/>
      <c r="IC82" s="326"/>
      <c r="ID82" s="326"/>
      <c r="IE82" s="326"/>
      <c r="IF82" s="326"/>
      <c r="IG82" s="326"/>
      <c r="IH82" s="326"/>
      <c r="II82" s="326"/>
      <c r="IJ82" s="326"/>
      <c r="IK82" s="326"/>
      <c r="IL82" s="326"/>
      <c r="IM82" s="326"/>
      <c r="IN82" s="326"/>
      <c r="IO82" s="326"/>
      <c r="IP82" s="326"/>
      <c r="IQ82" s="326"/>
      <c r="IR82" s="326"/>
      <c r="IS82" s="326"/>
      <c r="IT82" s="326"/>
      <c r="IU82" s="326"/>
      <c r="IV82" s="326"/>
    </row>
    <row r="83" spans="1:256" s="555" customFormat="1" ht="19.5" customHeight="1">
      <c r="A83" s="569">
        <v>74</v>
      </c>
      <c r="B83" s="563"/>
      <c r="C83" s="366"/>
      <c r="D83" s="478" t="s">
        <v>757</v>
      </c>
      <c r="E83" s="822"/>
      <c r="F83" s="1002"/>
      <c r="G83" s="568"/>
      <c r="H83" s="1004"/>
      <c r="I83" s="1002"/>
      <c r="J83" s="1002"/>
      <c r="K83" s="1002"/>
      <c r="L83" s="1002"/>
      <c r="M83" s="1523">
        <v>661170</v>
      </c>
      <c r="N83" s="1002"/>
      <c r="O83" s="1002"/>
      <c r="P83" s="1239">
        <f>SUM(I83:O83)</f>
        <v>661170</v>
      </c>
      <c r="Q83" s="1011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  <c r="AQ83" s="326"/>
      <c r="AR83" s="326"/>
      <c r="AS83" s="326"/>
      <c r="AT83" s="326"/>
      <c r="AU83" s="326"/>
      <c r="AV83" s="326"/>
      <c r="AW83" s="326"/>
      <c r="AX83" s="326"/>
      <c r="AY83" s="326"/>
      <c r="AZ83" s="326"/>
      <c r="BA83" s="326"/>
      <c r="BB83" s="326"/>
      <c r="BC83" s="326"/>
      <c r="BD83" s="326"/>
      <c r="BE83" s="326"/>
      <c r="BF83" s="326"/>
      <c r="BG83" s="326"/>
      <c r="BH83" s="326"/>
      <c r="BI83" s="326"/>
      <c r="BJ83" s="326"/>
      <c r="BK83" s="326"/>
      <c r="BL83" s="326"/>
      <c r="BM83" s="326"/>
      <c r="BN83" s="326"/>
      <c r="BO83" s="326"/>
      <c r="BP83" s="326"/>
      <c r="BQ83" s="326"/>
      <c r="BR83" s="326"/>
      <c r="BS83" s="326"/>
      <c r="BT83" s="326"/>
      <c r="BU83" s="326"/>
      <c r="BV83" s="326"/>
      <c r="BW83" s="326"/>
      <c r="BX83" s="326"/>
      <c r="BY83" s="326"/>
      <c r="BZ83" s="326"/>
      <c r="CA83" s="326"/>
      <c r="CB83" s="326"/>
      <c r="CC83" s="326"/>
      <c r="CD83" s="326"/>
      <c r="CE83" s="326"/>
      <c r="CF83" s="326"/>
      <c r="CG83" s="326"/>
      <c r="CH83" s="326"/>
      <c r="CI83" s="326"/>
      <c r="CJ83" s="326"/>
      <c r="CK83" s="326"/>
      <c r="CL83" s="326"/>
      <c r="CM83" s="326"/>
      <c r="CN83" s="326"/>
      <c r="CO83" s="326"/>
      <c r="CP83" s="326"/>
      <c r="CQ83" s="326"/>
      <c r="CR83" s="326"/>
      <c r="CS83" s="326"/>
      <c r="CT83" s="326"/>
      <c r="CU83" s="326"/>
      <c r="CV83" s="326"/>
      <c r="CW83" s="326"/>
      <c r="CX83" s="326"/>
      <c r="CY83" s="326"/>
      <c r="CZ83" s="326"/>
      <c r="DA83" s="326"/>
      <c r="DB83" s="326"/>
      <c r="DC83" s="326"/>
      <c r="DD83" s="326"/>
      <c r="DE83" s="326"/>
      <c r="DF83" s="326"/>
      <c r="DG83" s="326"/>
      <c r="DH83" s="326"/>
      <c r="DI83" s="326"/>
      <c r="DJ83" s="326"/>
      <c r="DK83" s="326"/>
      <c r="DL83" s="326"/>
      <c r="DM83" s="326"/>
      <c r="DN83" s="326"/>
      <c r="DO83" s="326"/>
      <c r="DP83" s="326"/>
      <c r="DQ83" s="326"/>
      <c r="DR83" s="326"/>
      <c r="DS83" s="326"/>
      <c r="DT83" s="326"/>
      <c r="DU83" s="326"/>
      <c r="DV83" s="326"/>
      <c r="DW83" s="326"/>
      <c r="DX83" s="326"/>
      <c r="DY83" s="326"/>
      <c r="DZ83" s="326"/>
      <c r="EA83" s="326"/>
      <c r="EB83" s="326"/>
      <c r="EC83" s="326"/>
      <c r="ED83" s="326"/>
      <c r="EE83" s="326"/>
      <c r="EF83" s="326"/>
      <c r="EG83" s="326"/>
      <c r="EH83" s="326"/>
      <c r="EI83" s="326"/>
      <c r="EJ83" s="326"/>
      <c r="EK83" s="326"/>
      <c r="EL83" s="326"/>
      <c r="EM83" s="326"/>
      <c r="EN83" s="326"/>
      <c r="EO83" s="326"/>
      <c r="EP83" s="326"/>
      <c r="EQ83" s="326"/>
      <c r="ER83" s="326"/>
      <c r="ES83" s="326"/>
      <c r="ET83" s="326"/>
      <c r="EU83" s="326"/>
      <c r="EV83" s="326"/>
      <c r="EW83" s="326"/>
      <c r="EX83" s="326"/>
      <c r="EY83" s="326"/>
      <c r="EZ83" s="326"/>
      <c r="FA83" s="326"/>
      <c r="FB83" s="326"/>
      <c r="FC83" s="326"/>
      <c r="FD83" s="326"/>
      <c r="FE83" s="326"/>
      <c r="FF83" s="326"/>
      <c r="FG83" s="326"/>
      <c r="FH83" s="326"/>
      <c r="FI83" s="326"/>
      <c r="FJ83" s="326"/>
      <c r="FK83" s="326"/>
      <c r="FL83" s="326"/>
      <c r="FM83" s="326"/>
      <c r="FN83" s="326"/>
      <c r="FO83" s="326"/>
      <c r="FP83" s="326"/>
      <c r="FQ83" s="326"/>
      <c r="FR83" s="326"/>
      <c r="FS83" s="326"/>
      <c r="FT83" s="326"/>
      <c r="FU83" s="326"/>
      <c r="FV83" s="326"/>
      <c r="FW83" s="326"/>
      <c r="FX83" s="326"/>
      <c r="FY83" s="326"/>
      <c r="FZ83" s="326"/>
      <c r="GA83" s="326"/>
      <c r="GB83" s="326"/>
      <c r="GC83" s="326"/>
      <c r="GD83" s="326"/>
      <c r="GE83" s="326"/>
      <c r="GF83" s="326"/>
      <c r="GG83" s="326"/>
      <c r="GH83" s="326"/>
      <c r="GI83" s="326"/>
      <c r="GJ83" s="326"/>
      <c r="GK83" s="326"/>
      <c r="GL83" s="326"/>
      <c r="GM83" s="326"/>
      <c r="GN83" s="326"/>
      <c r="GO83" s="326"/>
      <c r="GP83" s="326"/>
      <c r="GQ83" s="326"/>
      <c r="GR83" s="326"/>
      <c r="GS83" s="326"/>
      <c r="GT83" s="326"/>
      <c r="GU83" s="326"/>
      <c r="GV83" s="326"/>
      <c r="GW83" s="326"/>
      <c r="GX83" s="326"/>
      <c r="GY83" s="326"/>
      <c r="GZ83" s="326"/>
      <c r="HA83" s="326"/>
      <c r="HB83" s="326"/>
      <c r="HC83" s="326"/>
      <c r="HD83" s="326"/>
      <c r="HE83" s="326"/>
      <c r="HF83" s="326"/>
      <c r="HG83" s="326"/>
      <c r="HH83" s="326"/>
      <c r="HI83" s="326"/>
      <c r="HJ83" s="326"/>
      <c r="HK83" s="326"/>
      <c r="HL83" s="326"/>
      <c r="HM83" s="326"/>
      <c r="HN83" s="326"/>
      <c r="HO83" s="326"/>
      <c r="HP83" s="326"/>
      <c r="HQ83" s="326"/>
      <c r="HR83" s="326"/>
      <c r="HS83" s="326"/>
      <c r="HT83" s="326"/>
      <c r="HU83" s="326"/>
      <c r="HV83" s="326"/>
      <c r="HW83" s="326"/>
      <c r="HX83" s="326"/>
      <c r="HY83" s="326"/>
      <c r="HZ83" s="326"/>
      <c r="IA83" s="326"/>
      <c r="IB83" s="326"/>
      <c r="IC83" s="326"/>
      <c r="ID83" s="326"/>
      <c r="IE83" s="326"/>
      <c r="IF83" s="326"/>
      <c r="IG83" s="326"/>
      <c r="IH83" s="326"/>
      <c r="II83" s="326"/>
      <c r="IJ83" s="326"/>
      <c r="IK83" s="326"/>
      <c r="IL83" s="326"/>
      <c r="IM83" s="326"/>
      <c r="IN83" s="326"/>
      <c r="IO83" s="326"/>
      <c r="IP83" s="326"/>
      <c r="IQ83" s="326"/>
      <c r="IR83" s="326"/>
      <c r="IS83" s="326"/>
      <c r="IT83" s="326"/>
      <c r="IU83" s="326"/>
      <c r="IV83" s="326"/>
    </row>
    <row r="84" spans="1:256" s="555" customFormat="1" ht="19.5" customHeight="1">
      <c r="A84" s="569">
        <v>75</v>
      </c>
      <c r="B84" s="563"/>
      <c r="C84" s="366"/>
      <c r="D84" s="1090" t="s">
        <v>893</v>
      </c>
      <c r="E84" s="335"/>
      <c r="F84" s="1002"/>
      <c r="G84" s="568"/>
      <c r="H84" s="1004"/>
      <c r="I84" s="1002"/>
      <c r="J84" s="1002"/>
      <c r="K84" s="1002"/>
      <c r="L84" s="1002"/>
      <c r="M84" s="556">
        <v>661170</v>
      </c>
      <c r="N84" s="1002"/>
      <c r="O84" s="1002"/>
      <c r="P84" s="1723">
        <f>SUM(I84:O84)</f>
        <v>661170</v>
      </c>
      <c r="Q84" s="1003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6"/>
      <c r="CB84" s="326"/>
      <c r="CC84" s="326"/>
      <c r="CD84" s="326"/>
      <c r="CE84" s="326"/>
      <c r="CF84" s="326"/>
      <c r="CG84" s="326"/>
      <c r="CH84" s="326"/>
      <c r="CI84" s="326"/>
      <c r="CJ84" s="326"/>
      <c r="CK84" s="326"/>
      <c r="CL84" s="326"/>
      <c r="CM84" s="326"/>
      <c r="CN84" s="326"/>
      <c r="CO84" s="326"/>
      <c r="CP84" s="326"/>
      <c r="CQ84" s="326"/>
      <c r="CR84" s="326"/>
      <c r="CS84" s="326"/>
      <c r="CT84" s="326"/>
      <c r="CU84" s="326"/>
      <c r="CV84" s="326"/>
      <c r="CW84" s="326"/>
      <c r="CX84" s="326"/>
      <c r="CY84" s="326"/>
      <c r="CZ84" s="326"/>
      <c r="DA84" s="326"/>
      <c r="DB84" s="326"/>
      <c r="DC84" s="326"/>
      <c r="DD84" s="326"/>
      <c r="DE84" s="326"/>
      <c r="DF84" s="326"/>
      <c r="DG84" s="326"/>
      <c r="DH84" s="326"/>
      <c r="DI84" s="326"/>
      <c r="DJ84" s="326"/>
      <c r="DK84" s="326"/>
      <c r="DL84" s="326"/>
      <c r="DM84" s="326"/>
      <c r="DN84" s="326"/>
      <c r="DO84" s="326"/>
      <c r="DP84" s="326"/>
      <c r="DQ84" s="326"/>
      <c r="DR84" s="326"/>
      <c r="DS84" s="326"/>
      <c r="DT84" s="326"/>
      <c r="DU84" s="326"/>
      <c r="DV84" s="326"/>
      <c r="DW84" s="326"/>
      <c r="DX84" s="326"/>
      <c r="DY84" s="326"/>
      <c r="DZ84" s="326"/>
      <c r="EA84" s="326"/>
      <c r="EB84" s="326"/>
      <c r="EC84" s="326"/>
      <c r="ED84" s="326"/>
      <c r="EE84" s="326"/>
      <c r="EF84" s="326"/>
      <c r="EG84" s="326"/>
      <c r="EH84" s="326"/>
      <c r="EI84" s="326"/>
      <c r="EJ84" s="326"/>
      <c r="EK84" s="326"/>
      <c r="EL84" s="326"/>
      <c r="EM84" s="326"/>
      <c r="EN84" s="326"/>
      <c r="EO84" s="326"/>
      <c r="EP84" s="326"/>
      <c r="EQ84" s="326"/>
      <c r="ER84" s="326"/>
      <c r="ES84" s="326"/>
      <c r="ET84" s="326"/>
      <c r="EU84" s="326"/>
      <c r="EV84" s="326"/>
      <c r="EW84" s="326"/>
      <c r="EX84" s="326"/>
      <c r="EY84" s="326"/>
      <c r="EZ84" s="326"/>
      <c r="FA84" s="326"/>
      <c r="FB84" s="326"/>
      <c r="FC84" s="326"/>
      <c r="FD84" s="326"/>
      <c r="FE84" s="326"/>
      <c r="FF84" s="326"/>
      <c r="FG84" s="326"/>
      <c r="FH84" s="326"/>
      <c r="FI84" s="326"/>
      <c r="FJ84" s="326"/>
      <c r="FK84" s="326"/>
      <c r="FL84" s="326"/>
      <c r="FM84" s="326"/>
      <c r="FN84" s="326"/>
      <c r="FO84" s="326"/>
      <c r="FP84" s="326"/>
      <c r="FQ84" s="326"/>
      <c r="FR84" s="326"/>
      <c r="FS84" s="326"/>
      <c r="FT84" s="326"/>
      <c r="FU84" s="326"/>
      <c r="FV84" s="326"/>
      <c r="FW84" s="326"/>
      <c r="FX84" s="326"/>
      <c r="FY84" s="326"/>
      <c r="FZ84" s="326"/>
      <c r="GA84" s="326"/>
      <c r="GB84" s="326"/>
      <c r="GC84" s="326"/>
      <c r="GD84" s="326"/>
      <c r="GE84" s="326"/>
      <c r="GF84" s="326"/>
      <c r="GG84" s="326"/>
      <c r="GH84" s="326"/>
      <c r="GI84" s="326"/>
      <c r="GJ84" s="326"/>
      <c r="GK84" s="326"/>
      <c r="GL84" s="326"/>
      <c r="GM84" s="326"/>
      <c r="GN84" s="326"/>
      <c r="GO84" s="326"/>
      <c r="GP84" s="326"/>
      <c r="GQ84" s="326"/>
      <c r="GR84" s="326"/>
      <c r="GS84" s="326"/>
      <c r="GT84" s="326"/>
      <c r="GU84" s="326"/>
      <c r="GV84" s="326"/>
      <c r="GW84" s="326"/>
      <c r="GX84" s="326"/>
      <c r="GY84" s="326"/>
      <c r="GZ84" s="326"/>
      <c r="HA84" s="326"/>
      <c r="HB84" s="326"/>
      <c r="HC84" s="326"/>
      <c r="HD84" s="326"/>
      <c r="HE84" s="326"/>
      <c r="HF84" s="326"/>
      <c r="HG84" s="326"/>
      <c r="HH84" s="326"/>
      <c r="HI84" s="326"/>
      <c r="HJ84" s="326"/>
      <c r="HK84" s="326"/>
      <c r="HL84" s="326"/>
      <c r="HM84" s="326"/>
      <c r="HN84" s="326"/>
      <c r="HO84" s="326"/>
      <c r="HP84" s="326"/>
      <c r="HQ84" s="326"/>
      <c r="HR84" s="326"/>
      <c r="HS84" s="326"/>
      <c r="HT84" s="326"/>
      <c r="HU84" s="326"/>
      <c r="HV84" s="326"/>
      <c r="HW84" s="326"/>
      <c r="HX84" s="326"/>
      <c r="HY84" s="326"/>
      <c r="HZ84" s="326"/>
      <c r="IA84" s="326"/>
      <c r="IB84" s="326"/>
      <c r="IC84" s="326"/>
      <c r="ID84" s="326"/>
      <c r="IE84" s="326"/>
      <c r="IF84" s="326"/>
      <c r="IG84" s="326"/>
      <c r="IH84" s="326"/>
      <c r="II84" s="326"/>
      <c r="IJ84" s="326"/>
      <c r="IK84" s="326"/>
      <c r="IL84" s="326"/>
      <c r="IM84" s="326"/>
      <c r="IN84" s="326"/>
      <c r="IO84" s="326"/>
      <c r="IP84" s="326"/>
      <c r="IQ84" s="326"/>
      <c r="IR84" s="326"/>
      <c r="IS84" s="326"/>
      <c r="IT84" s="326"/>
      <c r="IU84" s="326"/>
      <c r="IV84" s="326"/>
    </row>
    <row r="85" spans="1:256" s="555" customFormat="1" ht="19.5" customHeight="1">
      <c r="A85" s="569">
        <v>76</v>
      </c>
      <c r="B85" s="563"/>
      <c r="C85" s="366"/>
      <c r="D85" s="328" t="s">
        <v>710</v>
      </c>
      <c r="E85" s="822">
        <f>F85+G85+P86</f>
        <v>149576</v>
      </c>
      <c r="F85" s="1002"/>
      <c r="G85" s="568"/>
      <c r="H85" s="1004"/>
      <c r="I85" s="1002"/>
      <c r="J85" s="1002"/>
      <c r="K85" s="1002"/>
      <c r="L85" s="1002"/>
      <c r="M85" s="556"/>
      <c r="N85" s="1002"/>
      <c r="O85" s="1002"/>
      <c r="P85" s="564"/>
      <c r="Q85" s="1003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26"/>
      <c r="BI85" s="326"/>
      <c r="BJ85" s="326"/>
      <c r="BK85" s="326"/>
      <c r="BL85" s="326"/>
      <c r="BM85" s="326"/>
      <c r="BN85" s="326"/>
      <c r="BO85" s="326"/>
      <c r="BP85" s="326"/>
      <c r="BQ85" s="326"/>
      <c r="BR85" s="326"/>
      <c r="BS85" s="326"/>
      <c r="BT85" s="326"/>
      <c r="BU85" s="326"/>
      <c r="BV85" s="326"/>
      <c r="BW85" s="326"/>
      <c r="BX85" s="326"/>
      <c r="BY85" s="326"/>
      <c r="BZ85" s="326"/>
      <c r="CA85" s="326"/>
      <c r="CB85" s="326"/>
      <c r="CC85" s="326"/>
      <c r="CD85" s="326"/>
      <c r="CE85" s="326"/>
      <c r="CF85" s="326"/>
      <c r="CG85" s="326"/>
      <c r="CH85" s="326"/>
      <c r="CI85" s="326"/>
      <c r="CJ85" s="326"/>
      <c r="CK85" s="326"/>
      <c r="CL85" s="326"/>
      <c r="CM85" s="326"/>
      <c r="CN85" s="326"/>
      <c r="CO85" s="326"/>
      <c r="CP85" s="326"/>
      <c r="CQ85" s="326"/>
      <c r="CR85" s="326"/>
      <c r="CS85" s="326"/>
      <c r="CT85" s="326"/>
      <c r="CU85" s="326"/>
      <c r="CV85" s="326"/>
      <c r="CW85" s="326"/>
      <c r="CX85" s="326"/>
      <c r="CY85" s="326"/>
      <c r="CZ85" s="326"/>
      <c r="DA85" s="326"/>
      <c r="DB85" s="326"/>
      <c r="DC85" s="326"/>
      <c r="DD85" s="326"/>
      <c r="DE85" s="326"/>
      <c r="DF85" s="326"/>
      <c r="DG85" s="326"/>
      <c r="DH85" s="326"/>
      <c r="DI85" s="326"/>
      <c r="DJ85" s="326"/>
      <c r="DK85" s="326"/>
      <c r="DL85" s="326"/>
      <c r="DM85" s="326"/>
      <c r="DN85" s="326"/>
      <c r="DO85" s="326"/>
      <c r="DP85" s="326"/>
      <c r="DQ85" s="326"/>
      <c r="DR85" s="326"/>
      <c r="DS85" s="326"/>
      <c r="DT85" s="326"/>
      <c r="DU85" s="326"/>
      <c r="DV85" s="326"/>
      <c r="DW85" s="326"/>
      <c r="DX85" s="326"/>
      <c r="DY85" s="326"/>
      <c r="DZ85" s="326"/>
      <c r="EA85" s="326"/>
      <c r="EB85" s="326"/>
      <c r="EC85" s="326"/>
      <c r="ED85" s="326"/>
      <c r="EE85" s="326"/>
      <c r="EF85" s="326"/>
      <c r="EG85" s="326"/>
      <c r="EH85" s="326"/>
      <c r="EI85" s="326"/>
      <c r="EJ85" s="326"/>
      <c r="EK85" s="326"/>
      <c r="EL85" s="326"/>
      <c r="EM85" s="326"/>
      <c r="EN85" s="326"/>
      <c r="EO85" s="326"/>
      <c r="EP85" s="326"/>
      <c r="EQ85" s="326"/>
      <c r="ER85" s="326"/>
      <c r="ES85" s="326"/>
      <c r="ET85" s="326"/>
      <c r="EU85" s="326"/>
      <c r="EV85" s="326"/>
      <c r="EW85" s="326"/>
      <c r="EX85" s="326"/>
      <c r="EY85" s="326"/>
      <c r="EZ85" s="326"/>
      <c r="FA85" s="326"/>
      <c r="FB85" s="326"/>
      <c r="FC85" s="326"/>
      <c r="FD85" s="326"/>
      <c r="FE85" s="326"/>
      <c r="FF85" s="326"/>
      <c r="FG85" s="326"/>
      <c r="FH85" s="326"/>
      <c r="FI85" s="326"/>
      <c r="FJ85" s="326"/>
      <c r="FK85" s="326"/>
      <c r="FL85" s="326"/>
      <c r="FM85" s="326"/>
      <c r="FN85" s="326"/>
      <c r="FO85" s="326"/>
      <c r="FP85" s="326"/>
      <c r="FQ85" s="326"/>
      <c r="FR85" s="326"/>
      <c r="FS85" s="326"/>
      <c r="FT85" s="326"/>
      <c r="FU85" s="326"/>
      <c r="FV85" s="326"/>
      <c r="FW85" s="326"/>
      <c r="FX85" s="326"/>
      <c r="FY85" s="326"/>
      <c r="FZ85" s="326"/>
      <c r="GA85" s="326"/>
      <c r="GB85" s="326"/>
      <c r="GC85" s="326"/>
      <c r="GD85" s="326"/>
      <c r="GE85" s="326"/>
      <c r="GF85" s="326"/>
      <c r="GG85" s="326"/>
      <c r="GH85" s="326"/>
      <c r="GI85" s="326"/>
      <c r="GJ85" s="326"/>
      <c r="GK85" s="326"/>
      <c r="GL85" s="326"/>
      <c r="GM85" s="326"/>
      <c r="GN85" s="326"/>
      <c r="GO85" s="326"/>
      <c r="GP85" s="326"/>
      <c r="GQ85" s="326"/>
      <c r="GR85" s="326"/>
      <c r="GS85" s="326"/>
      <c r="GT85" s="326"/>
      <c r="GU85" s="326"/>
      <c r="GV85" s="326"/>
      <c r="GW85" s="326"/>
      <c r="GX85" s="326"/>
      <c r="GY85" s="326"/>
      <c r="GZ85" s="326"/>
      <c r="HA85" s="326"/>
      <c r="HB85" s="326"/>
      <c r="HC85" s="326"/>
      <c r="HD85" s="326"/>
      <c r="HE85" s="326"/>
      <c r="HF85" s="326"/>
      <c r="HG85" s="326"/>
      <c r="HH85" s="326"/>
      <c r="HI85" s="326"/>
      <c r="HJ85" s="326"/>
      <c r="HK85" s="326"/>
      <c r="HL85" s="326"/>
      <c r="HM85" s="326"/>
      <c r="HN85" s="326"/>
      <c r="HO85" s="326"/>
      <c r="HP85" s="326"/>
      <c r="HQ85" s="326"/>
      <c r="HR85" s="326"/>
      <c r="HS85" s="326"/>
      <c r="HT85" s="326"/>
      <c r="HU85" s="326"/>
      <c r="HV85" s="326"/>
      <c r="HW85" s="326"/>
      <c r="HX85" s="326"/>
      <c r="HY85" s="326"/>
      <c r="HZ85" s="326"/>
      <c r="IA85" s="326"/>
      <c r="IB85" s="326"/>
      <c r="IC85" s="326"/>
      <c r="ID85" s="326"/>
      <c r="IE85" s="326"/>
      <c r="IF85" s="326"/>
      <c r="IG85" s="326"/>
      <c r="IH85" s="326"/>
      <c r="II85" s="326"/>
      <c r="IJ85" s="326"/>
      <c r="IK85" s="326"/>
      <c r="IL85" s="326"/>
      <c r="IM85" s="326"/>
      <c r="IN85" s="326"/>
      <c r="IO85" s="326"/>
      <c r="IP85" s="326"/>
      <c r="IQ85" s="326"/>
      <c r="IR85" s="326"/>
      <c r="IS85" s="326"/>
      <c r="IT85" s="326"/>
      <c r="IU85" s="326"/>
      <c r="IV85" s="326"/>
    </row>
    <row r="86" spans="1:256" s="555" customFormat="1" ht="19.5" customHeight="1">
      <c r="A86" s="569">
        <v>77</v>
      </c>
      <c r="B86" s="563"/>
      <c r="C86" s="366"/>
      <c r="D86" s="478" t="s">
        <v>757</v>
      </c>
      <c r="E86" s="822"/>
      <c r="F86" s="1002"/>
      <c r="G86" s="568"/>
      <c r="H86" s="1004"/>
      <c r="I86" s="1002"/>
      <c r="J86" s="1002"/>
      <c r="K86" s="1002"/>
      <c r="L86" s="1002"/>
      <c r="M86" s="1188">
        <v>149576</v>
      </c>
      <c r="N86" s="1002"/>
      <c r="O86" s="1002"/>
      <c r="P86" s="564">
        <f>SUM(I86:O86)</f>
        <v>149576</v>
      </c>
      <c r="Q86" s="1003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  <c r="AY86" s="326"/>
      <c r="AZ86" s="326"/>
      <c r="BA86" s="326"/>
      <c r="BB86" s="326"/>
      <c r="BC86" s="326"/>
      <c r="BD86" s="326"/>
      <c r="BE86" s="326"/>
      <c r="BF86" s="326"/>
      <c r="BG86" s="326"/>
      <c r="BH86" s="326"/>
      <c r="BI86" s="326"/>
      <c r="BJ86" s="326"/>
      <c r="BK86" s="326"/>
      <c r="BL86" s="326"/>
      <c r="BM86" s="326"/>
      <c r="BN86" s="326"/>
      <c r="BO86" s="326"/>
      <c r="BP86" s="326"/>
      <c r="BQ86" s="326"/>
      <c r="BR86" s="326"/>
      <c r="BS86" s="326"/>
      <c r="BT86" s="326"/>
      <c r="BU86" s="326"/>
      <c r="BV86" s="326"/>
      <c r="BW86" s="326"/>
      <c r="BX86" s="326"/>
      <c r="BY86" s="326"/>
      <c r="BZ86" s="326"/>
      <c r="CA86" s="326"/>
      <c r="CB86" s="326"/>
      <c r="CC86" s="326"/>
      <c r="CD86" s="326"/>
      <c r="CE86" s="326"/>
      <c r="CF86" s="326"/>
      <c r="CG86" s="326"/>
      <c r="CH86" s="326"/>
      <c r="CI86" s="326"/>
      <c r="CJ86" s="326"/>
      <c r="CK86" s="326"/>
      <c r="CL86" s="326"/>
      <c r="CM86" s="326"/>
      <c r="CN86" s="326"/>
      <c r="CO86" s="326"/>
      <c r="CP86" s="326"/>
      <c r="CQ86" s="326"/>
      <c r="CR86" s="326"/>
      <c r="CS86" s="326"/>
      <c r="CT86" s="326"/>
      <c r="CU86" s="326"/>
      <c r="CV86" s="326"/>
      <c r="CW86" s="326"/>
      <c r="CX86" s="326"/>
      <c r="CY86" s="326"/>
      <c r="CZ86" s="326"/>
      <c r="DA86" s="326"/>
      <c r="DB86" s="326"/>
      <c r="DC86" s="326"/>
      <c r="DD86" s="326"/>
      <c r="DE86" s="326"/>
      <c r="DF86" s="326"/>
      <c r="DG86" s="326"/>
      <c r="DH86" s="326"/>
      <c r="DI86" s="326"/>
      <c r="DJ86" s="326"/>
      <c r="DK86" s="326"/>
      <c r="DL86" s="326"/>
      <c r="DM86" s="326"/>
      <c r="DN86" s="326"/>
      <c r="DO86" s="326"/>
      <c r="DP86" s="326"/>
      <c r="DQ86" s="326"/>
      <c r="DR86" s="326"/>
      <c r="DS86" s="326"/>
      <c r="DT86" s="326"/>
      <c r="DU86" s="326"/>
      <c r="DV86" s="326"/>
      <c r="DW86" s="326"/>
      <c r="DX86" s="326"/>
      <c r="DY86" s="326"/>
      <c r="DZ86" s="326"/>
      <c r="EA86" s="326"/>
      <c r="EB86" s="326"/>
      <c r="EC86" s="326"/>
      <c r="ED86" s="326"/>
      <c r="EE86" s="326"/>
      <c r="EF86" s="326"/>
      <c r="EG86" s="326"/>
      <c r="EH86" s="326"/>
      <c r="EI86" s="326"/>
      <c r="EJ86" s="326"/>
      <c r="EK86" s="326"/>
      <c r="EL86" s="326"/>
      <c r="EM86" s="326"/>
      <c r="EN86" s="326"/>
      <c r="EO86" s="326"/>
      <c r="EP86" s="326"/>
      <c r="EQ86" s="326"/>
      <c r="ER86" s="326"/>
      <c r="ES86" s="326"/>
      <c r="ET86" s="326"/>
      <c r="EU86" s="326"/>
      <c r="EV86" s="326"/>
      <c r="EW86" s="326"/>
      <c r="EX86" s="326"/>
      <c r="EY86" s="326"/>
      <c r="EZ86" s="326"/>
      <c r="FA86" s="326"/>
      <c r="FB86" s="326"/>
      <c r="FC86" s="326"/>
      <c r="FD86" s="326"/>
      <c r="FE86" s="326"/>
      <c r="FF86" s="326"/>
      <c r="FG86" s="326"/>
      <c r="FH86" s="326"/>
      <c r="FI86" s="326"/>
      <c r="FJ86" s="326"/>
      <c r="FK86" s="326"/>
      <c r="FL86" s="326"/>
      <c r="FM86" s="326"/>
      <c r="FN86" s="326"/>
      <c r="FO86" s="326"/>
      <c r="FP86" s="326"/>
      <c r="FQ86" s="326"/>
      <c r="FR86" s="326"/>
      <c r="FS86" s="326"/>
      <c r="FT86" s="326"/>
      <c r="FU86" s="326"/>
      <c r="FV86" s="326"/>
      <c r="FW86" s="326"/>
      <c r="FX86" s="326"/>
      <c r="FY86" s="326"/>
      <c r="FZ86" s="326"/>
      <c r="GA86" s="326"/>
      <c r="GB86" s="326"/>
      <c r="GC86" s="326"/>
      <c r="GD86" s="326"/>
      <c r="GE86" s="326"/>
      <c r="GF86" s="326"/>
      <c r="GG86" s="326"/>
      <c r="GH86" s="326"/>
      <c r="GI86" s="326"/>
      <c r="GJ86" s="326"/>
      <c r="GK86" s="326"/>
      <c r="GL86" s="326"/>
      <c r="GM86" s="326"/>
      <c r="GN86" s="326"/>
      <c r="GO86" s="326"/>
      <c r="GP86" s="326"/>
      <c r="GQ86" s="326"/>
      <c r="GR86" s="326"/>
      <c r="GS86" s="326"/>
      <c r="GT86" s="326"/>
      <c r="GU86" s="326"/>
      <c r="GV86" s="326"/>
      <c r="GW86" s="326"/>
      <c r="GX86" s="326"/>
      <c r="GY86" s="326"/>
      <c r="GZ86" s="326"/>
      <c r="HA86" s="326"/>
      <c r="HB86" s="326"/>
      <c r="HC86" s="326"/>
      <c r="HD86" s="326"/>
      <c r="HE86" s="326"/>
      <c r="HF86" s="326"/>
      <c r="HG86" s="326"/>
      <c r="HH86" s="326"/>
      <c r="HI86" s="326"/>
      <c r="HJ86" s="326"/>
      <c r="HK86" s="326"/>
      <c r="HL86" s="326"/>
      <c r="HM86" s="326"/>
      <c r="HN86" s="326"/>
      <c r="HO86" s="326"/>
      <c r="HP86" s="326"/>
      <c r="HQ86" s="326"/>
      <c r="HR86" s="326"/>
      <c r="HS86" s="326"/>
      <c r="HT86" s="326"/>
      <c r="HU86" s="326"/>
      <c r="HV86" s="326"/>
      <c r="HW86" s="326"/>
      <c r="HX86" s="326"/>
      <c r="HY86" s="326"/>
      <c r="HZ86" s="326"/>
      <c r="IA86" s="326"/>
      <c r="IB86" s="326"/>
      <c r="IC86" s="326"/>
      <c r="ID86" s="326"/>
      <c r="IE86" s="326"/>
      <c r="IF86" s="326"/>
      <c r="IG86" s="326"/>
      <c r="IH86" s="326"/>
      <c r="II86" s="326"/>
      <c r="IJ86" s="326"/>
      <c r="IK86" s="326"/>
      <c r="IL86" s="326"/>
      <c r="IM86" s="326"/>
      <c r="IN86" s="326"/>
      <c r="IO86" s="326"/>
      <c r="IP86" s="326"/>
      <c r="IQ86" s="326"/>
      <c r="IR86" s="326"/>
      <c r="IS86" s="326"/>
      <c r="IT86" s="326"/>
      <c r="IU86" s="326"/>
      <c r="IV86" s="326"/>
    </row>
    <row r="87" spans="1:256" s="555" customFormat="1" ht="19.5" customHeight="1">
      <c r="A87" s="569">
        <v>78</v>
      </c>
      <c r="B87" s="563"/>
      <c r="C87" s="366"/>
      <c r="D87" s="1090" t="s">
        <v>892</v>
      </c>
      <c r="E87" s="335"/>
      <c r="F87" s="1002"/>
      <c r="G87" s="568"/>
      <c r="H87" s="1004"/>
      <c r="I87" s="1002"/>
      <c r="J87" s="1002"/>
      <c r="K87" s="1002"/>
      <c r="L87" s="1002"/>
      <c r="M87" s="1186">
        <v>117776</v>
      </c>
      <c r="N87" s="1002"/>
      <c r="O87" s="1002"/>
      <c r="P87" s="1723">
        <f>SUM(I87:O87)</f>
        <v>117776</v>
      </c>
      <c r="Q87" s="1003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6"/>
      <c r="BA87" s="326"/>
      <c r="BB87" s="326"/>
      <c r="BC87" s="326"/>
      <c r="BD87" s="326"/>
      <c r="BE87" s="326"/>
      <c r="BF87" s="326"/>
      <c r="BG87" s="32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6"/>
      <c r="BU87" s="326"/>
      <c r="BV87" s="326"/>
      <c r="BW87" s="326"/>
      <c r="BX87" s="326"/>
      <c r="BY87" s="326"/>
      <c r="BZ87" s="326"/>
      <c r="CA87" s="326"/>
      <c r="CB87" s="326"/>
      <c r="CC87" s="326"/>
      <c r="CD87" s="326"/>
      <c r="CE87" s="326"/>
      <c r="CF87" s="326"/>
      <c r="CG87" s="326"/>
      <c r="CH87" s="326"/>
      <c r="CI87" s="326"/>
      <c r="CJ87" s="326"/>
      <c r="CK87" s="326"/>
      <c r="CL87" s="326"/>
      <c r="CM87" s="326"/>
      <c r="CN87" s="326"/>
      <c r="CO87" s="326"/>
      <c r="CP87" s="326"/>
      <c r="CQ87" s="326"/>
      <c r="CR87" s="326"/>
      <c r="CS87" s="326"/>
      <c r="CT87" s="326"/>
      <c r="CU87" s="326"/>
      <c r="CV87" s="326"/>
      <c r="CW87" s="326"/>
      <c r="CX87" s="326"/>
      <c r="CY87" s="326"/>
      <c r="CZ87" s="326"/>
      <c r="DA87" s="326"/>
      <c r="DB87" s="326"/>
      <c r="DC87" s="326"/>
      <c r="DD87" s="326"/>
      <c r="DE87" s="326"/>
      <c r="DF87" s="326"/>
      <c r="DG87" s="326"/>
      <c r="DH87" s="326"/>
      <c r="DI87" s="326"/>
      <c r="DJ87" s="326"/>
      <c r="DK87" s="326"/>
      <c r="DL87" s="326"/>
      <c r="DM87" s="326"/>
      <c r="DN87" s="326"/>
      <c r="DO87" s="326"/>
      <c r="DP87" s="326"/>
      <c r="DQ87" s="326"/>
      <c r="DR87" s="326"/>
      <c r="DS87" s="326"/>
      <c r="DT87" s="326"/>
      <c r="DU87" s="326"/>
      <c r="DV87" s="326"/>
      <c r="DW87" s="326"/>
      <c r="DX87" s="326"/>
      <c r="DY87" s="326"/>
      <c r="DZ87" s="326"/>
      <c r="EA87" s="326"/>
      <c r="EB87" s="326"/>
      <c r="EC87" s="326"/>
      <c r="ED87" s="326"/>
      <c r="EE87" s="326"/>
      <c r="EF87" s="326"/>
      <c r="EG87" s="326"/>
      <c r="EH87" s="326"/>
      <c r="EI87" s="326"/>
      <c r="EJ87" s="326"/>
      <c r="EK87" s="326"/>
      <c r="EL87" s="326"/>
      <c r="EM87" s="326"/>
      <c r="EN87" s="326"/>
      <c r="EO87" s="326"/>
      <c r="EP87" s="326"/>
      <c r="EQ87" s="326"/>
      <c r="ER87" s="326"/>
      <c r="ES87" s="326"/>
      <c r="ET87" s="326"/>
      <c r="EU87" s="326"/>
      <c r="EV87" s="326"/>
      <c r="EW87" s="326"/>
      <c r="EX87" s="326"/>
      <c r="EY87" s="326"/>
      <c r="EZ87" s="326"/>
      <c r="FA87" s="326"/>
      <c r="FB87" s="326"/>
      <c r="FC87" s="326"/>
      <c r="FD87" s="326"/>
      <c r="FE87" s="326"/>
      <c r="FF87" s="326"/>
      <c r="FG87" s="326"/>
      <c r="FH87" s="326"/>
      <c r="FI87" s="326"/>
      <c r="FJ87" s="326"/>
      <c r="FK87" s="326"/>
      <c r="FL87" s="326"/>
      <c r="FM87" s="326"/>
      <c r="FN87" s="326"/>
      <c r="FO87" s="326"/>
      <c r="FP87" s="326"/>
      <c r="FQ87" s="326"/>
      <c r="FR87" s="326"/>
      <c r="FS87" s="326"/>
      <c r="FT87" s="326"/>
      <c r="FU87" s="326"/>
      <c r="FV87" s="326"/>
      <c r="FW87" s="326"/>
      <c r="FX87" s="326"/>
      <c r="FY87" s="326"/>
      <c r="FZ87" s="326"/>
      <c r="GA87" s="326"/>
      <c r="GB87" s="326"/>
      <c r="GC87" s="326"/>
      <c r="GD87" s="326"/>
      <c r="GE87" s="326"/>
      <c r="GF87" s="326"/>
      <c r="GG87" s="326"/>
      <c r="GH87" s="326"/>
      <c r="GI87" s="326"/>
      <c r="GJ87" s="326"/>
      <c r="GK87" s="326"/>
      <c r="GL87" s="326"/>
      <c r="GM87" s="326"/>
      <c r="GN87" s="326"/>
      <c r="GO87" s="326"/>
      <c r="GP87" s="326"/>
      <c r="GQ87" s="326"/>
      <c r="GR87" s="326"/>
      <c r="GS87" s="326"/>
      <c r="GT87" s="326"/>
      <c r="GU87" s="326"/>
      <c r="GV87" s="326"/>
      <c r="GW87" s="326"/>
      <c r="GX87" s="326"/>
      <c r="GY87" s="326"/>
      <c r="GZ87" s="326"/>
      <c r="HA87" s="326"/>
      <c r="HB87" s="326"/>
      <c r="HC87" s="326"/>
      <c r="HD87" s="326"/>
      <c r="HE87" s="326"/>
      <c r="HF87" s="326"/>
      <c r="HG87" s="326"/>
      <c r="HH87" s="326"/>
      <c r="HI87" s="326"/>
      <c r="HJ87" s="326"/>
      <c r="HK87" s="326"/>
      <c r="HL87" s="326"/>
      <c r="HM87" s="326"/>
      <c r="HN87" s="326"/>
      <c r="HO87" s="326"/>
      <c r="HP87" s="326"/>
      <c r="HQ87" s="326"/>
      <c r="HR87" s="326"/>
      <c r="HS87" s="326"/>
      <c r="HT87" s="326"/>
      <c r="HU87" s="326"/>
      <c r="HV87" s="326"/>
      <c r="HW87" s="326"/>
      <c r="HX87" s="326"/>
      <c r="HY87" s="326"/>
      <c r="HZ87" s="326"/>
      <c r="IA87" s="326"/>
      <c r="IB87" s="326"/>
      <c r="IC87" s="326"/>
      <c r="ID87" s="326"/>
      <c r="IE87" s="326"/>
      <c r="IF87" s="326"/>
      <c r="IG87" s="326"/>
      <c r="IH87" s="326"/>
      <c r="II87" s="326"/>
      <c r="IJ87" s="326"/>
      <c r="IK87" s="326"/>
      <c r="IL87" s="326"/>
      <c r="IM87" s="326"/>
      <c r="IN87" s="326"/>
      <c r="IO87" s="326"/>
      <c r="IP87" s="326"/>
      <c r="IQ87" s="326"/>
      <c r="IR87" s="326"/>
      <c r="IS87" s="326"/>
      <c r="IT87" s="326"/>
      <c r="IU87" s="326"/>
      <c r="IV87" s="326"/>
    </row>
    <row r="88" spans="1:256" s="555" customFormat="1" ht="35.25" customHeight="1">
      <c r="A88" s="569">
        <v>79</v>
      </c>
      <c r="B88" s="563"/>
      <c r="C88" s="366"/>
      <c r="D88" s="328" t="s">
        <v>711</v>
      </c>
      <c r="E88" s="335">
        <f>F88+G88+P89</f>
        <v>69400</v>
      </c>
      <c r="F88" s="1002"/>
      <c r="G88" s="568"/>
      <c r="H88" s="1004"/>
      <c r="I88" s="1002"/>
      <c r="J88" s="1002"/>
      <c r="K88" s="1002"/>
      <c r="L88" s="1002"/>
      <c r="M88" s="777"/>
      <c r="N88" s="1002"/>
      <c r="O88" s="1002"/>
      <c r="P88" s="751"/>
      <c r="Q88" s="1003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326"/>
      <c r="BC88" s="326"/>
      <c r="BD88" s="326"/>
      <c r="BE88" s="326"/>
      <c r="BF88" s="326"/>
      <c r="BG88" s="326"/>
      <c r="BH88" s="326"/>
      <c r="BI88" s="326"/>
      <c r="BJ88" s="326"/>
      <c r="BK88" s="326"/>
      <c r="BL88" s="326"/>
      <c r="BM88" s="326"/>
      <c r="BN88" s="326"/>
      <c r="BO88" s="326"/>
      <c r="BP88" s="326"/>
      <c r="BQ88" s="326"/>
      <c r="BR88" s="326"/>
      <c r="BS88" s="326"/>
      <c r="BT88" s="326"/>
      <c r="BU88" s="326"/>
      <c r="BV88" s="326"/>
      <c r="BW88" s="326"/>
      <c r="BX88" s="326"/>
      <c r="BY88" s="326"/>
      <c r="BZ88" s="326"/>
      <c r="CA88" s="326"/>
      <c r="CB88" s="326"/>
      <c r="CC88" s="326"/>
      <c r="CD88" s="326"/>
      <c r="CE88" s="326"/>
      <c r="CF88" s="326"/>
      <c r="CG88" s="326"/>
      <c r="CH88" s="326"/>
      <c r="CI88" s="326"/>
      <c r="CJ88" s="326"/>
      <c r="CK88" s="326"/>
      <c r="CL88" s="326"/>
      <c r="CM88" s="326"/>
      <c r="CN88" s="326"/>
      <c r="CO88" s="326"/>
      <c r="CP88" s="326"/>
      <c r="CQ88" s="326"/>
      <c r="CR88" s="326"/>
      <c r="CS88" s="326"/>
      <c r="CT88" s="326"/>
      <c r="CU88" s="326"/>
      <c r="CV88" s="326"/>
      <c r="CW88" s="326"/>
      <c r="CX88" s="326"/>
      <c r="CY88" s="326"/>
      <c r="CZ88" s="326"/>
      <c r="DA88" s="326"/>
      <c r="DB88" s="326"/>
      <c r="DC88" s="326"/>
      <c r="DD88" s="326"/>
      <c r="DE88" s="326"/>
      <c r="DF88" s="326"/>
      <c r="DG88" s="326"/>
      <c r="DH88" s="326"/>
      <c r="DI88" s="326"/>
      <c r="DJ88" s="326"/>
      <c r="DK88" s="326"/>
      <c r="DL88" s="326"/>
      <c r="DM88" s="326"/>
      <c r="DN88" s="326"/>
      <c r="DO88" s="326"/>
      <c r="DP88" s="326"/>
      <c r="DQ88" s="326"/>
      <c r="DR88" s="326"/>
      <c r="DS88" s="326"/>
      <c r="DT88" s="326"/>
      <c r="DU88" s="326"/>
      <c r="DV88" s="326"/>
      <c r="DW88" s="326"/>
      <c r="DX88" s="326"/>
      <c r="DY88" s="326"/>
      <c r="DZ88" s="326"/>
      <c r="EA88" s="326"/>
      <c r="EB88" s="326"/>
      <c r="EC88" s="326"/>
      <c r="ED88" s="326"/>
      <c r="EE88" s="326"/>
      <c r="EF88" s="326"/>
      <c r="EG88" s="326"/>
      <c r="EH88" s="326"/>
      <c r="EI88" s="326"/>
      <c r="EJ88" s="326"/>
      <c r="EK88" s="326"/>
      <c r="EL88" s="326"/>
      <c r="EM88" s="326"/>
      <c r="EN88" s="326"/>
      <c r="EO88" s="326"/>
      <c r="EP88" s="326"/>
      <c r="EQ88" s="326"/>
      <c r="ER88" s="326"/>
      <c r="ES88" s="326"/>
      <c r="ET88" s="326"/>
      <c r="EU88" s="326"/>
      <c r="EV88" s="326"/>
      <c r="EW88" s="326"/>
      <c r="EX88" s="326"/>
      <c r="EY88" s="326"/>
      <c r="EZ88" s="326"/>
      <c r="FA88" s="326"/>
      <c r="FB88" s="326"/>
      <c r="FC88" s="326"/>
      <c r="FD88" s="326"/>
      <c r="FE88" s="326"/>
      <c r="FF88" s="326"/>
      <c r="FG88" s="326"/>
      <c r="FH88" s="326"/>
      <c r="FI88" s="326"/>
      <c r="FJ88" s="326"/>
      <c r="FK88" s="326"/>
      <c r="FL88" s="326"/>
      <c r="FM88" s="326"/>
      <c r="FN88" s="326"/>
      <c r="FO88" s="326"/>
      <c r="FP88" s="326"/>
      <c r="FQ88" s="326"/>
      <c r="FR88" s="326"/>
      <c r="FS88" s="326"/>
      <c r="FT88" s="326"/>
      <c r="FU88" s="326"/>
      <c r="FV88" s="326"/>
      <c r="FW88" s="326"/>
      <c r="FX88" s="326"/>
      <c r="FY88" s="326"/>
      <c r="FZ88" s="326"/>
      <c r="GA88" s="326"/>
      <c r="GB88" s="326"/>
      <c r="GC88" s="326"/>
      <c r="GD88" s="326"/>
      <c r="GE88" s="326"/>
      <c r="GF88" s="326"/>
      <c r="GG88" s="326"/>
      <c r="GH88" s="326"/>
      <c r="GI88" s="326"/>
      <c r="GJ88" s="326"/>
      <c r="GK88" s="326"/>
      <c r="GL88" s="326"/>
      <c r="GM88" s="326"/>
      <c r="GN88" s="326"/>
      <c r="GO88" s="326"/>
      <c r="GP88" s="326"/>
      <c r="GQ88" s="326"/>
      <c r="GR88" s="326"/>
      <c r="GS88" s="326"/>
      <c r="GT88" s="326"/>
      <c r="GU88" s="326"/>
      <c r="GV88" s="326"/>
      <c r="GW88" s="326"/>
      <c r="GX88" s="326"/>
      <c r="GY88" s="326"/>
      <c r="GZ88" s="326"/>
      <c r="HA88" s="326"/>
      <c r="HB88" s="326"/>
      <c r="HC88" s="326"/>
      <c r="HD88" s="326"/>
      <c r="HE88" s="326"/>
      <c r="HF88" s="326"/>
      <c r="HG88" s="326"/>
      <c r="HH88" s="326"/>
      <c r="HI88" s="326"/>
      <c r="HJ88" s="326"/>
      <c r="HK88" s="326"/>
      <c r="HL88" s="326"/>
      <c r="HM88" s="326"/>
      <c r="HN88" s="326"/>
      <c r="HO88" s="326"/>
      <c r="HP88" s="326"/>
      <c r="HQ88" s="326"/>
      <c r="HR88" s="326"/>
      <c r="HS88" s="326"/>
      <c r="HT88" s="326"/>
      <c r="HU88" s="326"/>
      <c r="HV88" s="326"/>
      <c r="HW88" s="326"/>
      <c r="HX88" s="326"/>
      <c r="HY88" s="326"/>
      <c r="HZ88" s="326"/>
      <c r="IA88" s="326"/>
      <c r="IB88" s="326"/>
      <c r="IC88" s="326"/>
      <c r="ID88" s="326"/>
      <c r="IE88" s="326"/>
      <c r="IF88" s="326"/>
      <c r="IG88" s="326"/>
      <c r="IH88" s="326"/>
      <c r="II88" s="326"/>
      <c r="IJ88" s="326"/>
      <c r="IK88" s="326"/>
      <c r="IL88" s="326"/>
      <c r="IM88" s="326"/>
      <c r="IN88" s="326"/>
      <c r="IO88" s="326"/>
      <c r="IP88" s="326"/>
      <c r="IQ88" s="326"/>
      <c r="IR88" s="326"/>
      <c r="IS88" s="326"/>
      <c r="IT88" s="326"/>
      <c r="IU88" s="326"/>
      <c r="IV88" s="326"/>
    </row>
    <row r="89" spans="1:256" s="555" customFormat="1" ht="19.5" customHeight="1">
      <c r="A89" s="569">
        <v>80</v>
      </c>
      <c r="B89" s="563"/>
      <c r="C89" s="366"/>
      <c r="D89" s="478" t="s">
        <v>757</v>
      </c>
      <c r="E89" s="335"/>
      <c r="F89" s="1002"/>
      <c r="G89" s="568"/>
      <c r="H89" s="1004"/>
      <c r="I89" s="1002"/>
      <c r="J89" s="1002"/>
      <c r="K89" s="1002"/>
      <c r="L89" s="1002"/>
      <c r="M89" s="1188">
        <v>69400</v>
      </c>
      <c r="N89" s="1002"/>
      <c r="O89" s="1002"/>
      <c r="P89" s="564">
        <f>SUM(I89:O89)</f>
        <v>69400</v>
      </c>
      <c r="Q89" s="1003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6"/>
      <c r="BA89" s="326"/>
      <c r="BB89" s="326"/>
      <c r="BC89" s="326"/>
      <c r="BD89" s="326"/>
      <c r="BE89" s="326"/>
      <c r="BF89" s="326"/>
      <c r="BG89" s="32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6"/>
      <c r="CB89" s="326"/>
      <c r="CC89" s="326"/>
      <c r="CD89" s="326"/>
      <c r="CE89" s="326"/>
      <c r="CF89" s="326"/>
      <c r="CG89" s="326"/>
      <c r="CH89" s="326"/>
      <c r="CI89" s="326"/>
      <c r="CJ89" s="326"/>
      <c r="CK89" s="326"/>
      <c r="CL89" s="326"/>
      <c r="CM89" s="326"/>
      <c r="CN89" s="326"/>
      <c r="CO89" s="326"/>
      <c r="CP89" s="326"/>
      <c r="CQ89" s="326"/>
      <c r="CR89" s="326"/>
      <c r="CS89" s="326"/>
      <c r="CT89" s="326"/>
      <c r="CU89" s="326"/>
      <c r="CV89" s="326"/>
      <c r="CW89" s="326"/>
      <c r="CX89" s="326"/>
      <c r="CY89" s="326"/>
      <c r="CZ89" s="326"/>
      <c r="DA89" s="326"/>
      <c r="DB89" s="326"/>
      <c r="DC89" s="326"/>
      <c r="DD89" s="326"/>
      <c r="DE89" s="326"/>
      <c r="DF89" s="326"/>
      <c r="DG89" s="326"/>
      <c r="DH89" s="326"/>
      <c r="DI89" s="326"/>
      <c r="DJ89" s="326"/>
      <c r="DK89" s="326"/>
      <c r="DL89" s="326"/>
      <c r="DM89" s="326"/>
      <c r="DN89" s="326"/>
      <c r="DO89" s="326"/>
      <c r="DP89" s="326"/>
      <c r="DQ89" s="326"/>
      <c r="DR89" s="326"/>
      <c r="DS89" s="326"/>
      <c r="DT89" s="326"/>
      <c r="DU89" s="326"/>
      <c r="DV89" s="326"/>
      <c r="DW89" s="326"/>
      <c r="DX89" s="326"/>
      <c r="DY89" s="326"/>
      <c r="DZ89" s="326"/>
      <c r="EA89" s="326"/>
      <c r="EB89" s="326"/>
      <c r="EC89" s="326"/>
      <c r="ED89" s="326"/>
      <c r="EE89" s="326"/>
      <c r="EF89" s="326"/>
      <c r="EG89" s="326"/>
      <c r="EH89" s="326"/>
      <c r="EI89" s="326"/>
      <c r="EJ89" s="326"/>
      <c r="EK89" s="326"/>
      <c r="EL89" s="326"/>
      <c r="EM89" s="326"/>
      <c r="EN89" s="326"/>
      <c r="EO89" s="326"/>
      <c r="EP89" s="326"/>
      <c r="EQ89" s="326"/>
      <c r="ER89" s="326"/>
      <c r="ES89" s="326"/>
      <c r="ET89" s="326"/>
      <c r="EU89" s="326"/>
      <c r="EV89" s="326"/>
      <c r="EW89" s="326"/>
      <c r="EX89" s="326"/>
      <c r="EY89" s="326"/>
      <c r="EZ89" s="326"/>
      <c r="FA89" s="326"/>
      <c r="FB89" s="326"/>
      <c r="FC89" s="326"/>
      <c r="FD89" s="326"/>
      <c r="FE89" s="326"/>
      <c r="FF89" s="326"/>
      <c r="FG89" s="326"/>
      <c r="FH89" s="326"/>
      <c r="FI89" s="326"/>
      <c r="FJ89" s="326"/>
      <c r="FK89" s="326"/>
      <c r="FL89" s="326"/>
      <c r="FM89" s="326"/>
      <c r="FN89" s="326"/>
      <c r="FO89" s="326"/>
      <c r="FP89" s="326"/>
      <c r="FQ89" s="326"/>
      <c r="FR89" s="326"/>
      <c r="FS89" s="326"/>
      <c r="FT89" s="326"/>
      <c r="FU89" s="326"/>
      <c r="FV89" s="326"/>
      <c r="FW89" s="326"/>
      <c r="FX89" s="326"/>
      <c r="FY89" s="326"/>
      <c r="FZ89" s="326"/>
      <c r="GA89" s="326"/>
      <c r="GB89" s="326"/>
      <c r="GC89" s="326"/>
      <c r="GD89" s="326"/>
      <c r="GE89" s="326"/>
      <c r="GF89" s="326"/>
      <c r="GG89" s="326"/>
      <c r="GH89" s="326"/>
      <c r="GI89" s="326"/>
      <c r="GJ89" s="326"/>
      <c r="GK89" s="326"/>
      <c r="GL89" s="326"/>
      <c r="GM89" s="326"/>
      <c r="GN89" s="326"/>
      <c r="GO89" s="326"/>
      <c r="GP89" s="326"/>
      <c r="GQ89" s="326"/>
      <c r="GR89" s="326"/>
      <c r="GS89" s="326"/>
      <c r="GT89" s="326"/>
      <c r="GU89" s="326"/>
      <c r="GV89" s="326"/>
      <c r="GW89" s="326"/>
      <c r="GX89" s="326"/>
      <c r="GY89" s="326"/>
      <c r="GZ89" s="326"/>
      <c r="HA89" s="326"/>
      <c r="HB89" s="326"/>
      <c r="HC89" s="326"/>
      <c r="HD89" s="326"/>
      <c r="HE89" s="326"/>
      <c r="HF89" s="326"/>
      <c r="HG89" s="326"/>
      <c r="HH89" s="326"/>
      <c r="HI89" s="326"/>
      <c r="HJ89" s="326"/>
      <c r="HK89" s="326"/>
      <c r="HL89" s="326"/>
      <c r="HM89" s="326"/>
      <c r="HN89" s="326"/>
      <c r="HO89" s="326"/>
      <c r="HP89" s="326"/>
      <c r="HQ89" s="326"/>
      <c r="HR89" s="326"/>
      <c r="HS89" s="326"/>
      <c r="HT89" s="326"/>
      <c r="HU89" s="326"/>
      <c r="HV89" s="326"/>
      <c r="HW89" s="326"/>
      <c r="HX89" s="326"/>
      <c r="HY89" s="326"/>
      <c r="HZ89" s="326"/>
      <c r="IA89" s="326"/>
      <c r="IB89" s="326"/>
      <c r="IC89" s="326"/>
      <c r="ID89" s="326"/>
      <c r="IE89" s="326"/>
      <c r="IF89" s="326"/>
      <c r="IG89" s="326"/>
      <c r="IH89" s="326"/>
      <c r="II89" s="326"/>
      <c r="IJ89" s="326"/>
      <c r="IK89" s="326"/>
      <c r="IL89" s="326"/>
      <c r="IM89" s="326"/>
      <c r="IN89" s="326"/>
      <c r="IO89" s="326"/>
      <c r="IP89" s="326"/>
      <c r="IQ89" s="326"/>
      <c r="IR89" s="326"/>
      <c r="IS89" s="326"/>
      <c r="IT89" s="326"/>
      <c r="IU89" s="326"/>
      <c r="IV89" s="326"/>
    </row>
    <row r="90" spans="1:256" s="555" customFormat="1" ht="19.5" customHeight="1" thickBot="1">
      <c r="A90" s="569">
        <v>81</v>
      </c>
      <c r="B90" s="563"/>
      <c r="C90" s="366"/>
      <c r="D90" s="1090" t="s">
        <v>892</v>
      </c>
      <c r="E90" s="1002"/>
      <c r="F90" s="1002"/>
      <c r="G90" s="568"/>
      <c r="H90" s="1004"/>
      <c r="I90" s="1002"/>
      <c r="J90" s="1002"/>
      <c r="K90" s="1002"/>
      <c r="L90" s="1002"/>
      <c r="M90" s="1186">
        <v>65000</v>
      </c>
      <c r="N90" s="1002"/>
      <c r="O90" s="1002"/>
      <c r="P90" s="1723">
        <f>SUM(I90:O90)</f>
        <v>65000</v>
      </c>
      <c r="Q90" s="1003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6"/>
      <c r="BB90" s="326"/>
      <c r="BC90" s="326"/>
      <c r="BD90" s="326"/>
      <c r="BE90" s="326"/>
      <c r="BF90" s="326"/>
      <c r="BG90" s="326"/>
      <c r="BH90" s="326"/>
      <c r="BI90" s="326"/>
      <c r="BJ90" s="326"/>
      <c r="BK90" s="326"/>
      <c r="BL90" s="326"/>
      <c r="BM90" s="326"/>
      <c r="BN90" s="326"/>
      <c r="BO90" s="326"/>
      <c r="BP90" s="326"/>
      <c r="BQ90" s="326"/>
      <c r="BR90" s="326"/>
      <c r="BS90" s="326"/>
      <c r="BT90" s="326"/>
      <c r="BU90" s="326"/>
      <c r="BV90" s="326"/>
      <c r="BW90" s="326"/>
      <c r="BX90" s="326"/>
      <c r="BY90" s="326"/>
      <c r="BZ90" s="326"/>
      <c r="CA90" s="326"/>
      <c r="CB90" s="326"/>
      <c r="CC90" s="326"/>
      <c r="CD90" s="326"/>
      <c r="CE90" s="326"/>
      <c r="CF90" s="326"/>
      <c r="CG90" s="326"/>
      <c r="CH90" s="326"/>
      <c r="CI90" s="326"/>
      <c r="CJ90" s="326"/>
      <c r="CK90" s="326"/>
      <c r="CL90" s="326"/>
      <c r="CM90" s="326"/>
      <c r="CN90" s="326"/>
      <c r="CO90" s="326"/>
      <c r="CP90" s="326"/>
      <c r="CQ90" s="326"/>
      <c r="CR90" s="326"/>
      <c r="CS90" s="326"/>
      <c r="CT90" s="326"/>
      <c r="CU90" s="326"/>
      <c r="CV90" s="326"/>
      <c r="CW90" s="326"/>
      <c r="CX90" s="326"/>
      <c r="CY90" s="326"/>
      <c r="CZ90" s="326"/>
      <c r="DA90" s="326"/>
      <c r="DB90" s="326"/>
      <c r="DC90" s="326"/>
      <c r="DD90" s="326"/>
      <c r="DE90" s="326"/>
      <c r="DF90" s="326"/>
      <c r="DG90" s="326"/>
      <c r="DH90" s="326"/>
      <c r="DI90" s="326"/>
      <c r="DJ90" s="326"/>
      <c r="DK90" s="326"/>
      <c r="DL90" s="326"/>
      <c r="DM90" s="326"/>
      <c r="DN90" s="326"/>
      <c r="DO90" s="326"/>
      <c r="DP90" s="326"/>
      <c r="DQ90" s="326"/>
      <c r="DR90" s="326"/>
      <c r="DS90" s="326"/>
      <c r="DT90" s="326"/>
      <c r="DU90" s="326"/>
      <c r="DV90" s="326"/>
      <c r="DW90" s="326"/>
      <c r="DX90" s="326"/>
      <c r="DY90" s="326"/>
      <c r="DZ90" s="326"/>
      <c r="EA90" s="326"/>
      <c r="EB90" s="326"/>
      <c r="EC90" s="326"/>
      <c r="ED90" s="326"/>
      <c r="EE90" s="326"/>
      <c r="EF90" s="326"/>
      <c r="EG90" s="326"/>
      <c r="EH90" s="326"/>
      <c r="EI90" s="326"/>
      <c r="EJ90" s="326"/>
      <c r="EK90" s="326"/>
      <c r="EL90" s="326"/>
      <c r="EM90" s="326"/>
      <c r="EN90" s="326"/>
      <c r="EO90" s="326"/>
      <c r="EP90" s="326"/>
      <c r="EQ90" s="326"/>
      <c r="ER90" s="326"/>
      <c r="ES90" s="326"/>
      <c r="ET90" s="326"/>
      <c r="EU90" s="326"/>
      <c r="EV90" s="326"/>
      <c r="EW90" s="326"/>
      <c r="EX90" s="326"/>
      <c r="EY90" s="326"/>
      <c r="EZ90" s="326"/>
      <c r="FA90" s="326"/>
      <c r="FB90" s="326"/>
      <c r="FC90" s="326"/>
      <c r="FD90" s="326"/>
      <c r="FE90" s="326"/>
      <c r="FF90" s="326"/>
      <c r="FG90" s="326"/>
      <c r="FH90" s="326"/>
      <c r="FI90" s="326"/>
      <c r="FJ90" s="326"/>
      <c r="FK90" s="326"/>
      <c r="FL90" s="326"/>
      <c r="FM90" s="326"/>
      <c r="FN90" s="326"/>
      <c r="FO90" s="326"/>
      <c r="FP90" s="326"/>
      <c r="FQ90" s="326"/>
      <c r="FR90" s="326"/>
      <c r="FS90" s="326"/>
      <c r="FT90" s="326"/>
      <c r="FU90" s="326"/>
      <c r="FV90" s="326"/>
      <c r="FW90" s="326"/>
      <c r="FX90" s="326"/>
      <c r="FY90" s="326"/>
      <c r="FZ90" s="326"/>
      <c r="GA90" s="326"/>
      <c r="GB90" s="326"/>
      <c r="GC90" s="326"/>
      <c r="GD90" s="326"/>
      <c r="GE90" s="326"/>
      <c r="GF90" s="326"/>
      <c r="GG90" s="326"/>
      <c r="GH90" s="326"/>
      <c r="GI90" s="326"/>
      <c r="GJ90" s="326"/>
      <c r="GK90" s="326"/>
      <c r="GL90" s="326"/>
      <c r="GM90" s="326"/>
      <c r="GN90" s="326"/>
      <c r="GO90" s="326"/>
      <c r="GP90" s="326"/>
      <c r="GQ90" s="326"/>
      <c r="GR90" s="326"/>
      <c r="GS90" s="326"/>
      <c r="GT90" s="326"/>
      <c r="GU90" s="326"/>
      <c r="GV90" s="326"/>
      <c r="GW90" s="326"/>
      <c r="GX90" s="326"/>
      <c r="GY90" s="326"/>
      <c r="GZ90" s="326"/>
      <c r="HA90" s="326"/>
      <c r="HB90" s="326"/>
      <c r="HC90" s="326"/>
      <c r="HD90" s="326"/>
      <c r="HE90" s="326"/>
      <c r="HF90" s="326"/>
      <c r="HG90" s="326"/>
      <c r="HH90" s="326"/>
      <c r="HI90" s="326"/>
      <c r="HJ90" s="326"/>
      <c r="HK90" s="326"/>
      <c r="HL90" s="326"/>
      <c r="HM90" s="326"/>
      <c r="HN90" s="326"/>
      <c r="HO90" s="326"/>
      <c r="HP90" s="326"/>
      <c r="HQ90" s="326"/>
      <c r="HR90" s="326"/>
      <c r="HS90" s="326"/>
      <c r="HT90" s="326"/>
      <c r="HU90" s="326"/>
      <c r="HV90" s="326"/>
      <c r="HW90" s="326"/>
      <c r="HX90" s="326"/>
      <c r="HY90" s="326"/>
      <c r="HZ90" s="326"/>
      <c r="IA90" s="326"/>
      <c r="IB90" s="326"/>
      <c r="IC90" s="326"/>
      <c r="ID90" s="326"/>
      <c r="IE90" s="326"/>
      <c r="IF90" s="326"/>
      <c r="IG90" s="326"/>
      <c r="IH90" s="326"/>
      <c r="II90" s="326"/>
      <c r="IJ90" s="326"/>
      <c r="IK90" s="326"/>
      <c r="IL90" s="326"/>
      <c r="IM90" s="326"/>
      <c r="IN90" s="326"/>
      <c r="IO90" s="326"/>
      <c r="IP90" s="326"/>
      <c r="IQ90" s="326"/>
      <c r="IR90" s="326"/>
      <c r="IS90" s="326"/>
      <c r="IT90" s="326"/>
      <c r="IU90" s="326"/>
      <c r="IV90" s="326"/>
    </row>
    <row r="91" spans="1:256" s="555" customFormat="1" ht="24.75" customHeight="1" thickTop="1">
      <c r="A91" s="569">
        <v>82</v>
      </c>
      <c r="B91" s="563"/>
      <c r="C91" s="1202"/>
      <c r="D91" s="1343" t="s">
        <v>649</v>
      </c>
      <c r="E91" s="1212">
        <f>E88+E82+E78+E85</f>
        <v>1339001</v>
      </c>
      <c r="F91" s="1212">
        <f>F88+F82+F78</f>
        <v>0</v>
      </c>
      <c r="G91" s="1326">
        <f>G88+G82+G78</f>
        <v>0</v>
      </c>
      <c r="H91" s="1225"/>
      <c r="I91" s="1212"/>
      <c r="J91" s="1212"/>
      <c r="K91" s="1212"/>
      <c r="L91" s="1212"/>
      <c r="M91" s="1212"/>
      <c r="N91" s="1212"/>
      <c r="O91" s="1212"/>
      <c r="P91" s="1224"/>
      <c r="Q91" s="12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  <c r="BC91" s="326"/>
      <c r="BD91" s="326"/>
      <c r="BE91" s="326"/>
      <c r="BF91" s="326"/>
      <c r="BG91" s="326"/>
      <c r="BH91" s="326"/>
      <c r="BI91" s="326"/>
      <c r="BJ91" s="326"/>
      <c r="BK91" s="326"/>
      <c r="BL91" s="326"/>
      <c r="BM91" s="326"/>
      <c r="BN91" s="326"/>
      <c r="BO91" s="326"/>
      <c r="BP91" s="326"/>
      <c r="BQ91" s="326"/>
      <c r="BR91" s="326"/>
      <c r="BS91" s="326"/>
      <c r="BT91" s="326"/>
      <c r="BU91" s="326"/>
      <c r="BV91" s="326"/>
      <c r="BW91" s="326"/>
      <c r="BX91" s="326"/>
      <c r="BY91" s="326"/>
      <c r="BZ91" s="326"/>
      <c r="CA91" s="326"/>
      <c r="CB91" s="326"/>
      <c r="CC91" s="326"/>
      <c r="CD91" s="326"/>
      <c r="CE91" s="326"/>
      <c r="CF91" s="326"/>
      <c r="CG91" s="326"/>
      <c r="CH91" s="326"/>
      <c r="CI91" s="326"/>
      <c r="CJ91" s="326"/>
      <c r="CK91" s="326"/>
      <c r="CL91" s="326"/>
      <c r="CM91" s="326"/>
      <c r="CN91" s="326"/>
      <c r="CO91" s="326"/>
      <c r="CP91" s="326"/>
      <c r="CQ91" s="326"/>
      <c r="CR91" s="326"/>
      <c r="CS91" s="326"/>
      <c r="CT91" s="326"/>
      <c r="CU91" s="326"/>
      <c r="CV91" s="326"/>
      <c r="CW91" s="326"/>
      <c r="CX91" s="326"/>
      <c r="CY91" s="326"/>
      <c r="CZ91" s="326"/>
      <c r="DA91" s="326"/>
      <c r="DB91" s="326"/>
      <c r="DC91" s="326"/>
      <c r="DD91" s="326"/>
      <c r="DE91" s="326"/>
      <c r="DF91" s="326"/>
      <c r="DG91" s="326"/>
      <c r="DH91" s="326"/>
      <c r="DI91" s="326"/>
      <c r="DJ91" s="326"/>
      <c r="DK91" s="326"/>
      <c r="DL91" s="326"/>
      <c r="DM91" s="326"/>
      <c r="DN91" s="326"/>
      <c r="DO91" s="326"/>
      <c r="DP91" s="326"/>
      <c r="DQ91" s="326"/>
      <c r="DR91" s="326"/>
      <c r="DS91" s="326"/>
      <c r="DT91" s="326"/>
      <c r="DU91" s="326"/>
      <c r="DV91" s="326"/>
      <c r="DW91" s="326"/>
      <c r="DX91" s="326"/>
      <c r="DY91" s="326"/>
      <c r="DZ91" s="326"/>
      <c r="EA91" s="326"/>
      <c r="EB91" s="326"/>
      <c r="EC91" s="326"/>
      <c r="ED91" s="326"/>
      <c r="EE91" s="326"/>
      <c r="EF91" s="326"/>
      <c r="EG91" s="326"/>
      <c r="EH91" s="326"/>
      <c r="EI91" s="326"/>
      <c r="EJ91" s="326"/>
      <c r="EK91" s="326"/>
      <c r="EL91" s="326"/>
      <c r="EM91" s="326"/>
      <c r="EN91" s="326"/>
      <c r="EO91" s="326"/>
      <c r="EP91" s="326"/>
      <c r="EQ91" s="326"/>
      <c r="ER91" s="326"/>
      <c r="ES91" s="326"/>
      <c r="ET91" s="326"/>
      <c r="EU91" s="326"/>
      <c r="EV91" s="326"/>
      <c r="EW91" s="326"/>
      <c r="EX91" s="326"/>
      <c r="EY91" s="326"/>
      <c r="EZ91" s="326"/>
      <c r="FA91" s="326"/>
      <c r="FB91" s="326"/>
      <c r="FC91" s="326"/>
      <c r="FD91" s="326"/>
      <c r="FE91" s="326"/>
      <c r="FF91" s="326"/>
      <c r="FG91" s="326"/>
      <c r="FH91" s="326"/>
      <c r="FI91" s="326"/>
      <c r="FJ91" s="326"/>
      <c r="FK91" s="326"/>
      <c r="FL91" s="326"/>
      <c r="FM91" s="326"/>
      <c r="FN91" s="326"/>
      <c r="FO91" s="326"/>
      <c r="FP91" s="326"/>
      <c r="FQ91" s="326"/>
      <c r="FR91" s="326"/>
      <c r="FS91" s="326"/>
      <c r="FT91" s="326"/>
      <c r="FU91" s="326"/>
      <c r="FV91" s="326"/>
      <c r="FW91" s="326"/>
      <c r="FX91" s="326"/>
      <c r="FY91" s="326"/>
      <c r="FZ91" s="326"/>
      <c r="GA91" s="326"/>
      <c r="GB91" s="326"/>
      <c r="GC91" s="326"/>
      <c r="GD91" s="326"/>
      <c r="GE91" s="326"/>
      <c r="GF91" s="326"/>
      <c r="GG91" s="326"/>
      <c r="GH91" s="326"/>
      <c r="GI91" s="326"/>
      <c r="GJ91" s="326"/>
      <c r="GK91" s="326"/>
      <c r="GL91" s="326"/>
      <c r="GM91" s="326"/>
      <c r="GN91" s="326"/>
      <c r="GO91" s="326"/>
      <c r="GP91" s="326"/>
      <c r="GQ91" s="326"/>
      <c r="GR91" s="326"/>
      <c r="GS91" s="326"/>
      <c r="GT91" s="326"/>
      <c r="GU91" s="326"/>
      <c r="GV91" s="326"/>
      <c r="GW91" s="326"/>
      <c r="GX91" s="326"/>
      <c r="GY91" s="326"/>
      <c r="GZ91" s="326"/>
      <c r="HA91" s="326"/>
      <c r="HB91" s="326"/>
      <c r="HC91" s="326"/>
      <c r="HD91" s="326"/>
      <c r="HE91" s="326"/>
      <c r="HF91" s="326"/>
      <c r="HG91" s="326"/>
      <c r="HH91" s="326"/>
      <c r="HI91" s="326"/>
      <c r="HJ91" s="326"/>
      <c r="HK91" s="326"/>
      <c r="HL91" s="326"/>
      <c r="HM91" s="326"/>
      <c r="HN91" s="326"/>
      <c r="HO91" s="326"/>
      <c r="HP91" s="326"/>
      <c r="HQ91" s="326"/>
      <c r="HR91" s="326"/>
      <c r="HS91" s="326"/>
      <c r="HT91" s="326"/>
      <c r="HU91" s="326"/>
      <c r="HV91" s="326"/>
      <c r="HW91" s="326"/>
      <c r="HX91" s="326"/>
      <c r="HY91" s="326"/>
      <c r="HZ91" s="326"/>
      <c r="IA91" s="326"/>
      <c r="IB91" s="326"/>
      <c r="IC91" s="326"/>
      <c r="ID91" s="326"/>
      <c r="IE91" s="326"/>
      <c r="IF91" s="326"/>
      <c r="IG91" s="326"/>
      <c r="IH91" s="326"/>
      <c r="II91" s="326"/>
      <c r="IJ91" s="326"/>
      <c r="IK91" s="326"/>
      <c r="IL91" s="326"/>
      <c r="IM91" s="326"/>
      <c r="IN91" s="326"/>
      <c r="IO91" s="326"/>
      <c r="IP91" s="326"/>
      <c r="IQ91" s="326"/>
      <c r="IR91" s="326"/>
      <c r="IS91" s="326"/>
      <c r="IT91" s="326"/>
      <c r="IU91" s="326"/>
      <c r="IV91" s="326"/>
    </row>
    <row r="92" spans="1:256" s="555" customFormat="1" ht="19.5" customHeight="1">
      <c r="A92" s="569">
        <v>83</v>
      </c>
      <c r="B92" s="563"/>
      <c r="C92" s="366"/>
      <c r="D92" s="814" t="s">
        <v>283</v>
      </c>
      <c r="E92" s="1002"/>
      <c r="F92" s="1002"/>
      <c r="G92" s="568"/>
      <c r="H92" s="1004"/>
      <c r="I92" s="755">
        <f aca="true" t="shared" si="8" ref="I92:P92">I82+I78</f>
        <v>0</v>
      </c>
      <c r="J92" s="755">
        <f t="shared" si="8"/>
        <v>0</v>
      </c>
      <c r="K92" s="755">
        <f t="shared" si="8"/>
        <v>0</v>
      </c>
      <c r="L92" s="755">
        <f t="shared" si="8"/>
        <v>0</v>
      </c>
      <c r="M92" s="755">
        <f t="shared" si="8"/>
        <v>1025025</v>
      </c>
      <c r="N92" s="755">
        <f t="shared" si="8"/>
        <v>0</v>
      </c>
      <c r="O92" s="755">
        <f t="shared" si="8"/>
        <v>0</v>
      </c>
      <c r="P92" s="783">
        <f t="shared" si="8"/>
        <v>1025025</v>
      </c>
      <c r="Q92" s="1003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  <c r="BC92" s="326"/>
      <c r="BD92" s="326"/>
      <c r="BE92" s="326"/>
      <c r="BF92" s="326"/>
      <c r="BG92" s="326"/>
      <c r="BH92" s="326"/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6"/>
      <c r="CC92" s="326"/>
      <c r="CD92" s="326"/>
      <c r="CE92" s="326"/>
      <c r="CF92" s="326"/>
      <c r="CG92" s="326"/>
      <c r="CH92" s="326"/>
      <c r="CI92" s="326"/>
      <c r="CJ92" s="326"/>
      <c r="CK92" s="326"/>
      <c r="CL92" s="326"/>
      <c r="CM92" s="326"/>
      <c r="CN92" s="326"/>
      <c r="CO92" s="326"/>
      <c r="CP92" s="326"/>
      <c r="CQ92" s="326"/>
      <c r="CR92" s="326"/>
      <c r="CS92" s="326"/>
      <c r="CT92" s="326"/>
      <c r="CU92" s="326"/>
      <c r="CV92" s="326"/>
      <c r="CW92" s="326"/>
      <c r="CX92" s="326"/>
      <c r="CY92" s="326"/>
      <c r="CZ92" s="326"/>
      <c r="DA92" s="326"/>
      <c r="DB92" s="326"/>
      <c r="DC92" s="326"/>
      <c r="DD92" s="326"/>
      <c r="DE92" s="326"/>
      <c r="DF92" s="326"/>
      <c r="DG92" s="326"/>
      <c r="DH92" s="326"/>
      <c r="DI92" s="326"/>
      <c r="DJ92" s="326"/>
      <c r="DK92" s="326"/>
      <c r="DL92" s="326"/>
      <c r="DM92" s="326"/>
      <c r="DN92" s="326"/>
      <c r="DO92" s="326"/>
      <c r="DP92" s="326"/>
      <c r="DQ92" s="326"/>
      <c r="DR92" s="326"/>
      <c r="DS92" s="326"/>
      <c r="DT92" s="326"/>
      <c r="DU92" s="326"/>
      <c r="DV92" s="326"/>
      <c r="DW92" s="326"/>
      <c r="DX92" s="326"/>
      <c r="DY92" s="326"/>
      <c r="DZ92" s="326"/>
      <c r="EA92" s="326"/>
      <c r="EB92" s="326"/>
      <c r="EC92" s="326"/>
      <c r="ED92" s="326"/>
      <c r="EE92" s="326"/>
      <c r="EF92" s="326"/>
      <c r="EG92" s="326"/>
      <c r="EH92" s="326"/>
      <c r="EI92" s="326"/>
      <c r="EJ92" s="326"/>
      <c r="EK92" s="326"/>
      <c r="EL92" s="326"/>
      <c r="EM92" s="326"/>
      <c r="EN92" s="326"/>
      <c r="EO92" s="326"/>
      <c r="EP92" s="326"/>
      <c r="EQ92" s="326"/>
      <c r="ER92" s="326"/>
      <c r="ES92" s="326"/>
      <c r="ET92" s="326"/>
      <c r="EU92" s="326"/>
      <c r="EV92" s="326"/>
      <c r="EW92" s="326"/>
      <c r="EX92" s="326"/>
      <c r="EY92" s="326"/>
      <c r="EZ92" s="326"/>
      <c r="FA92" s="326"/>
      <c r="FB92" s="326"/>
      <c r="FC92" s="326"/>
      <c r="FD92" s="326"/>
      <c r="FE92" s="326"/>
      <c r="FF92" s="326"/>
      <c r="FG92" s="326"/>
      <c r="FH92" s="326"/>
      <c r="FI92" s="326"/>
      <c r="FJ92" s="326"/>
      <c r="FK92" s="326"/>
      <c r="FL92" s="326"/>
      <c r="FM92" s="326"/>
      <c r="FN92" s="326"/>
      <c r="FO92" s="326"/>
      <c r="FP92" s="326"/>
      <c r="FQ92" s="326"/>
      <c r="FR92" s="326"/>
      <c r="FS92" s="326"/>
      <c r="FT92" s="326"/>
      <c r="FU92" s="326"/>
      <c r="FV92" s="326"/>
      <c r="FW92" s="326"/>
      <c r="FX92" s="326"/>
      <c r="FY92" s="326"/>
      <c r="FZ92" s="326"/>
      <c r="GA92" s="326"/>
      <c r="GB92" s="326"/>
      <c r="GC92" s="326"/>
      <c r="GD92" s="326"/>
      <c r="GE92" s="326"/>
      <c r="GF92" s="326"/>
      <c r="GG92" s="326"/>
      <c r="GH92" s="326"/>
      <c r="GI92" s="326"/>
      <c r="GJ92" s="326"/>
      <c r="GK92" s="326"/>
      <c r="GL92" s="326"/>
      <c r="GM92" s="326"/>
      <c r="GN92" s="326"/>
      <c r="GO92" s="326"/>
      <c r="GP92" s="326"/>
      <c r="GQ92" s="326"/>
      <c r="GR92" s="326"/>
      <c r="GS92" s="326"/>
      <c r="GT92" s="326"/>
      <c r="GU92" s="326"/>
      <c r="GV92" s="326"/>
      <c r="GW92" s="326"/>
      <c r="GX92" s="326"/>
      <c r="GY92" s="326"/>
      <c r="GZ92" s="326"/>
      <c r="HA92" s="326"/>
      <c r="HB92" s="326"/>
      <c r="HC92" s="326"/>
      <c r="HD92" s="326"/>
      <c r="HE92" s="326"/>
      <c r="HF92" s="326"/>
      <c r="HG92" s="326"/>
      <c r="HH92" s="326"/>
      <c r="HI92" s="326"/>
      <c r="HJ92" s="326"/>
      <c r="HK92" s="326"/>
      <c r="HL92" s="326"/>
      <c r="HM92" s="326"/>
      <c r="HN92" s="326"/>
      <c r="HO92" s="326"/>
      <c r="HP92" s="326"/>
      <c r="HQ92" s="326"/>
      <c r="HR92" s="326"/>
      <c r="HS92" s="326"/>
      <c r="HT92" s="326"/>
      <c r="HU92" s="326"/>
      <c r="HV92" s="326"/>
      <c r="HW92" s="326"/>
      <c r="HX92" s="326"/>
      <c r="HY92" s="326"/>
      <c r="HZ92" s="326"/>
      <c r="IA92" s="326"/>
      <c r="IB92" s="326"/>
      <c r="IC92" s="326"/>
      <c r="ID92" s="326"/>
      <c r="IE92" s="326"/>
      <c r="IF92" s="326"/>
      <c r="IG92" s="326"/>
      <c r="IH92" s="326"/>
      <c r="II92" s="326"/>
      <c r="IJ92" s="326"/>
      <c r="IK92" s="326"/>
      <c r="IL92" s="326"/>
      <c r="IM92" s="326"/>
      <c r="IN92" s="326"/>
      <c r="IO92" s="326"/>
      <c r="IP92" s="326"/>
      <c r="IQ92" s="326"/>
      <c r="IR92" s="326"/>
      <c r="IS92" s="326"/>
      <c r="IT92" s="326"/>
      <c r="IU92" s="326"/>
      <c r="IV92" s="326"/>
    </row>
    <row r="93" spans="1:256" s="555" customFormat="1" ht="19.5" customHeight="1">
      <c r="A93" s="569">
        <v>84</v>
      </c>
      <c r="B93" s="563"/>
      <c r="C93" s="366"/>
      <c r="D93" s="478" t="s">
        <v>757</v>
      </c>
      <c r="E93" s="1002"/>
      <c r="F93" s="1002"/>
      <c r="G93" s="568"/>
      <c r="H93" s="1004"/>
      <c r="I93" s="1002">
        <f aca="true" t="shared" si="9" ref="I93:P93">I83+I79+I86+I89</f>
        <v>0</v>
      </c>
      <c r="J93" s="1002">
        <f t="shared" si="9"/>
        <v>0</v>
      </c>
      <c r="K93" s="1002">
        <f t="shared" si="9"/>
        <v>12573</v>
      </c>
      <c r="L93" s="1002">
        <f t="shared" si="9"/>
        <v>0</v>
      </c>
      <c r="M93" s="1002">
        <f t="shared" si="9"/>
        <v>1326428</v>
      </c>
      <c r="N93" s="1002">
        <f t="shared" si="9"/>
        <v>0</v>
      </c>
      <c r="O93" s="1002">
        <f t="shared" si="9"/>
        <v>0</v>
      </c>
      <c r="P93" s="568">
        <f t="shared" si="9"/>
        <v>1339001</v>
      </c>
      <c r="Q93" s="1003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6"/>
      <c r="CB93" s="326"/>
      <c r="CC93" s="326"/>
      <c r="CD93" s="326"/>
      <c r="CE93" s="326"/>
      <c r="CF93" s="326"/>
      <c r="CG93" s="326"/>
      <c r="CH93" s="326"/>
      <c r="CI93" s="326"/>
      <c r="CJ93" s="326"/>
      <c r="CK93" s="326"/>
      <c r="CL93" s="326"/>
      <c r="CM93" s="326"/>
      <c r="CN93" s="326"/>
      <c r="CO93" s="326"/>
      <c r="CP93" s="326"/>
      <c r="CQ93" s="326"/>
      <c r="CR93" s="326"/>
      <c r="CS93" s="326"/>
      <c r="CT93" s="326"/>
      <c r="CU93" s="326"/>
      <c r="CV93" s="326"/>
      <c r="CW93" s="326"/>
      <c r="CX93" s="326"/>
      <c r="CY93" s="326"/>
      <c r="CZ93" s="326"/>
      <c r="DA93" s="326"/>
      <c r="DB93" s="326"/>
      <c r="DC93" s="326"/>
      <c r="DD93" s="326"/>
      <c r="DE93" s="326"/>
      <c r="DF93" s="326"/>
      <c r="DG93" s="326"/>
      <c r="DH93" s="326"/>
      <c r="DI93" s="326"/>
      <c r="DJ93" s="326"/>
      <c r="DK93" s="326"/>
      <c r="DL93" s="326"/>
      <c r="DM93" s="326"/>
      <c r="DN93" s="326"/>
      <c r="DO93" s="326"/>
      <c r="DP93" s="326"/>
      <c r="DQ93" s="326"/>
      <c r="DR93" s="326"/>
      <c r="DS93" s="326"/>
      <c r="DT93" s="326"/>
      <c r="DU93" s="326"/>
      <c r="DV93" s="326"/>
      <c r="DW93" s="326"/>
      <c r="DX93" s="326"/>
      <c r="DY93" s="326"/>
      <c r="DZ93" s="326"/>
      <c r="EA93" s="326"/>
      <c r="EB93" s="326"/>
      <c r="EC93" s="326"/>
      <c r="ED93" s="326"/>
      <c r="EE93" s="326"/>
      <c r="EF93" s="326"/>
      <c r="EG93" s="326"/>
      <c r="EH93" s="326"/>
      <c r="EI93" s="326"/>
      <c r="EJ93" s="326"/>
      <c r="EK93" s="326"/>
      <c r="EL93" s="326"/>
      <c r="EM93" s="326"/>
      <c r="EN93" s="326"/>
      <c r="EO93" s="326"/>
      <c r="EP93" s="326"/>
      <c r="EQ93" s="326"/>
      <c r="ER93" s="326"/>
      <c r="ES93" s="326"/>
      <c r="ET93" s="326"/>
      <c r="EU93" s="326"/>
      <c r="EV93" s="326"/>
      <c r="EW93" s="326"/>
      <c r="EX93" s="326"/>
      <c r="EY93" s="326"/>
      <c r="EZ93" s="326"/>
      <c r="FA93" s="326"/>
      <c r="FB93" s="326"/>
      <c r="FC93" s="326"/>
      <c r="FD93" s="326"/>
      <c r="FE93" s="326"/>
      <c r="FF93" s="326"/>
      <c r="FG93" s="326"/>
      <c r="FH93" s="326"/>
      <c r="FI93" s="326"/>
      <c r="FJ93" s="326"/>
      <c r="FK93" s="326"/>
      <c r="FL93" s="326"/>
      <c r="FM93" s="326"/>
      <c r="FN93" s="326"/>
      <c r="FO93" s="326"/>
      <c r="FP93" s="326"/>
      <c r="FQ93" s="326"/>
      <c r="FR93" s="326"/>
      <c r="FS93" s="326"/>
      <c r="FT93" s="326"/>
      <c r="FU93" s="326"/>
      <c r="FV93" s="326"/>
      <c r="FW93" s="326"/>
      <c r="FX93" s="326"/>
      <c r="FY93" s="326"/>
      <c r="FZ93" s="326"/>
      <c r="GA93" s="326"/>
      <c r="GB93" s="326"/>
      <c r="GC93" s="326"/>
      <c r="GD93" s="326"/>
      <c r="GE93" s="326"/>
      <c r="GF93" s="326"/>
      <c r="GG93" s="326"/>
      <c r="GH93" s="326"/>
      <c r="GI93" s="326"/>
      <c r="GJ93" s="326"/>
      <c r="GK93" s="326"/>
      <c r="GL93" s="326"/>
      <c r="GM93" s="326"/>
      <c r="GN93" s="326"/>
      <c r="GO93" s="326"/>
      <c r="GP93" s="326"/>
      <c r="GQ93" s="326"/>
      <c r="GR93" s="326"/>
      <c r="GS93" s="326"/>
      <c r="GT93" s="326"/>
      <c r="GU93" s="326"/>
      <c r="GV93" s="326"/>
      <c r="GW93" s="326"/>
      <c r="GX93" s="326"/>
      <c r="GY93" s="326"/>
      <c r="GZ93" s="326"/>
      <c r="HA93" s="326"/>
      <c r="HB93" s="326"/>
      <c r="HC93" s="326"/>
      <c r="HD93" s="326"/>
      <c r="HE93" s="326"/>
      <c r="HF93" s="326"/>
      <c r="HG93" s="326"/>
      <c r="HH93" s="326"/>
      <c r="HI93" s="326"/>
      <c r="HJ93" s="326"/>
      <c r="HK93" s="326"/>
      <c r="HL93" s="326"/>
      <c r="HM93" s="326"/>
      <c r="HN93" s="326"/>
      <c r="HO93" s="326"/>
      <c r="HP93" s="326"/>
      <c r="HQ93" s="326"/>
      <c r="HR93" s="326"/>
      <c r="HS93" s="326"/>
      <c r="HT93" s="326"/>
      <c r="HU93" s="326"/>
      <c r="HV93" s="326"/>
      <c r="HW93" s="326"/>
      <c r="HX93" s="326"/>
      <c r="HY93" s="326"/>
      <c r="HZ93" s="326"/>
      <c r="IA93" s="326"/>
      <c r="IB93" s="326"/>
      <c r="IC93" s="326"/>
      <c r="ID93" s="326"/>
      <c r="IE93" s="326"/>
      <c r="IF93" s="326"/>
      <c r="IG93" s="326"/>
      <c r="IH93" s="326"/>
      <c r="II93" s="326"/>
      <c r="IJ93" s="326"/>
      <c r="IK93" s="326"/>
      <c r="IL93" s="326"/>
      <c r="IM93" s="326"/>
      <c r="IN93" s="326"/>
      <c r="IO93" s="326"/>
      <c r="IP93" s="326"/>
      <c r="IQ93" s="326"/>
      <c r="IR93" s="326"/>
      <c r="IS93" s="326"/>
      <c r="IT93" s="326"/>
      <c r="IU93" s="326"/>
      <c r="IV93" s="326"/>
    </row>
    <row r="94" spans="1:256" s="555" customFormat="1" ht="19.5" customHeight="1" thickBot="1">
      <c r="A94" s="569">
        <v>85</v>
      </c>
      <c r="B94" s="563"/>
      <c r="C94" s="1207"/>
      <c r="D94" s="1595" t="s">
        <v>893</v>
      </c>
      <c r="E94" s="1208"/>
      <c r="F94" s="1208"/>
      <c r="G94" s="1223"/>
      <c r="H94" s="1216"/>
      <c r="I94" s="1733">
        <f aca="true" t="shared" si="10" ref="I94:P94">I90+I84+I80+I87</f>
        <v>0</v>
      </c>
      <c r="J94" s="1733">
        <f t="shared" si="10"/>
        <v>0</v>
      </c>
      <c r="K94" s="1733">
        <f t="shared" si="10"/>
        <v>0</v>
      </c>
      <c r="L94" s="1733">
        <f t="shared" si="10"/>
        <v>0</v>
      </c>
      <c r="M94" s="1733">
        <f t="shared" si="10"/>
        <v>1207801</v>
      </c>
      <c r="N94" s="1733">
        <f t="shared" si="10"/>
        <v>0</v>
      </c>
      <c r="O94" s="1733">
        <f t="shared" si="10"/>
        <v>0</v>
      </c>
      <c r="P94" s="1734">
        <f t="shared" si="10"/>
        <v>1207801</v>
      </c>
      <c r="Q94" s="1217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  <c r="AY94" s="326"/>
      <c r="AZ94" s="326"/>
      <c r="BA94" s="326"/>
      <c r="BB94" s="326"/>
      <c r="BC94" s="326"/>
      <c r="BD94" s="326"/>
      <c r="BE94" s="326"/>
      <c r="BF94" s="326"/>
      <c r="BG94" s="326"/>
      <c r="BH94" s="326"/>
      <c r="BI94" s="326"/>
      <c r="BJ94" s="326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  <c r="BV94" s="326"/>
      <c r="BW94" s="326"/>
      <c r="BX94" s="326"/>
      <c r="BY94" s="326"/>
      <c r="BZ94" s="326"/>
      <c r="CA94" s="326"/>
      <c r="CB94" s="326"/>
      <c r="CC94" s="326"/>
      <c r="CD94" s="326"/>
      <c r="CE94" s="326"/>
      <c r="CF94" s="326"/>
      <c r="CG94" s="326"/>
      <c r="CH94" s="326"/>
      <c r="CI94" s="326"/>
      <c r="CJ94" s="326"/>
      <c r="CK94" s="326"/>
      <c r="CL94" s="326"/>
      <c r="CM94" s="326"/>
      <c r="CN94" s="326"/>
      <c r="CO94" s="326"/>
      <c r="CP94" s="326"/>
      <c r="CQ94" s="326"/>
      <c r="CR94" s="326"/>
      <c r="CS94" s="326"/>
      <c r="CT94" s="326"/>
      <c r="CU94" s="326"/>
      <c r="CV94" s="326"/>
      <c r="CW94" s="326"/>
      <c r="CX94" s="326"/>
      <c r="CY94" s="326"/>
      <c r="CZ94" s="326"/>
      <c r="DA94" s="326"/>
      <c r="DB94" s="326"/>
      <c r="DC94" s="326"/>
      <c r="DD94" s="326"/>
      <c r="DE94" s="326"/>
      <c r="DF94" s="326"/>
      <c r="DG94" s="326"/>
      <c r="DH94" s="326"/>
      <c r="DI94" s="326"/>
      <c r="DJ94" s="326"/>
      <c r="DK94" s="326"/>
      <c r="DL94" s="326"/>
      <c r="DM94" s="326"/>
      <c r="DN94" s="326"/>
      <c r="DO94" s="326"/>
      <c r="DP94" s="326"/>
      <c r="DQ94" s="326"/>
      <c r="DR94" s="326"/>
      <c r="DS94" s="326"/>
      <c r="DT94" s="326"/>
      <c r="DU94" s="326"/>
      <c r="DV94" s="326"/>
      <c r="DW94" s="326"/>
      <c r="DX94" s="326"/>
      <c r="DY94" s="326"/>
      <c r="DZ94" s="326"/>
      <c r="EA94" s="326"/>
      <c r="EB94" s="326"/>
      <c r="EC94" s="326"/>
      <c r="ED94" s="326"/>
      <c r="EE94" s="326"/>
      <c r="EF94" s="326"/>
      <c r="EG94" s="326"/>
      <c r="EH94" s="326"/>
      <c r="EI94" s="326"/>
      <c r="EJ94" s="326"/>
      <c r="EK94" s="326"/>
      <c r="EL94" s="326"/>
      <c r="EM94" s="326"/>
      <c r="EN94" s="326"/>
      <c r="EO94" s="326"/>
      <c r="EP94" s="326"/>
      <c r="EQ94" s="326"/>
      <c r="ER94" s="326"/>
      <c r="ES94" s="326"/>
      <c r="ET94" s="326"/>
      <c r="EU94" s="326"/>
      <c r="EV94" s="326"/>
      <c r="EW94" s="326"/>
      <c r="EX94" s="326"/>
      <c r="EY94" s="326"/>
      <c r="EZ94" s="326"/>
      <c r="FA94" s="326"/>
      <c r="FB94" s="326"/>
      <c r="FC94" s="326"/>
      <c r="FD94" s="326"/>
      <c r="FE94" s="326"/>
      <c r="FF94" s="326"/>
      <c r="FG94" s="326"/>
      <c r="FH94" s="326"/>
      <c r="FI94" s="326"/>
      <c r="FJ94" s="326"/>
      <c r="FK94" s="326"/>
      <c r="FL94" s="326"/>
      <c r="FM94" s="326"/>
      <c r="FN94" s="326"/>
      <c r="FO94" s="326"/>
      <c r="FP94" s="326"/>
      <c r="FQ94" s="326"/>
      <c r="FR94" s="326"/>
      <c r="FS94" s="326"/>
      <c r="FT94" s="326"/>
      <c r="FU94" s="326"/>
      <c r="FV94" s="326"/>
      <c r="FW94" s="326"/>
      <c r="FX94" s="326"/>
      <c r="FY94" s="326"/>
      <c r="FZ94" s="326"/>
      <c r="GA94" s="326"/>
      <c r="GB94" s="326"/>
      <c r="GC94" s="326"/>
      <c r="GD94" s="326"/>
      <c r="GE94" s="326"/>
      <c r="GF94" s="326"/>
      <c r="GG94" s="326"/>
      <c r="GH94" s="326"/>
      <c r="GI94" s="326"/>
      <c r="GJ94" s="326"/>
      <c r="GK94" s="326"/>
      <c r="GL94" s="326"/>
      <c r="GM94" s="326"/>
      <c r="GN94" s="326"/>
      <c r="GO94" s="326"/>
      <c r="GP94" s="326"/>
      <c r="GQ94" s="326"/>
      <c r="GR94" s="326"/>
      <c r="GS94" s="326"/>
      <c r="GT94" s="326"/>
      <c r="GU94" s="326"/>
      <c r="GV94" s="326"/>
      <c r="GW94" s="326"/>
      <c r="GX94" s="326"/>
      <c r="GY94" s="326"/>
      <c r="GZ94" s="326"/>
      <c r="HA94" s="326"/>
      <c r="HB94" s="326"/>
      <c r="HC94" s="326"/>
      <c r="HD94" s="326"/>
      <c r="HE94" s="326"/>
      <c r="HF94" s="326"/>
      <c r="HG94" s="326"/>
      <c r="HH94" s="326"/>
      <c r="HI94" s="326"/>
      <c r="HJ94" s="326"/>
      <c r="HK94" s="326"/>
      <c r="HL94" s="326"/>
      <c r="HM94" s="326"/>
      <c r="HN94" s="326"/>
      <c r="HO94" s="326"/>
      <c r="HP94" s="326"/>
      <c r="HQ94" s="326"/>
      <c r="HR94" s="326"/>
      <c r="HS94" s="326"/>
      <c r="HT94" s="326"/>
      <c r="HU94" s="326"/>
      <c r="HV94" s="326"/>
      <c r="HW94" s="326"/>
      <c r="HX94" s="326"/>
      <c r="HY94" s="326"/>
      <c r="HZ94" s="326"/>
      <c r="IA94" s="326"/>
      <c r="IB94" s="326"/>
      <c r="IC94" s="326"/>
      <c r="ID94" s="326"/>
      <c r="IE94" s="326"/>
      <c r="IF94" s="326"/>
      <c r="IG94" s="326"/>
      <c r="IH94" s="326"/>
      <c r="II94" s="326"/>
      <c r="IJ94" s="326"/>
      <c r="IK94" s="326"/>
      <c r="IL94" s="326"/>
      <c r="IM94" s="326"/>
      <c r="IN94" s="326"/>
      <c r="IO94" s="326"/>
      <c r="IP94" s="326"/>
      <c r="IQ94" s="326"/>
      <c r="IR94" s="326"/>
      <c r="IS94" s="326"/>
      <c r="IT94" s="326"/>
      <c r="IU94" s="326"/>
      <c r="IV94" s="326"/>
    </row>
    <row r="95" spans="1:17" ht="38.25" customHeight="1" thickTop="1">
      <c r="A95" s="569">
        <v>86</v>
      </c>
      <c r="B95" s="462"/>
      <c r="C95" s="1609">
        <v>6</v>
      </c>
      <c r="D95" s="1245" t="s">
        <v>612</v>
      </c>
      <c r="E95" s="333">
        <f>F95+G95+P97</f>
        <v>5290</v>
      </c>
      <c r="F95" s="331"/>
      <c r="G95" s="332">
        <v>3</v>
      </c>
      <c r="H95" s="765"/>
      <c r="I95" s="966"/>
      <c r="J95" s="967"/>
      <c r="K95" s="967"/>
      <c r="L95" s="967"/>
      <c r="M95" s="807"/>
      <c r="N95" s="967"/>
      <c r="O95" s="967"/>
      <c r="P95" s="968"/>
      <c r="Q95" s="557"/>
    </row>
    <row r="96" spans="1:17" ht="19.5" customHeight="1">
      <c r="A96" s="569">
        <v>87</v>
      </c>
      <c r="B96" s="462"/>
      <c r="C96" s="366"/>
      <c r="D96" s="760" t="s">
        <v>283</v>
      </c>
      <c r="E96" s="335"/>
      <c r="F96" s="559"/>
      <c r="G96" s="336"/>
      <c r="H96" s="766"/>
      <c r="I96" s="763"/>
      <c r="J96" s="556"/>
      <c r="K96" s="556"/>
      <c r="L96" s="556"/>
      <c r="M96" s="757">
        <v>2635</v>
      </c>
      <c r="N96" s="556"/>
      <c r="O96" s="556"/>
      <c r="P96" s="751">
        <f>SUM(I96:O96)</f>
        <v>2635</v>
      </c>
      <c r="Q96" s="560"/>
    </row>
    <row r="97" spans="1:17" ht="19.5" customHeight="1">
      <c r="A97" s="569">
        <v>88</v>
      </c>
      <c r="B97" s="1229"/>
      <c r="C97" s="366"/>
      <c r="D97" s="478" t="s">
        <v>757</v>
      </c>
      <c r="E97" s="335"/>
      <c r="F97" s="559"/>
      <c r="G97" s="1198"/>
      <c r="H97" s="766"/>
      <c r="I97" s="763"/>
      <c r="J97" s="763"/>
      <c r="K97" s="1187">
        <v>2652</v>
      </c>
      <c r="L97" s="1187"/>
      <c r="M97" s="1187">
        <v>2635</v>
      </c>
      <c r="N97" s="763"/>
      <c r="O97" s="763"/>
      <c r="P97" s="564">
        <f>SUM(I97:O97)</f>
        <v>5287</v>
      </c>
      <c r="Q97" s="560"/>
    </row>
    <row r="98" spans="1:17" ht="19.5" customHeight="1" thickBot="1">
      <c r="A98" s="569">
        <v>89</v>
      </c>
      <c r="B98" s="1229"/>
      <c r="C98" s="1207"/>
      <c r="D98" s="1595" t="s">
        <v>892</v>
      </c>
      <c r="E98" s="1234"/>
      <c r="F98" s="1235"/>
      <c r="G98" s="1327"/>
      <c r="H98" s="1236"/>
      <c r="I98" s="1237"/>
      <c r="J98" s="1237"/>
      <c r="K98" s="1610">
        <v>0</v>
      </c>
      <c r="L98" s="1610"/>
      <c r="M98" s="1610">
        <v>635</v>
      </c>
      <c r="N98" s="1610"/>
      <c r="O98" s="1610"/>
      <c r="P98" s="1731">
        <f>SUM(I98:O98)</f>
        <v>635</v>
      </c>
      <c r="Q98" s="1222"/>
    </row>
    <row r="99" spans="1:17" ht="18" customHeight="1" thickTop="1">
      <c r="A99" s="569">
        <v>90</v>
      </c>
      <c r="B99" s="1229"/>
      <c r="C99" s="802"/>
      <c r="D99" s="1344" t="s">
        <v>674</v>
      </c>
      <c r="E99" s="1010">
        <f>E95</f>
        <v>5290</v>
      </c>
      <c r="F99" s="1010">
        <f>F95</f>
        <v>0</v>
      </c>
      <c r="G99" s="1010">
        <f>G95</f>
        <v>3</v>
      </c>
      <c r="H99" s="765"/>
      <c r="I99" s="966"/>
      <c r="J99" s="966"/>
      <c r="K99" s="966"/>
      <c r="L99" s="966"/>
      <c r="M99" s="1232"/>
      <c r="N99" s="966"/>
      <c r="O99" s="966"/>
      <c r="P99" s="1233"/>
      <c r="Q99" s="557"/>
    </row>
    <row r="100" spans="1:17" ht="19.5" customHeight="1">
      <c r="A100" s="569">
        <v>91</v>
      </c>
      <c r="B100" s="1229"/>
      <c r="C100" s="366"/>
      <c r="D100" s="814" t="s">
        <v>283</v>
      </c>
      <c r="E100" s="335"/>
      <c r="F100" s="559"/>
      <c r="G100" s="1198"/>
      <c r="H100" s="766"/>
      <c r="I100" s="764">
        <f aca="true" t="shared" si="11" ref="I100:P101">I96</f>
        <v>0</v>
      </c>
      <c r="J100" s="764">
        <f t="shared" si="11"/>
        <v>0</v>
      </c>
      <c r="K100" s="764">
        <f t="shared" si="11"/>
        <v>0</v>
      </c>
      <c r="L100" s="764">
        <f t="shared" si="11"/>
        <v>0</v>
      </c>
      <c r="M100" s="764">
        <f t="shared" si="11"/>
        <v>2635</v>
      </c>
      <c r="N100" s="764">
        <f t="shared" si="11"/>
        <v>0</v>
      </c>
      <c r="O100" s="764">
        <f t="shared" si="11"/>
        <v>0</v>
      </c>
      <c r="P100" s="764">
        <f t="shared" si="11"/>
        <v>2635</v>
      </c>
      <c r="Q100" s="560"/>
    </row>
    <row r="101" spans="1:17" ht="19.5" customHeight="1">
      <c r="A101" s="569">
        <v>92</v>
      </c>
      <c r="B101" s="1229"/>
      <c r="C101" s="366"/>
      <c r="D101" s="478" t="s">
        <v>757</v>
      </c>
      <c r="E101" s="335"/>
      <c r="F101" s="559"/>
      <c r="G101" s="1198"/>
      <c r="H101" s="766"/>
      <c r="I101" s="1187">
        <f t="shared" si="11"/>
        <v>0</v>
      </c>
      <c r="J101" s="1187">
        <f t="shared" si="11"/>
        <v>0</v>
      </c>
      <c r="K101" s="1187">
        <f t="shared" si="11"/>
        <v>2652</v>
      </c>
      <c r="L101" s="1187">
        <f t="shared" si="11"/>
        <v>0</v>
      </c>
      <c r="M101" s="1187">
        <f t="shared" si="11"/>
        <v>2635</v>
      </c>
      <c r="N101" s="1187">
        <f t="shared" si="11"/>
        <v>0</v>
      </c>
      <c r="O101" s="1187">
        <f t="shared" si="11"/>
        <v>0</v>
      </c>
      <c r="P101" s="1187">
        <f t="shared" si="11"/>
        <v>5287</v>
      </c>
      <c r="Q101" s="560"/>
    </row>
    <row r="102" spans="1:17" ht="19.5" customHeight="1" thickBot="1">
      <c r="A102" s="569">
        <v>93</v>
      </c>
      <c r="B102" s="1229"/>
      <c r="C102" s="1207"/>
      <c r="D102" s="1595" t="s">
        <v>892</v>
      </c>
      <c r="E102" s="1234"/>
      <c r="F102" s="1235"/>
      <c r="G102" s="1327"/>
      <c r="H102" s="1236"/>
      <c r="I102" s="1610">
        <f aca="true" t="shared" si="12" ref="I102:O102">I98</f>
        <v>0</v>
      </c>
      <c r="J102" s="1610">
        <f t="shared" si="12"/>
        <v>0</v>
      </c>
      <c r="K102" s="1610">
        <f t="shared" si="12"/>
        <v>0</v>
      </c>
      <c r="L102" s="1610">
        <f t="shared" si="12"/>
        <v>0</v>
      </c>
      <c r="M102" s="1610">
        <f t="shared" si="12"/>
        <v>635</v>
      </c>
      <c r="N102" s="1610">
        <f t="shared" si="12"/>
        <v>0</v>
      </c>
      <c r="O102" s="1610">
        <f t="shared" si="12"/>
        <v>0</v>
      </c>
      <c r="P102" s="1731">
        <f>SUM(I102:O102)</f>
        <v>635</v>
      </c>
      <c r="Q102" s="1222"/>
    </row>
    <row r="103" spans="1:17" ht="24.75" customHeight="1" thickTop="1">
      <c r="A103" s="569">
        <v>94</v>
      </c>
      <c r="B103" s="1229"/>
      <c r="C103" s="802">
        <v>7</v>
      </c>
      <c r="D103" s="809" t="s">
        <v>676</v>
      </c>
      <c r="E103" s="333"/>
      <c r="F103" s="331"/>
      <c r="G103" s="1328"/>
      <c r="H103" s="765"/>
      <c r="I103" s="966"/>
      <c r="J103" s="966"/>
      <c r="K103" s="966"/>
      <c r="L103" s="966"/>
      <c r="M103" s="1232"/>
      <c r="N103" s="966"/>
      <c r="O103" s="966"/>
      <c r="P103" s="1233"/>
      <c r="Q103" s="557"/>
    </row>
    <row r="104" spans="1:17" ht="19.5" customHeight="1">
      <c r="A104" s="569">
        <v>95</v>
      </c>
      <c r="B104" s="1238"/>
      <c r="C104" s="366"/>
      <c r="D104" s="787" t="s">
        <v>465</v>
      </c>
      <c r="E104" s="335">
        <f>F104+G104+P105+12927</f>
        <v>206258</v>
      </c>
      <c r="F104" s="559"/>
      <c r="G104" s="1198"/>
      <c r="H104" s="766"/>
      <c r="I104" s="763"/>
      <c r="J104" s="763"/>
      <c r="K104" s="763"/>
      <c r="L104" s="763"/>
      <c r="M104" s="781"/>
      <c r="N104" s="763"/>
      <c r="O104" s="763"/>
      <c r="P104" s="1215"/>
      <c r="Q104" s="560"/>
    </row>
    <row r="105" spans="1:17" ht="19.5" customHeight="1">
      <c r="A105" s="569">
        <v>96</v>
      </c>
      <c r="B105" s="1238"/>
      <c r="C105" s="366"/>
      <c r="D105" s="478" t="s">
        <v>757</v>
      </c>
      <c r="E105" s="335"/>
      <c r="F105" s="559"/>
      <c r="G105" s="1198"/>
      <c r="H105" s="766"/>
      <c r="I105" s="1187">
        <v>5035</v>
      </c>
      <c r="J105" s="1187">
        <v>702</v>
      </c>
      <c r="K105" s="1187">
        <v>187594</v>
      </c>
      <c r="L105" s="763"/>
      <c r="M105" s="781"/>
      <c r="N105" s="763"/>
      <c r="O105" s="763"/>
      <c r="P105" s="564">
        <f>SUM(I105:O105)</f>
        <v>193331</v>
      </c>
      <c r="Q105" s="560"/>
    </row>
    <row r="106" spans="1:17" ht="19.5" customHeight="1">
      <c r="A106" s="569">
        <v>97</v>
      </c>
      <c r="B106" s="1238"/>
      <c r="C106" s="366"/>
      <c r="D106" s="1090" t="s">
        <v>892</v>
      </c>
      <c r="E106" s="335"/>
      <c r="F106" s="559"/>
      <c r="G106" s="1198"/>
      <c r="H106" s="766"/>
      <c r="I106" s="1185">
        <v>393</v>
      </c>
      <c r="J106" s="1185">
        <v>55</v>
      </c>
      <c r="K106" s="1185">
        <v>0</v>
      </c>
      <c r="L106" s="763"/>
      <c r="M106" s="763"/>
      <c r="N106" s="763"/>
      <c r="O106" s="763"/>
      <c r="P106" s="1723">
        <f>SUM(I106:O106)</f>
        <v>448</v>
      </c>
      <c r="Q106" s="560"/>
    </row>
    <row r="107" spans="1:17" ht="19.5" customHeight="1">
      <c r="A107" s="569">
        <v>98</v>
      </c>
      <c r="B107" s="1238"/>
      <c r="C107" s="366"/>
      <c r="D107" s="328" t="s">
        <v>712</v>
      </c>
      <c r="E107" s="335">
        <f>F107+G107+P108</f>
        <v>74663</v>
      </c>
      <c r="F107" s="559"/>
      <c r="G107" s="1198"/>
      <c r="H107" s="766"/>
      <c r="I107" s="763"/>
      <c r="J107" s="763"/>
      <c r="K107" s="763"/>
      <c r="L107" s="763"/>
      <c r="M107" s="763"/>
      <c r="N107" s="763"/>
      <c r="O107" s="763"/>
      <c r="P107" s="1295"/>
      <c r="Q107" s="560"/>
    </row>
    <row r="108" spans="1:17" ht="19.5" customHeight="1">
      <c r="A108" s="569">
        <v>99</v>
      </c>
      <c r="B108" s="1238"/>
      <c r="C108" s="366"/>
      <c r="D108" s="478" t="s">
        <v>757</v>
      </c>
      <c r="E108" s="335"/>
      <c r="F108" s="559"/>
      <c r="G108" s="1198"/>
      <c r="H108" s="766"/>
      <c r="I108" s="763"/>
      <c r="J108" s="763"/>
      <c r="K108" s="763"/>
      <c r="L108" s="763"/>
      <c r="M108" s="1187">
        <v>74663</v>
      </c>
      <c r="N108" s="763"/>
      <c r="O108" s="763"/>
      <c r="P108" s="564">
        <f>SUM(I108:O108)</f>
        <v>74663</v>
      </c>
      <c r="Q108" s="560"/>
    </row>
    <row r="109" spans="1:17" ht="19.5" customHeight="1">
      <c r="A109" s="569">
        <v>100</v>
      </c>
      <c r="B109" s="1238"/>
      <c r="C109" s="366"/>
      <c r="D109" s="1090" t="s">
        <v>892</v>
      </c>
      <c r="E109" s="335"/>
      <c r="F109" s="559"/>
      <c r="G109" s="1198"/>
      <c r="H109" s="766"/>
      <c r="I109" s="763"/>
      <c r="J109" s="763"/>
      <c r="K109" s="763"/>
      <c r="L109" s="763"/>
      <c r="M109" s="1185">
        <v>0</v>
      </c>
      <c r="N109" s="763"/>
      <c r="O109" s="763"/>
      <c r="P109" s="1723">
        <f>SUM(I109:O109)</f>
        <v>0</v>
      </c>
      <c r="Q109" s="560"/>
    </row>
    <row r="110" spans="1:17" ht="19.5" customHeight="1">
      <c r="A110" s="569">
        <v>101</v>
      </c>
      <c r="B110" s="1238"/>
      <c r="C110" s="366"/>
      <c r="D110" s="328" t="s">
        <v>713</v>
      </c>
      <c r="E110" s="335">
        <f>F110+G110+P111</f>
        <v>44450</v>
      </c>
      <c r="F110" s="559"/>
      <c r="G110" s="1198"/>
      <c r="H110" s="766"/>
      <c r="I110" s="763"/>
      <c r="J110" s="763"/>
      <c r="K110" s="763"/>
      <c r="L110" s="763"/>
      <c r="M110" s="763"/>
      <c r="N110" s="763"/>
      <c r="O110" s="763"/>
      <c r="P110" s="1295"/>
      <c r="Q110" s="560"/>
    </row>
    <row r="111" spans="1:17" ht="19.5" customHeight="1">
      <c r="A111" s="569">
        <v>102</v>
      </c>
      <c r="B111" s="1238"/>
      <c r="C111" s="366"/>
      <c r="D111" s="478" t="s">
        <v>757</v>
      </c>
      <c r="E111" s="335"/>
      <c r="F111" s="559"/>
      <c r="G111" s="1198"/>
      <c r="H111" s="766"/>
      <c r="I111" s="763"/>
      <c r="J111" s="763"/>
      <c r="K111" s="1185"/>
      <c r="L111" s="763"/>
      <c r="M111" s="1187">
        <v>44450</v>
      </c>
      <c r="N111" s="763"/>
      <c r="O111" s="763"/>
      <c r="P111" s="564">
        <f>SUM(I111:O111)</f>
        <v>44450</v>
      </c>
      <c r="Q111" s="560"/>
    </row>
    <row r="112" spans="1:17" ht="19.5" customHeight="1">
      <c r="A112" s="569">
        <v>103</v>
      </c>
      <c r="B112" s="1238"/>
      <c r="C112" s="366"/>
      <c r="D112" s="1090" t="s">
        <v>892</v>
      </c>
      <c r="E112" s="335"/>
      <c r="F112" s="559"/>
      <c r="G112" s="1198"/>
      <c r="H112" s="766"/>
      <c r="I112" s="763"/>
      <c r="J112" s="763"/>
      <c r="K112" s="763"/>
      <c r="L112" s="763"/>
      <c r="M112" s="1185">
        <v>0</v>
      </c>
      <c r="N112" s="763"/>
      <c r="O112" s="763"/>
      <c r="P112" s="1723">
        <f>SUM(I112:O112)</f>
        <v>0</v>
      </c>
      <c r="Q112" s="560"/>
    </row>
    <row r="113" spans="1:17" ht="19.5" customHeight="1">
      <c r="A113" s="569">
        <v>104</v>
      </c>
      <c r="B113" s="1238"/>
      <c r="C113" s="366"/>
      <c r="D113" s="328" t="s">
        <v>714</v>
      </c>
      <c r="E113" s="335">
        <f>F113+G113+P114</f>
        <v>30480</v>
      </c>
      <c r="F113" s="559"/>
      <c r="G113" s="1198"/>
      <c r="H113" s="766"/>
      <c r="I113" s="763"/>
      <c r="J113" s="763"/>
      <c r="K113" s="763"/>
      <c r="L113" s="763"/>
      <c r="M113" s="763"/>
      <c r="N113" s="763"/>
      <c r="O113" s="763"/>
      <c r="P113" s="1295"/>
      <c r="Q113" s="560"/>
    </row>
    <row r="114" spans="1:17" ht="19.5" customHeight="1">
      <c r="A114" s="569">
        <v>105</v>
      </c>
      <c r="B114" s="1238"/>
      <c r="C114" s="366"/>
      <c r="D114" s="478" t="s">
        <v>757</v>
      </c>
      <c r="E114" s="335"/>
      <c r="F114" s="559"/>
      <c r="G114" s="1198"/>
      <c r="H114" s="766"/>
      <c r="I114" s="763"/>
      <c r="J114" s="763"/>
      <c r="K114" s="763"/>
      <c r="L114" s="763"/>
      <c r="M114" s="1187">
        <v>30480</v>
      </c>
      <c r="N114" s="763"/>
      <c r="O114" s="763"/>
      <c r="P114" s="564">
        <f>SUM(I114:O114)</f>
        <v>30480</v>
      </c>
      <c r="Q114" s="560"/>
    </row>
    <row r="115" spans="1:17" ht="19.5" customHeight="1">
      <c r="A115" s="569">
        <v>106</v>
      </c>
      <c r="B115" s="1238"/>
      <c r="C115" s="366"/>
      <c r="D115" s="1090" t="s">
        <v>892</v>
      </c>
      <c r="E115" s="335"/>
      <c r="F115" s="559"/>
      <c r="G115" s="1198"/>
      <c r="H115" s="766"/>
      <c r="I115" s="763"/>
      <c r="J115" s="763"/>
      <c r="K115" s="763"/>
      <c r="L115" s="763"/>
      <c r="M115" s="1185">
        <v>0</v>
      </c>
      <c r="N115" s="763"/>
      <c r="O115" s="763"/>
      <c r="P115" s="1723">
        <f>SUM(I115:O115)</f>
        <v>0</v>
      </c>
      <c r="Q115" s="560"/>
    </row>
    <row r="116" spans="1:17" ht="19.5" customHeight="1">
      <c r="A116" s="569">
        <v>107</v>
      </c>
      <c r="B116" s="1238"/>
      <c r="C116" s="813"/>
      <c r="D116" s="328" t="s">
        <v>715</v>
      </c>
      <c r="E116" s="335">
        <f>F116+G116+P117</f>
        <v>38100</v>
      </c>
      <c r="F116" s="823"/>
      <c r="G116" s="1329"/>
      <c r="H116" s="766"/>
      <c r="I116" s="763"/>
      <c r="J116" s="763"/>
      <c r="K116" s="763"/>
      <c r="L116" s="763"/>
      <c r="M116" s="781"/>
      <c r="N116" s="763"/>
      <c r="O116" s="763"/>
      <c r="P116" s="1295"/>
      <c r="Q116" s="560"/>
    </row>
    <row r="117" spans="1:17" ht="19.5" customHeight="1">
      <c r="A117" s="569">
        <v>108</v>
      </c>
      <c r="B117" s="1238"/>
      <c r="C117" s="813"/>
      <c r="D117" s="478" t="s">
        <v>757</v>
      </c>
      <c r="E117" s="822"/>
      <c r="F117" s="823"/>
      <c r="G117" s="1329"/>
      <c r="H117" s="766"/>
      <c r="I117" s="763"/>
      <c r="J117" s="763"/>
      <c r="K117" s="763"/>
      <c r="L117" s="763"/>
      <c r="M117" s="1187">
        <v>38100</v>
      </c>
      <c r="N117" s="763"/>
      <c r="O117" s="763"/>
      <c r="P117" s="564">
        <f>SUM(I117:O117)</f>
        <v>38100</v>
      </c>
      <c r="Q117" s="560"/>
    </row>
    <row r="118" spans="1:17" ht="19.5" customHeight="1" thickBot="1">
      <c r="A118" s="569">
        <v>109</v>
      </c>
      <c r="B118" s="1238"/>
      <c r="C118" s="813"/>
      <c r="D118" s="1090" t="s">
        <v>893</v>
      </c>
      <c r="E118" s="822"/>
      <c r="F118" s="823"/>
      <c r="G118" s="1329"/>
      <c r="H118" s="766"/>
      <c r="I118" s="763"/>
      <c r="J118" s="763"/>
      <c r="K118" s="763"/>
      <c r="L118" s="763"/>
      <c r="M118" s="1185">
        <v>0</v>
      </c>
      <c r="N118" s="763"/>
      <c r="O118" s="763"/>
      <c r="P118" s="1723">
        <f>SUM(I118:O118)</f>
        <v>0</v>
      </c>
      <c r="Q118" s="560"/>
    </row>
    <row r="119" spans="1:17" ht="18" customHeight="1" thickTop="1">
      <c r="A119" s="569">
        <v>110</v>
      </c>
      <c r="B119" s="462"/>
      <c r="C119" s="1240"/>
      <c r="D119" s="1343" t="s">
        <v>675</v>
      </c>
      <c r="E119" s="1330">
        <f>SUM(E104:E118)</f>
        <v>393951</v>
      </c>
      <c r="F119" s="1330">
        <f>SUM(F104:F118)</f>
        <v>0</v>
      </c>
      <c r="G119" s="1330">
        <f>SUM(G104:G118)</f>
        <v>0</v>
      </c>
      <c r="H119" s="1241"/>
      <c r="I119" s="1242"/>
      <c r="J119" s="1242"/>
      <c r="K119" s="1242"/>
      <c r="L119" s="1242"/>
      <c r="M119" s="1242"/>
      <c r="N119" s="1242"/>
      <c r="O119" s="1242"/>
      <c r="P119" s="1243"/>
      <c r="Q119" s="1244"/>
    </row>
    <row r="120" spans="1:17" ht="19.5" customHeight="1">
      <c r="A120" s="569">
        <v>111</v>
      </c>
      <c r="B120" s="462"/>
      <c r="C120" s="802"/>
      <c r="D120" s="478" t="s">
        <v>757</v>
      </c>
      <c r="E120" s="1010"/>
      <c r="F120" s="333"/>
      <c r="G120" s="332"/>
      <c r="H120" s="765"/>
      <c r="I120" s="1196">
        <f aca="true" t="shared" si="13" ref="I120:P120">I105+I108+I111+I114+I117</f>
        <v>5035</v>
      </c>
      <c r="J120" s="1196">
        <f t="shared" si="13"/>
        <v>702</v>
      </c>
      <c r="K120" s="1196">
        <f t="shared" si="13"/>
        <v>187594</v>
      </c>
      <c r="L120" s="1196">
        <f t="shared" si="13"/>
        <v>0</v>
      </c>
      <c r="M120" s="1196">
        <f t="shared" si="13"/>
        <v>187693</v>
      </c>
      <c r="N120" s="1196">
        <f t="shared" si="13"/>
        <v>0</v>
      </c>
      <c r="O120" s="1196">
        <f t="shared" si="13"/>
        <v>0</v>
      </c>
      <c r="P120" s="1196">
        <f t="shared" si="13"/>
        <v>381024</v>
      </c>
      <c r="Q120" s="557"/>
    </row>
    <row r="121" spans="1:17" ht="19.5" customHeight="1" thickBot="1">
      <c r="A121" s="569">
        <v>112</v>
      </c>
      <c r="B121" s="462"/>
      <c r="C121" s="1207"/>
      <c r="D121" s="1595" t="s">
        <v>893</v>
      </c>
      <c r="E121" s="1234"/>
      <c r="F121" s="1235"/>
      <c r="G121" s="1611"/>
      <c r="H121" s="1236"/>
      <c r="I121" s="1732">
        <f aca="true" t="shared" si="14" ref="I121:O121">I106+I109+I112+I115+I118</f>
        <v>393</v>
      </c>
      <c r="J121" s="1732">
        <f t="shared" si="14"/>
        <v>55</v>
      </c>
      <c r="K121" s="1732">
        <f t="shared" si="14"/>
        <v>0</v>
      </c>
      <c r="L121" s="1732">
        <f t="shared" si="14"/>
        <v>0</v>
      </c>
      <c r="M121" s="1732">
        <f t="shared" si="14"/>
        <v>0</v>
      </c>
      <c r="N121" s="1732">
        <f t="shared" si="14"/>
        <v>0</v>
      </c>
      <c r="O121" s="1732">
        <f t="shared" si="14"/>
        <v>0</v>
      </c>
      <c r="P121" s="1731">
        <f>SUM(I121:O121)</f>
        <v>448</v>
      </c>
      <c r="Q121" s="1222"/>
    </row>
    <row r="122" spans="1:17" ht="24.75" customHeight="1" thickTop="1">
      <c r="A122" s="569">
        <v>113</v>
      </c>
      <c r="B122" s="1492"/>
      <c r="C122" s="998">
        <v>8</v>
      </c>
      <c r="D122" s="1489" t="s">
        <v>860</v>
      </c>
      <c r="E122" s="333"/>
      <c r="F122" s="331"/>
      <c r="G122" s="1323"/>
      <c r="H122" s="1183"/>
      <c r="I122" s="1201"/>
      <c r="J122" s="1201"/>
      <c r="K122" s="1201"/>
      <c r="L122" s="1201"/>
      <c r="M122" s="1201"/>
      <c r="N122" s="1201"/>
      <c r="O122" s="1201"/>
      <c r="P122" s="1201"/>
      <c r="Q122" s="1184"/>
    </row>
    <row r="123" spans="1:17" ht="19.5" customHeight="1">
      <c r="A123" s="569">
        <v>114</v>
      </c>
      <c r="B123" s="462"/>
      <c r="C123" s="366"/>
      <c r="D123" s="1490" t="s">
        <v>465</v>
      </c>
      <c r="E123" s="335">
        <f>F123+G123+P124+16972+2631</f>
        <v>49992</v>
      </c>
      <c r="F123" s="559"/>
      <c r="G123" s="1493"/>
      <c r="H123" s="766"/>
      <c r="I123" s="1187"/>
      <c r="J123" s="1187"/>
      <c r="K123" s="1187"/>
      <c r="L123" s="1187"/>
      <c r="M123" s="1187"/>
      <c r="N123" s="1187"/>
      <c r="O123" s="1187"/>
      <c r="P123" s="1187"/>
      <c r="Q123" s="560"/>
    </row>
    <row r="124" spans="1:17" ht="19.5" customHeight="1">
      <c r="A124" s="569">
        <v>115</v>
      </c>
      <c r="B124" s="462"/>
      <c r="C124" s="366"/>
      <c r="D124" s="478" t="s">
        <v>757</v>
      </c>
      <c r="E124" s="335"/>
      <c r="F124" s="559"/>
      <c r="G124" s="1493"/>
      <c r="H124" s="766"/>
      <c r="I124" s="1187"/>
      <c r="J124" s="1187"/>
      <c r="K124" s="1187">
        <v>30389</v>
      </c>
      <c r="L124" s="1187"/>
      <c r="M124" s="1187"/>
      <c r="N124" s="1187"/>
      <c r="O124" s="1187"/>
      <c r="P124" s="564">
        <f>SUM(I124:O124)</f>
        <v>30389</v>
      </c>
      <c r="Q124" s="560"/>
    </row>
    <row r="125" spans="1:17" ht="19.5" customHeight="1">
      <c r="A125" s="569">
        <v>116</v>
      </c>
      <c r="B125" s="462"/>
      <c r="C125" s="366"/>
      <c r="D125" s="1090" t="s">
        <v>892</v>
      </c>
      <c r="E125" s="335"/>
      <c r="F125" s="559"/>
      <c r="G125" s="1493"/>
      <c r="H125" s="766"/>
      <c r="I125" s="1187"/>
      <c r="J125" s="1187"/>
      <c r="K125" s="1185">
        <v>0</v>
      </c>
      <c r="L125" s="1187"/>
      <c r="M125" s="1187"/>
      <c r="N125" s="1187"/>
      <c r="O125" s="1187"/>
      <c r="P125" s="1723">
        <f>SUM(I125:O125)</f>
        <v>0</v>
      </c>
      <c r="Q125" s="560"/>
    </row>
    <row r="126" spans="1:17" ht="36" customHeight="1">
      <c r="A126" s="569">
        <v>117</v>
      </c>
      <c r="B126" s="462"/>
      <c r="C126" s="366"/>
      <c r="D126" s="1491" t="s">
        <v>861</v>
      </c>
      <c r="E126" s="335">
        <f>F126+G126+P127</f>
        <v>32400</v>
      </c>
      <c r="F126" s="559"/>
      <c r="G126" s="1493"/>
      <c r="H126" s="766"/>
      <c r="I126" s="1187"/>
      <c r="J126" s="1187"/>
      <c r="K126" s="1187"/>
      <c r="L126" s="1187"/>
      <c r="M126" s="1187"/>
      <c r="N126" s="1187"/>
      <c r="O126" s="1187"/>
      <c r="P126" s="1187"/>
      <c r="Q126" s="560"/>
    </row>
    <row r="127" spans="1:17" ht="19.5" customHeight="1">
      <c r="A127" s="569">
        <v>118</v>
      </c>
      <c r="B127" s="462"/>
      <c r="C127" s="366"/>
      <c r="D127" s="478" t="s">
        <v>757</v>
      </c>
      <c r="E127" s="335"/>
      <c r="F127" s="559"/>
      <c r="G127" s="1493"/>
      <c r="H127" s="766"/>
      <c r="I127" s="1187"/>
      <c r="J127" s="1187"/>
      <c r="K127" s="1187"/>
      <c r="L127" s="1187"/>
      <c r="M127" s="1187">
        <v>32400</v>
      </c>
      <c r="N127" s="1187"/>
      <c r="O127" s="1187"/>
      <c r="P127" s="564">
        <f>SUM(I127:O127)</f>
        <v>32400</v>
      </c>
      <c r="Q127" s="560"/>
    </row>
    <row r="128" spans="1:17" ht="19.5" customHeight="1">
      <c r="A128" s="569">
        <v>119</v>
      </c>
      <c r="B128" s="462"/>
      <c r="C128" s="366"/>
      <c r="D128" s="1090" t="s">
        <v>892</v>
      </c>
      <c r="E128" s="335"/>
      <c r="F128" s="559"/>
      <c r="G128" s="1493"/>
      <c r="H128" s="766"/>
      <c r="I128" s="1187"/>
      <c r="J128" s="1187"/>
      <c r="K128" s="1185"/>
      <c r="L128" s="1187"/>
      <c r="M128" s="1185">
        <v>0</v>
      </c>
      <c r="N128" s="1187"/>
      <c r="O128" s="1187"/>
      <c r="P128" s="1723">
        <f>SUM(I128:O128)</f>
        <v>0</v>
      </c>
      <c r="Q128" s="560"/>
    </row>
    <row r="129" spans="1:17" ht="19.5" customHeight="1">
      <c r="A129" s="569">
        <v>120</v>
      </c>
      <c r="B129" s="462"/>
      <c r="C129" s="366"/>
      <c r="D129" s="1491" t="s">
        <v>862</v>
      </c>
      <c r="E129" s="335">
        <f>F129+G129+P130</f>
        <v>1729000</v>
      </c>
      <c r="F129" s="559"/>
      <c r="G129" s="1493"/>
      <c r="H129" s="766"/>
      <c r="I129" s="1187"/>
      <c r="J129" s="1187"/>
      <c r="K129" s="1187"/>
      <c r="L129" s="1187"/>
      <c r="M129" s="1185"/>
      <c r="N129" s="1187"/>
      <c r="O129" s="1187"/>
      <c r="P129" s="1187"/>
      <c r="Q129" s="560"/>
    </row>
    <row r="130" spans="1:17" ht="19.5" customHeight="1">
      <c r="A130" s="569">
        <v>121</v>
      </c>
      <c r="B130" s="462"/>
      <c r="C130" s="366"/>
      <c r="D130" s="478" t="s">
        <v>757</v>
      </c>
      <c r="E130" s="335"/>
      <c r="F130" s="559"/>
      <c r="G130" s="1493"/>
      <c r="H130" s="766"/>
      <c r="I130" s="1187"/>
      <c r="J130" s="1187"/>
      <c r="K130" s="1187"/>
      <c r="L130" s="1187"/>
      <c r="M130" s="1187">
        <v>1729000</v>
      </c>
      <c r="N130" s="1187"/>
      <c r="O130" s="1187"/>
      <c r="P130" s="564">
        <f>SUM(I130:O130)</f>
        <v>1729000</v>
      </c>
      <c r="Q130" s="560"/>
    </row>
    <row r="131" spans="1:17" ht="19.5" customHeight="1">
      <c r="A131" s="569">
        <v>122</v>
      </c>
      <c r="B131" s="462"/>
      <c r="C131" s="366"/>
      <c r="D131" s="1090" t="s">
        <v>892</v>
      </c>
      <c r="E131" s="335"/>
      <c r="F131" s="559"/>
      <c r="G131" s="1493"/>
      <c r="H131" s="766"/>
      <c r="I131" s="1187"/>
      <c r="J131" s="1187"/>
      <c r="K131" s="1185"/>
      <c r="L131" s="1187"/>
      <c r="M131" s="1185">
        <v>0</v>
      </c>
      <c r="N131" s="1187"/>
      <c r="O131" s="1187"/>
      <c r="P131" s="1723">
        <f>SUM(I131:O131)</f>
        <v>0</v>
      </c>
      <c r="Q131" s="560"/>
    </row>
    <row r="132" spans="1:17" ht="19.5" customHeight="1">
      <c r="A132" s="569">
        <v>123</v>
      </c>
      <c r="B132" s="462"/>
      <c r="C132" s="366"/>
      <c r="D132" s="1491" t="s">
        <v>859</v>
      </c>
      <c r="E132" s="335">
        <f>F132+G132+P133</f>
        <v>183275</v>
      </c>
      <c r="F132" s="559"/>
      <c r="G132" s="1493"/>
      <c r="H132" s="766"/>
      <c r="I132" s="1187"/>
      <c r="J132" s="1187"/>
      <c r="K132" s="1187"/>
      <c r="L132" s="1187"/>
      <c r="M132" s="1185"/>
      <c r="N132" s="1187"/>
      <c r="O132" s="1187"/>
      <c r="P132" s="1187"/>
      <c r="Q132" s="560"/>
    </row>
    <row r="133" spans="1:17" ht="19.5" customHeight="1">
      <c r="A133" s="569">
        <v>124</v>
      </c>
      <c r="B133" s="462"/>
      <c r="C133" s="366"/>
      <c r="D133" s="478" t="s">
        <v>757</v>
      </c>
      <c r="E133" s="335"/>
      <c r="F133" s="559"/>
      <c r="G133" s="1493"/>
      <c r="H133" s="766"/>
      <c r="I133" s="1187"/>
      <c r="J133" s="1187"/>
      <c r="K133" s="1187"/>
      <c r="L133" s="1187"/>
      <c r="M133" s="1187">
        <v>183275</v>
      </c>
      <c r="N133" s="1187"/>
      <c r="O133" s="1187"/>
      <c r="P133" s="564">
        <f>SUM(I133:O133)</f>
        <v>183275</v>
      </c>
      <c r="Q133" s="560"/>
    </row>
    <row r="134" spans="1:17" ht="19.5" customHeight="1" thickBot="1">
      <c r="A134" s="569">
        <v>125</v>
      </c>
      <c r="B134" s="462"/>
      <c r="C134" s="1207"/>
      <c r="D134" s="1595" t="s">
        <v>892</v>
      </c>
      <c r="E134" s="1234"/>
      <c r="F134" s="1235"/>
      <c r="G134" s="1494"/>
      <c r="H134" s="1236"/>
      <c r="I134" s="1210"/>
      <c r="J134" s="1210"/>
      <c r="K134" s="1610"/>
      <c r="L134" s="1210"/>
      <c r="M134" s="1610">
        <v>0</v>
      </c>
      <c r="N134" s="1210"/>
      <c r="O134" s="1210"/>
      <c r="P134" s="1731">
        <f>SUM(I134:O134)</f>
        <v>0</v>
      </c>
      <c r="Q134" s="1222"/>
    </row>
    <row r="135" spans="1:17" ht="18" customHeight="1" thickTop="1">
      <c r="A135" s="569">
        <v>126</v>
      </c>
      <c r="B135" s="462"/>
      <c r="C135" s="802"/>
      <c r="D135" s="1495" t="s">
        <v>863</v>
      </c>
      <c r="E135" s="1010">
        <f>E132+E129+E126+E123</f>
        <v>1994667</v>
      </c>
      <c r="F135" s="1010">
        <f>F132+F129+F126+F123</f>
        <v>0</v>
      </c>
      <c r="G135" s="1010">
        <f>G132+G129+G126+G123</f>
        <v>0</v>
      </c>
      <c r="H135" s="765"/>
      <c r="I135" s="1488"/>
      <c r="J135" s="1488"/>
      <c r="K135" s="1488"/>
      <c r="L135" s="1488"/>
      <c r="M135" s="1488"/>
      <c r="N135" s="1488"/>
      <c r="O135" s="1488"/>
      <c r="P135" s="1488"/>
      <c r="Q135" s="557"/>
    </row>
    <row r="136" spans="1:17" ht="19.5" customHeight="1">
      <c r="A136" s="569">
        <v>127</v>
      </c>
      <c r="B136" s="462"/>
      <c r="C136" s="802"/>
      <c r="D136" s="1451" t="s">
        <v>757</v>
      </c>
      <c r="E136" s="1010"/>
      <c r="F136" s="1010"/>
      <c r="G136" s="1584"/>
      <c r="H136" s="765"/>
      <c r="I136" s="1488">
        <f aca="true" t="shared" si="15" ref="I136:O137">I133+I130+I127+I124</f>
        <v>0</v>
      </c>
      <c r="J136" s="1488">
        <f t="shared" si="15"/>
        <v>0</v>
      </c>
      <c r="K136" s="1488">
        <f t="shared" si="15"/>
        <v>30389</v>
      </c>
      <c r="L136" s="1488">
        <f t="shared" si="15"/>
        <v>0</v>
      </c>
      <c r="M136" s="1488">
        <f t="shared" si="15"/>
        <v>1944675</v>
      </c>
      <c r="N136" s="1488">
        <f t="shared" si="15"/>
        <v>0</v>
      </c>
      <c r="O136" s="1488">
        <f t="shared" si="15"/>
        <v>0</v>
      </c>
      <c r="P136" s="564">
        <f>SUM(I136:O136)</f>
        <v>1975064</v>
      </c>
      <c r="Q136" s="557"/>
    </row>
    <row r="137" spans="1:17" ht="19.5" customHeight="1" thickBot="1">
      <c r="A137" s="569">
        <v>128</v>
      </c>
      <c r="B137" s="462"/>
      <c r="C137" s="366"/>
      <c r="D137" s="1613" t="s">
        <v>893</v>
      </c>
      <c r="E137" s="1230"/>
      <c r="F137" s="1231"/>
      <c r="G137" s="1614"/>
      <c r="H137" s="1615"/>
      <c r="I137" s="1730">
        <f t="shared" si="15"/>
        <v>0</v>
      </c>
      <c r="J137" s="1730">
        <f t="shared" si="15"/>
        <v>0</v>
      </c>
      <c r="K137" s="1730">
        <f t="shared" si="15"/>
        <v>0</v>
      </c>
      <c r="L137" s="1730">
        <f t="shared" si="15"/>
        <v>0</v>
      </c>
      <c r="M137" s="1730">
        <f t="shared" si="15"/>
        <v>0</v>
      </c>
      <c r="N137" s="1730">
        <f t="shared" si="15"/>
        <v>0</v>
      </c>
      <c r="O137" s="1730">
        <f t="shared" si="15"/>
        <v>0</v>
      </c>
      <c r="P137" s="1729">
        <f>SUM(I137:O137)</f>
        <v>0</v>
      </c>
      <c r="Q137" s="1616"/>
    </row>
    <row r="138" spans="1:17" s="330" customFormat="1" ht="19.5" customHeight="1">
      <c r="A138" s="569">
        <v>129</v>
      </c>
      <c r="B138" s="2036" t="s">
        <v>13</v>
      </c>
      <c r="C138" s="2037"/>
      <c r="D138" s="2076"/>
      <c r="E138" s="2076"/>
      <c r="F138" s="2076"/>
      <c r="G138" s="2077"/>
      <c r="H138" s="1339"/>
      <c r="I138" s="1612"/>
      <c r="J138" s="1612"/>
      <c r="K138" s="1612"/>
      <c r="L138" s="1612"/>
      <c r="M138" s="1612"/>
      <c r="N138" s="1612"/>
      <c r="O138" s="1612"/>
      <c r="P138" s="1612"/>
      <c r="Q138" s="1342"/>
    </row>
    <row r="139" spans="1:17" s="330" customFormat="1" ht="19.5" customHeight="1">
      <c r="A139" s="569">
        <v>130</v>
      </c>
      <c r="B139" s="1333"/>
      <c r="C139" s="1334"/>
      <c r="D139" s="2073" t="s">
        <v>283</v>
      </c>
      <c r="E139" s="2074"/>
      <c r="F139" s="2074"/>
      <c r="G139" s="2075"/>
      <c r="H139" s="1339"/>
      <c r="I139" s="1336">
        <f aca="true" t="shared" si="16" ref="I139:P139">I100+I92+I73+I64+I51+I38</f>
        <v>2726</v>
      </c>
      <c r="J139" s="1337">
        <f t="shared" si="16"/>
        <v>386</v>
      </c>
      <c r="K139" s="1337">
        <f t="shared" si="16"/>
        <v>222733</v>
      </c>
      <c r="L139" s="1337">
        <f t="shared" si="16"/>
        <v>78400</v>
      </c>
      <c r="M139" s="1337">
        <f t="shared" si="16"/>
        <v>4493363</v>
      </c>
      <c r="N139" s="1337">
        <f t="shared" si="16"/>
        <v>2500</v>
      </c>
      <c r="O139" s="1337">
        <f t="shared" si="16"/>
        <v>0</v>
      </c>
      <c r="P139" s="1337">
        <f t="shared" si="16"/>
        <v>4800108</v>
      </c>
      <c r="Q139" s="1342"/>
    </row>
    <row r="140" spans="1:17" s="330" customFormat="1" ht="19.5" customHeight="1">
      <c r="A140" s="569">
        <v>131</v>
      </c>
      <c r="B140" s="1333"/>
      <c r="C140" s="1334"/>
      <c r="D140" s="1819" t="s">
        <v>757</v>
      </c>
      <c r="E140" s="1992"/>
      <c r="F140" s="1992"/>
      <c r="G140" s="1993"/>
      <c r="H140" s="1339"/>
      <c r="I140" s="1452">
        <f aca="true" t="shared" si="17" ref="I140:O141">I101+I93+I74+I65+I52+I39+I120+I136</f>
        <v>9970</v>
      </c>
      <c r="J140" s="1452">
        <f t="shared" si="17"/>
        <v>1443</v>
      </c>
      <c r="K140" s="1452">
        <f t="shared" si="17"/>
        <v>542599</v>
      </c>
      <c r="L140" s="1452">
        <f t="shared" si="17"/>
        <v>73500</v>
      </c>
      <c r="M140" s="1452">
        <f t="shared" si="17"/>
        <v>6686162</v>
      </c>
      <c r="N140" s="1452">
        <f t="shared" si="17"/>
        <v>2500</v>
      </c>
      <c r="O140" s="1452">
        <f t="shared" si="17"/>
        <v>236431</v>
      </c>
      <c r="P140" s="564">
        <f>SUM(I140:O140)</f>
        <v>7552605</v>
      </c>
      <c r="Q140" s="1342"/>
    </row>
    <row r="141" spans="1:17" s="330" customFormat="1" ht="19.5" customHeight="1" thickBot="1">
      <c r="A141" s="569">
        <v>132</v>
      </c>
      <c r="B141" s="1189"/>
      <c r="C141" s="1190"/>
      <c r="D141" s="1942" t="s">
        <v>893</v>
      </c>
      <c r="E141" s="1943"/>
      <c r="F141" s="1943"/>
      <c r="G141" s="1944"/>
      <c r="H141" s="1193"/>
      <c r="I141" s="1726">
        <f t="shared" si="17"/>
        <v>2567</v>
      </c>
      <c r="J141" s="1726">
        <f t="shared" si="17"/>
        <v>331</v>
      </c>
      <c r="K141" s="1726">
        <f t="shared" si="17"/>
        <v>91178</v>
      </c>
      <c r="L141" s="1726">
        <f t="shared" si="17"/>
        <v>68000</v>
      </c>
      <c r="M141" s="1726">
        <f t="shared" si="17"/>
        <v>4433166</v>
      </c>
      <c r="N141" s="1726">
        <f t="shared" si="17"/>
        <v>2500</v>
      </c>
      <c r="O141" s="1726">
        <f t="shared" si="17"/>
        <v>3500</v>
      </c>
      <c r="P141" s="1726">
        <f>P102+P94+P75+P66+P53+P40+P121+P137</f>
        <v>4601242</v>
      </c>
      <c r="Q141" s="1247"/>
    </row>
    <row r="142" spans="2:16" ht="18" customHeight="1">
      <c r="B142" s="561" t="s">
        <v>26</v>
      </c>
      <c r="C142" s="562"/>
      <c r="D142" s="561"/>
      <c r="E142" s="337"/>
      <c r="F142" s="338"/>
      <c r="G142" s="337"/>
      <c r="H142" s="548"/>
      <c r="I142" s="337"/>
      <c r="J142" s="337"/>
      <c r="K142" s="337"/>
      <c r="L142" s="337"/>
      <c r="M142" s="337"/>
      <c r="N142" s="337"/>
      <c r="O142" s="337"/>
      <c r="P142" s="571"/>
    </row>
    <row r="143" spans="2:16" ht="18" customHeight="1">
      <c r="B143" s="561" t="s">
        <v>27</v>
      </c>
      <c r="C143" s="562"/>
      <c r="D143" s="561"/>
      <c r="E143" s="466"/>
      <c r="F143" s="338"/>
      <c r="G143" s="337"/>
      <c r="H143" s="548"/>
      <c r="I143" s="337"/>
      <c r="J143" s="337"/>
      <c r="K143" s="337"/>
      <c r="L143" s="337"/>
      <c r="M143" s="337"/>
      <c r="N143" s="337"/>
      <c r="O143" s="337"/>
      <c r="P143" s="571"/>
    </row>
    <row r="144" spans="2:16" ht="18" customHeight="1">
      <c r="B144" s="561" t="s">
        <v>28</v>
      </c>
      <c r="C144" s="562"/>
      <c r="D144" s="561"/>
      <c r="E144" s="466"/>
      <c r="F144" s="338"/>
      <c r="G144" s="337"/>
      <c r="H144" s="548"/>
      <c r="I144" s="337"/>
      <c r="J144" s="337"/>
      <c r="K144" s="337"/>
      <c r="L144" s="337"/>
      <c r="M144" s="337"/>
      <c r="N144" s="337"/>
      <c r="O144" s="337"/>
      <c r="P144" s="571"/>
    </row>
    <row r="145" spans="2:3" ht="17.25">
      <c r="B145" s="334" t="s">
        <v>533</v>
      </c>
      <c r="C145" s="334"/>
    </row>
  </sheetData>
  <sheetProtection/>
  <mergeCells count="21">
    <mergeCell ref="R7:S7"/>
    <mergeCell ref="I8:L8"/>
    <mergeCell ref="M8:O8"/>
    <mergeCell ref="P8:P9"/>
    <mergeCell ref="B138:G138"/>
    <mergeCell ref="I7:P7"/>
    <mergeCell ref="Q7:Q9"/>
    <mergeCell ref="C7:C9"/>
    <mergeCell ref="D7:D9"/>
    <mergeCell ref="E7:E9"/>
    <mergeCell ref="F7:F9"/>
    <mergeCell ref="G7:G9"/>
    <mergeCell ref="H7:H9"/>
    <mergeCell ref="B1:M1"/>
    <mergeCell ref="D139:G139"/>
    <mergeCell ref="D141:G141"/>
    <mergeCell ref="I2:Q2"/>
    <mergeCell ref="A3:Q3"/>
    <mergeCell ref="A4:Q4"/>
    <mergeCell ref="B7:B9"/>
    <mergeCell ref="D140:G140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58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0"/>
  <sheetViews>
    <sheetView view="pageBreakPreview" zoomScaleNormal="75" zoomScaleSheetLayoutView="100" zoomScalePageLayoutView="0" workbookViewId="0" topLeftCell="E1">
      <selection activeCell="F36" sqref="F36"/>
    </sheetView>
  </sheetViews>
  <sheetFormatPr defaultColWidth="9.125" defaultRowHeight="12.75"/>
  <cols>
    <col min="1" max="1" width="5.75390625" style="104" customWidth="1"/>
    <col min="2" max="2" width="4.75390625" style="339" customWidth="1"/>
    <col min="3" max="3" width="63.75390625" style="106" customWidth="1"/>
    <col min="4" max="6" width="21.75390625" style="2" customWidth="1"/>
    <col min="7" max="7" width="5.75390625" style="339" customWidth="1"/>
    <col min="8" max="8" width="63.75390625" style="106" customWidth="1"/>
    <col min="9" max="9" width="21.75390625" style="2" customWidth="1"/>
    <col min="10" max="11" width="21.75390625" style="106" customWidth="1"/>
    <col min="12" max="16384" width="9.125" style="106" customWidth="1"/>
  </cols>
  <sheetData>
    <row r="1" spans="2:14" ht="17.25">
      <c r="B1" s="1799" t="s">
        <v>965</v>
      </c>
      <c r="C1" s="1799"/>
      <c r="D1" s="1799"/>
      <c r="E1" s="1799"/>
      <c r="F1" s="1799"/>
      <c r="G1" s="1799"/>
      <c r="H1" s="1799"/>
      <c r="I1" s="1799"/>
      <c r="J1" s="1799"/>
      <c r="K1" s="1799"/>
      <c r="L1" s="1799"/>
      <c r="M1" s="1799"/>
      <c r="N1" s="1799"/>
    </row>
    <row r="2" spans="1:9" s="1" customFormat="1" ht="18" customHeight="1">
      <c r="A2" s="157"/>
      <c r="B2" s="2078"/>
      <c r="C2" s="2078"/>
      <c r="D2" s="367"/>
      <c r="E2" s="367"/>
      <c r="F2" s="367"/>
      <c r="G2" s="368"/>
      <c r="I2" s="367"/>
    </row>
    <row r="3" spans="1:11" s="1" customFormat="1" ht="24.75" customHeight="1">
      <c r="A3" s="157"/>
      <c r="B3" s="1797" t="s">
        <v>200</v>
      </c>
      <c r="C3" s="1797"/>
      <c r="D3" s="1797"/>
      <c r="E3" s="1797"/>
      <c r="F3" s="1797"/>
      <c r="G3" s="1797"/>
      <c r="H3" s="1797"/>
      <c r="I3" s="1797"/>
      <c r="J3" s="1797"/>
      <c r="K3" s="1797"/>
    </row>
    <row r="4" spans="1:11" s="1" customFormat="1" ht="24.75" customHeight="1">
      <c r="A4" s="157"/>
      <c r="B4" s="1797" t="s">
        <v>545</v>
      </c>
      <c r="C4" s="1797"/>
      <c r="D4" s="1797"/>
      <c r="E4" s="1797"/>
      <c r="F4" s="1797"/>
      <c r="G4" s="1797"/>
      <c r="H4" s="1797"/>
      <c r="I4" s="1797"/>
      <c r="J4" s="1797"/>
      <c r="K4" s="1797"/>
    </row>
    <row r="5" spans="1:11" s="771" customFormat="1" ht="18" customHeight="1">
      <c r="A5" s="769"/>
      <c r="B5" s="770"/>
      <c r="C5" s="770"/>
      <c r="D5" s="770"/>
      <c r="E5" s="770"/>
      <c r="F5" s="770"/>
      <c r="G5" s="770"/>
      <c r="H5" s="770"/>
      <c r="K5" s="113" t="s">
        <v>0</v>
      </c>
    </row>
    <row r="6" spans="2:11" s="768" customFormat="1" ht="18" customHeight="1" thickBot="1">
      <c r="B6" s="768" t="s">
        <v>1</v>
      </c>
      <c r="C6" s="768" t="s">
        <v>313</v>
      </c>
      <c r="D6" s="768" t="s">
        <v>2</v>
      </c>
      <c r="E6" s="768" t="s">
        <v>4</v>
      </c>
      <c r="F6" s="768" t="s">
        <v>5</v>
      </c>
      <c r="G6" s="768" t="s">
        <v>15</v>
      </c>
      <c r="H6" s="768" t="s">
        <v>16</v>
      </c>
      <c r="I6" s="98" t="s">
        <v>17</v>
      </c>
      <c r="J6" s="768" t="s">
        <v>33</v>
      </c>
      <c r="K6" s="768" t="s">
        <v>29</v>
      </c>
    </row>
    <row r="7" spans="1:11" ht="34.5">
      <c r="A7" s="104">
        <v>1</v>
      </c>
      <c r="B7" s="369"/>
      <c r="C7" s="370" t="s">
        <v>201</v>
      </c>
      <c r="D7" s="371" t="s">
        <v>671</v>
      </c>
      <c r="E7" s="371" t="s">
        <v>888</v>
      </c>
      <c r="F7" s="1620" t="s">
        <v>891</v>
      </c>
      <c r="G7" s="372"/>
      <c r="H7" s="373" t="s">
        <v>202</v>
      </c>
      <c r="I7" s="371" t="s">
        <v>671</v>
      </c>
      <c r="J7" s="371" t="s">
        <v>888</v>
      </c>
      <c r="K7" s="1621" t="s">
        <v>891</v>
      </c>
    </row>
    <row r="8" spans="1:11" ht="15" customHeight="1">
      <c r="A8" s="104">
        <v>2</v>
      </c>
      <c r="B8" s="97" t="s">
        <v>116</v>
      </c>
      <c r="C8" s="106" t="s">
        <v>203</v>
      </c>
      <c r="D8" s="374">
        <f>'1.Onbe'!J9+'1.Onbe'!J15</f>
        <v>6746424</v>
      </c>
      <c r="E8" s="374">
        <f>'1.Onbe'!K9+'1.Onbe'!K15</f>
        <v>6673261</v>
      </c>
      <c r="F8" s="374">
        <f>'1.Onbe'!L9+'1.Onbe'!L15</f>
        <v>4183311</v>
      </c>
      <c r="G8" s="375" t="s">
        <v>116</v>
      </c>
      <c r="H8" s="106" t="s">
        <v>37</v>
      </c>
      <c r="I8" s="386">
        <f>'4.Inki'!K232+'6.Önk.műk.'!J598+'9.Projekt'!I115+'10.MVP és hazai'!I82+'11.EKF'!I139</f>
        <v>5236018</v>
      </c>
      <c r="J8" s="386">
        <f>'4.Inki'!K233+'6.Önk.műk.'!J599+'9.Projekt'!I116+'10.MVP és hazai'!I83+'11.EKF'!I140</f>
        <v>5643114</v>
      </c>
      <c r="K8" s="1625">
        <f>'4.Inki'!K234+'6.Önk.műk.'!J600+'9.Projekt'!I117+'10.MVP és hazai'!I84+'11.EKF'!I141</f>
        <v>2413246</v>
      </c>
    </row>
    <row r="9" spans="1:11" ht="15" customHeight="1">
      <c r="A9" s="104">
        <v>3</v>
      </c>
      <c r="B9" s="97" t="s">
        <v>123</v>
      </c>
      <c r="C9" s="106" t="s">
        <v>163</v>
      </c>
      <c r="D9" s="374">
        <f>'1.Onbe'!J16</f>
        <v>6242200</v>
      </c>
      <c r="E9" s="374">
        <f>'1.Onbe'!K16</f>
        <v>6220200</v>
      </c>
      <c r="F9" s="374">
        <f>'1.Onbe'!L16</f>
        <v>4066422</v>
      </c>
      <c r="G9" s="375" t="s">
        <v>123</v>
      </c>
      <c r="H9" s="106" t="s">
        <v>204</v>
      </c>
      <c r="I9" s="386">
        <f>'4.Inki'!L232+'6.Önk.műk.'!K598+'9.Projekt'!J115+'10.MVP és hazai'!J82+'11.EKF'!J139</f>
        <v>883986</v>
      </c>
      <c r="J9" s="386">
        <f>'4.Inki'!L233+'6.Önk.műk.'!K599+'9.Projekt'!J116+'10.MVP és hazai'!J83+'11.EKF'!J140</f>
        <v>959610</v>
      </c>
      <c r="K9" s="1625">
        <f>'4.Inki'!L234+'6.Önk.műk.'!K600+'9.Projekt'!J117+'10.MVP és hazai'!J84+'11.EKF'!J141</f>
        <v>369416</v>
      </c>
    </row>
    <row r="10" spans="1:11" ht="16.5">
      <c r="A10" s="104">
        <v>4</v>
      </c>
      <c r="B10" s="97" t="s">
        <v>124</v>
      </c>
      <c r="C10" s="376" t="s">
        <v>131</v>
      </c>
      <c r="D10" s="374">
        <f>'1.Onbe'!J27+'1.Onbe'!J32</f>
        <v>1809266</v>
      </c>
      <c r="E10" s="374">
        <f>'1.Onbe'!K27+'1.Onbe'!K32</f>
        <v>1766406</v>
      </c>
      <c r="F10" s="374">
        <f>'1.Onbe'!L27+'1.Onbe'!L32</f>
        <v>552054</v>
      </c>
      <c r="G10" s="375" t="s">
        <v>124</v>
      </c>
      <c r="H10" s="106" t="s">
        <v>39</v>
      </c>
      <c r="I10" s="386">
        <f>'4.Inki'!M232+'6.Önk.műk.'!L598+'7.Beruh.'!I199+'9.Projekt'!K115+'10.MVP és hazai'!K82+'11.EKF'!K139</f>
        <v>5143386</v>
      </c>
      <c r="J10" s="386">
        <f>'4.Inki'!M233+'6.Önk.műk.'!L599+'7.Beruh.'!I200+'8.Felúj.'!I54+'9.Projekt'!K116+'10.MVP és hazai'!K83+'11.EKF'!K140</f>
        <v>5991983</v>
      </c>
      <c r="K10" s="1625">
        <f>'4.Inki'!M234+'6.Önk.műk.'!L600+'7.Beruh.'!I201+'8.Felúj.'!I55+'9.Projekt'!K117+'10.MVP és hazai'!K84+'11.EKF'!K141</f>
        <v>1744873</v>
      </c>
    </row>
    <row r="11" spans="1:11" ht="16.5">
      <c r="A11" s="104">
        <v>5</v>
      </c>
      <c r="B11" s="97" t="s">
        <v>125</v>
      </c>
      <c r="C11" s="106" t="s">
        <v>168</v>
      </c>
      <c r="D11" s="374">
        <f>'1.Onbe'!J33+'1.Onbe'!J35</f>
        <v>4569</v>
      </c>
      <c r="E11" s="374">
        <f>'1.Onbe'!K33+'1.Onbe'!K35</f>
        <v>734254</v>
      </c>
      <c r="F11" s="374">
        <f>'1.Onbe'!L33+'1.Onbe'!L35</f>
        <v>579507</v>
      </c>
      <c r="G11" s="377" t="s">
        <v>125</v>
      </c>
      <c r="H11" s="106" t="s">
        <v>205</v>
      </c>
      <c r="I11" s="386">
        <f>'4.Inki'!N232+'6.Önk.műk.'!M598</f>
        <v>36460</v>
      </c>
      <c r="J11" s="386">
        <f>'4.Inki'!N233+'6.Önk.műk.'!M599</f>
        <v>47418</v>
      </c>
      <c r="K11" s="1625">
        <f>'4.Inki'!N234+'6.Önk.műk.'!M600</f>
        <v>9265</v>
      </c>
    </row>
    <row r="12" spans="1:11" ht="16.5">
      <c r="A12" s="104">
        <v>6</v>
      </c>
      <c r="B12" s="97"/>
      <c r="C12" s="376"/>
      <c r="D12" s="374"/>
      <c r="E12" s="374"/>
      <c r="F12" s="1250"/>
      <c r="G12" s="377" t="s">
        <v>126</v>
      </c>
      <c r="H12" s="108" t="s">
        <v>206</v>
      </c>
      <c r="I12" s="386">
        <f>'4.Inki'!O228+'6.Önk.műk.'!N598+'9.Projekt'!L115+'10.MVP és hazai'!L82+'11.EKF'!L139</f>
        <v>3539424</v>
      </c>
      <c r="J12" s="386">
        <f>'4.Inki'!O233+'6.Önk.műk.'!N599+'9.Projekt'!L116+'10.MVP és hazai'!L83+'11.EKF'!L140</f>
        <v>4098797</v>
      </c>
      <c r="K12" s="1625">
        <f>'4.Inki'!O234+'6.Önk.műk.'!N600+'9.Projekt'!L117+'10.MVP és hazai'!L84+'11.EKF'!L141</f>
        <v>1565576</v>
      </c>
    </row>
    <row r="13" spans="1:11" ht="16.5">
      <c r="A13" s="104">
        <v>7</v>
      </c>
      <c r="B13" s="97"/>
      <c r="C13" s="376"/>
      <c r="D13" s="374"/>
      <c r="E13" s="374"/>
      <c r="F13" s="1250"/>
      <c r="G13" s="377" t="s">
        <v>207</v>
      </c>
      <c r="H13" s="108" t="s">
        <v>394</v>
      </c>
      <c r="I13" s="386">
        <f>'2.Onki'!J16+'2.Onki'!J26</f>
        <v>578014</v>
      </c>
      <c r="J13" s="386">
        <f>'2.Onki'!K16+'2.Onki'!K26</f>
        <v>551304</v>
      </c>
      <c r="K13" s="388">
        <f>'2.Onki'!L16+'2.Onki'!L26</f>
        <v>0</v>
      </c>
    </row>
    <row r="14" spans="1:11" s="1" customFormat="1" ht="24.75" customHeight="1">
      <c r="A14" s="104">
        <v>8</v>
      </c>
      <c r="B14" s="378"/>
      <c r="C14" s="379" t="s">
        <v>208</v>
      </c>
      <c r="D14" s="380">
        <f>SUM(D8:D13)</f>
        <v>14802459</v>
      </c>
      <c r="E14" s="380">
        <f>SUM(E8:E13)</f>
        <v>15394121</v>
      </c>
      <c r="F14" s="380">
        <f>SUM(F8:F13)</f>
        <v>9381294</v>
      </c>
      <c r="G14" s="381"/>
      <c r="H14" s="379" t="s">
        <v>209</v>
      </c>
      <c r="I14" s="1254">
        <f>SUM(I8:I13)</f>
        <v>15417288</v>
      </c>
      <c r="J14" s="1254">
        <f>SUM(J8:J13)</f>
        <v>17292226</v>
      </c>
      <c r="K14" s="382">
        <f>SUM(K8:K13)</f>
        <v>6102376</v>
      </c>
    </row>
    <row r="15" spans="1:11" ht="24.75" customHeight="1">
      <c r="A15" s="104">
        <v>9</v>
      </c>
      <c r="B15" s="383"/>
      <c r="C15" s="141" t="s">
        <v>210</v>
      </c>
      <c r="D15" s="419"/>
      <c r="E15" s="419"/>
      <c r="F15" s="1251"/>
      <c r="G15" s="384"/>
      <c r="H15" s="141" t="s">
        <v>211</v>
      </c>
      <c r="I15" s="1255"/>
      <c r="J15" s="1255"/>
      <c r="K15" s="1622"/>
    </row>
    <row r="16" spans="1:11" ht="16.5">
      <c r="A16" s="104">
        <v>10</v>
      </c>
      <c r="B16" s="95" t="s">
        <v>116</v>
      </c>
      <c r="C16" s="385" t="s">
        <v>212</v>
      </c>
      <c r="D16" s="386">
        <f>'1.Onbe'!J37+'1.Onbe'!J40</f>
        <v>12126355</v>
      </c>
      <c r="E16" s="386">
        <f>'1.Onbe'!K37+'1.Onbe'!K40</f>
        <v>11205773</v>
      </c>
      <c r="F16" s="386">
        <f>'1.Onbe'!L37+'1.Onbe'!L40</f>
        <v>7571422</v>
      </c>
      <c r="G16" s="387" t="s">
        <v>116</v>
      </c>
      <c r="H16" s="385" t="s">
        <v>213</v>
      </c>
      <c r="I16" s="386">
        <f>'2.Onki'!J11+'2.Onki'!J28</f>
        <v>30237804</v>
      </c>
      <c r="J16" s="386">
        <f>'2.Onki'!K11+'2.Onki'!K28</f>
        <v>32774330</v>
      </c>
      <c r="K16" s="388">
        <f>'2.Onki'!L11+'2.Onki'!L28</f>
        <v>9200738</v>
      </c>
    </row>
    <row r="17" spans="1:11" ht="16.5">
      <c r="A17" s="104">
        <v>11</v>
      </c>
      <c r="B17" s="95" t="s">
        <v>123</v>
      </c>
      <c r="C17" s="385" t="s">
        <v>174</v>
      </c>
      <c r="D17" s="386">
        <f>'1.Onbe'!J41+'1.Onbe'!J43</f>
        <v>920000</v>
      </c>
      <c r="E17" s="386">
        <f>'1.Onbe'!K41+'1.Onbe'!K43</f>
        <v>920000</v>
      </c>
      <c r="F17" s="386">
        <f>'1.Onbe'!L41+'1.Onbe'!L43</f>
        <v>581348</v>
      </c>
      <c r="G17" s="387" t="s">
        <v>123</v>
      </c>
      <c r="H17" s="385" t="s">
        <v>149</v>
      </c>
      <c r="I17" s="386">
        <f>'2.Onki'!J29</f>
        <v>60493</v>
      </c>
      <c r="J17" s="386">
        <f>'2.Onki'!K29</f>
        <v>348494</v>
      </c>
      <c r="K17" s="388">
        <f>'2.Onki'!L29</f>
        <v>25070</v>
      </c>
    </row>
    <row r="18" spans="1:11" ht="16.5">
      <c r="A18" s="104">
        <v>12</v>
      </c>
      <c r="B18" s="95" t="s">
        <v>124</v>
      </c>
      <c r="C18" s="106" t="s">
        <v>177</v>
      </c>
      <c r="D18" s="386">
        <f>'1.Onbe'!J44+'1.Onbe'!J45</f>
        <v>0</v>
      </c>
      <c r="E18" s="386">
        <f>'1.Onbe'!K44+'1.Onbe'!K45</f>
        <v>3492917</v>
      </c>
      <c r="F18" s="386">
        <f>'1.Onbe'!L44+'1.Onbe'!L45</f>
        <v>1871309</v>
      </c>
      <c r="G18" s="387" t="s">
        <v>124</v>
      </c>
      <c r="H18" s="385" t="s">
        <v>214</v>
      </c>
      <c r="I18" s="386">
        <f>'2.Onki'!J30</f>
        <v>23753</v>
      </c>
      <c r="J18" s="386">
        <f>'2.Onki'!K30</f>
        <v>65393</v>
      </c>
      <c r="K18" s="388">
        <f>'2.Onki'!L30</f>
        <v>2500</v>
      </c>
    </row>
    <row r="19" spans="1:11" ht="16.5">
      <c r="A19" s="104">
        <v>13</v>
      </c>
      <c r="B19" s="95"/>
      <c r="D19" s="386"/>
      <c r="E19" s="386"/>
      <c r="F19" s="1252"/>
      <c r="G19" s="387" t="s">
        <v>125</v>
      </c>
      <c r="H19" s="385" t="s">
        <v>395</v>
      </c>
      <c r="I19" s="386">
        <f>'2.Onki'!J22</f>
        <v>363655</v>
      </c>
      <c r="J19" s="386">
        <f>'2.Onki'!K22</f>
        <v>455510</v>
      </c>
      <c r="K19" s="388">
        <f>'2.Onki'!L22</f>
        <v>0</v>
      </c>
    </row>
    <row r="20" spans="1:11" s="1" customFormat="1" ht="24.75" customHeight="1" thickBot="1">
      <c r="A20" s="104">
        <v>14</v>
      </c>
      <c r="B20" s="389"/>
      <c r="C20" s="390" t="s">
        <v>215</v>
      </c>
      <c r="D20" s="420">
        <f>SUM(D16:D19)</f>
        <v>13046355</v>
      </c>
      <c r="E20" s="420">
        <f>SUM(E16:E19)</f>
        <v>15618690</v>
      </c>
      <c r="F20" s="420">
        <f>SUM(F16:F19)</f>
        <v>10024079</v>
      </c>
      <c r="G20" s="391"/>
      <c r="H20" s="390" t="s">
        <v>216</v>
      </c>
      <c r="I20" s="420">
        <f>SUM(I16:I19)</f>
        <v>30685705</v>
      </c>
      <c r="J20" s="420">
        <f>SUM(J16:J19)</f>
        <v>33643727</v>
      </c>
      <c r="K20" s="392">
        <f>SUM(K16:K19)</f>
        <v>9228308</v>
      </c>
    </row>
    <row r="21" spans="1:11" s="1" customFormat="1" ht="24.75" customHeight="1" thickBot="1" thickTop="1">
      <c r="A21" s="104">
        <v>15</v>
      </c>
      <c r="B21" s="393"/>
      <c r="C21" s="394" t="s">
        <v>180</v>
      </c>
      <c r="D21" s="1249">
        <f>SUM(D14,D20)</f>
        <v>27848814</v>
      </c>
      <c r="E21" s="1249">
        <f>SUM(E14,E20)</f>
        <v>31012811</v>
      </c>
      <c r="F21" s="1249">
        <f>SUM(F14,F20)</f>
        <v>19405373</v>
      </c>
      <c r="G21" s="395"/>
      <c r="H21" s="394" t="s">
        <v>193</v>
      </c>
      <c r="I21" s="1256">
        <f>SUM(I14,I20)</f>
        <v>46102993</v>
      </c>
      <c r="J21" s="1256">
        <f>SUM(J14,J20)</f>
        <v>50935953</v>
      </c>
      <c r="K21" s="428">
        <f>SUM(K14,K20)</f>
        <v>15330684</v>
      </c>
    </row>
    <row r="22" spans="1:11" s="1" customFormat="1" ht="24.75" customHeight="1" thickTop="1">
      <c r="A22" s="104">
        <v>16</v>
      </c>
      <c r="B22" s="396"/>
      <c r="C22" s="141" t="s">
        <v>217</v>
      </c>
      <c r="D22" s="421"/>
      <c r="E22" s="421"/>
      <c r="F22" s="1253"/>
      <c r="G22" s="397"/>
      <c r="H22" s="141" t="s">
        <v>218</v>
      </c>
      <c r="I22" s="421"/>
      <c r="J22" s="421"/>
      <c r="K22" s="1623"/>
    </row>
    <row r="23" spans="1:11" s="1" customFormat="1" ht="16.5">
      <c r="A23" s="104">
        <v>17</v>
      </c>
      <c r="B23" s="20" t="s">
        <v>116</v>
      </c>
      <c r="C23" s="1" t="s">
        <v>219</v>
      </c>
      <c r="D23" s="421"/>
      <c r="E23" s="421"/>
      <c r="F23" s="1253"/>
      <c r="G23" s="397" t="s">
        <v>116</v>
      </c>
      <c r="H23" s="1" t="s">
        <v>220</v>
      </c>
      <c r="I23" s="421">
        <v>0</v>
      </c>
      <c r="J23" s="421"/>
      <c r="K23" s="1623"/>
    </row>
    <row r="24" spans="1:11" s="1" customFormat="1" ht="16.5">
      <c r="A24" s="104">
        <v>18</v>
      </c>
      <c r="B24" s="20" t="s">
        <v>123</v>
      </c>
      <c r="C24" s="1" t="s">
        <v>282</v>
      </c>
      <c r="D24" s="421">
        <f>'1.Onbe'!J53</f>
        <v>1391913</v>
      </c>
      <c r="E24" s="421">
        <f>'1.Onbe'!K53</f>
        <v>2897017</v>
      </c>
      <c r="F24" s="421">
        <f>'1.Onbe'!L53</f>
        <v>2897017</v>
      </c>
      <c r="G24" s="397" t="s">
        <v>123</v>
      </c>
      <c r="H24" s="1" t="s">
        <v>246</v>
      </c>
      <c r="I24" s="421">
        <f>'2.Onki'!J37</f>
        <v>180835</v>
      </c>
      <c r="J24" s="421">
        <f>'2.Onki'!K37</f>
        <v>180835</v>
      </c>
      <c r="K24" s="429">
        <f>'2.Onki'!L37</f>
        <v>215926</v>
      </c>
    </row>
    <row r="25" spans="1:11" s="1" customFormat="1" ht="16.5">
      <c r="A25" s="104">
        <v>19</v>
      </c>
      <c r="B25" s="20" t="s">
        <v>124</v>
      </c>
      <c r="C25" s="1" t="s">
        <v>245</v>
      </c>
      <c r="D25" s="421">
        <f>'1.Onbe'!J51</f>
        <v>0</v>
      </c>
      <c r="E25" s="421">
        <f>'1.Onbe'!K51</f>
        <v>0</v>
      </c>
      <c r="F25" s="421">
        <f>'1.Onbe'!L51</f>
        <v>35064</v>
      </c>
      <c r="G25" s="397"/>
      <c r="I25" s="421"/>
      <c r="J25" s="421"/>
      <c r="K25" s="1623"/>
    </row>
    <row r="26" spans="1:11" s="1" customFormat="1" ht="24" customHeight="1">
      <c r="A26" s="104">
        <v>20</v>
      </c>
      <c r="B26" s="396"/>
      <c r="C26" s="141" t="s">
        <v>221</v>
      </c>
      <c r="D26" s="421"/>
      <c r="E26" s="421"/>
      <c r="F26" s="1253"/>
      <c r="G26" s="397"/>
      <c r="H26" s="141" t="s">
        <v>222</v>
      </c>
      <c r="I26" s="421"/>
      <c r="J26" s="421"/>
      <c r="K26" s="1623"/>
    </row>
    <row r="27" spans="1:11" s="1" customFormat="1" ht="16.5">
      <c r="A27" s="104">
        <v>21</v>
      </c>
      <c r="B27" s="20" t="s">
        <v>125</v>
      </c>
      <c r="C27" s="1" t="s">
        <v>223</v>
      </c>
      <c r="D27" s="421">
        <f>'1.Onbe'!J64+'1.Onbe'!J63</f>
        <v>1176517</v>
      </c>
      <c r="E27" s="421">
        <f>'1.Onbe'!K64+'1.Onbe'!K63</f>
        <v>1176517</v>
      </c>
      <c r="F27" s="421">
        <f>'1.Onbe'!L64+'1.Onbe'!L63</f>
        <v>0</v>
      </c>
      <c r="G27" s="397" t="s">
        <v>124</v>
      </c>
      <c r="H27" s="1" t="s">
        <v>224</v>
      </c>
      <c r="I27" s="421">
        <f>'2.Onki'!J39</f>
        <v>138187</v>
      </c>
      <c r="J27" s="421">
        <f>'2.Onki'!K39</f>
        <v>138187</v>
      </c>
      <c r="K27" s="429">
        <f>'2.Onki'!L39</f>
        <v>30911</v>
      </c>
    </row>
    <row r="28" spans="1:11" s="1" customFormat="1" ht="16.5">
      <c r="A28" s="104">
        <v>22</v>
      </c>
      <c r="B28" s="20" t="s">
        <v>126</v>
      </c>
      <c r="C28" s="1" t="s">
        <v>219</v>
      </c>
      <c r="D28" s="421"/>
      <c r="E28" s="421"/>
      <c r="F28" s="1253"/>
      <c r="G28" s="397" t="s">
        <v>125</v>
      </c>
      <c r="H28" s="1" t="s">
        <v>220</v>
      </c>
      <c r="I28" s="421"/>
      <c r="J28" s="421"/>
      <c r="K28" s="1623"/>
    </row>
    <row r="29" spans="1:11" s="1" customFormat="1" ht="16.5">
      <c r="A29" s="104">
        <v>23</v>
      </c>
      <c r="B29" s="20" t="s">
        <v>207</v>
      </c>
      <c r="C29" s="1" t="s">
        <v>282</v>
      </c>
      <c r="D29" s="421">
        <f>'1.Onbe'!J57</f>
        <v>16004771</v>
      </c>
      <c r="E29" s="421">
        <f>'1.Onbe'!K57</f>
        <v>16168630</v>
      </c>
      <c r="F29" s="421">
        <f>'1.Onbe'!L57</f>
        <v>16168630</v>
      </c>
      <c r="G29" s="397"/>
      <c r="I29" s="421"/>
      <c r="J29" s="421"/>
      <c r="K29" s="1623"/>
    </row>
    <row r="30" spans="1:38" s="399" customFormat="1" ht="24.75" customHeight="1" thickBot="1">
      <c r="A30" s="104">
        <v>24</v>
      </c>
      <c r="B30" s="300"/>
      <c r="C30" s="179" t="s">
        <v>225</v>
      </c>
      <c r="D30" s="422">
        <f>SUM(D22:D29)</f>
        <v>18573201</v>
      </c>
      <c r="E30" s="422">
        <f>SUM(E22:E29)</f>
        <v>20242164</v>
      </c>
      <c r="F30" s="422">
        <f>SUM(F22:F29)</f>
        <v>19100711</v>
      </c>
      <c r="G30" s="398"/>
      <c r="H30" s="179" t="s">
        <v>226</v>
      </c>
      <c r="I30" s="422">
        <f>SUM(I22:I29)</f>
        <v>319022</v>
      </c>
      <c r="J30" s="422">
        <f>SUM(J22:J29)</f>
        <v>319022</v>
      </c>
      <c r="K30" s="430">
        <f>SUM(K22:K29)</f>
        <v>246837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11" s="1" customFormat="1" ht="30" customHeight="1" thickBot="1" thickTop="1">
      <c r="A31" s="104">
        <v>25</v>
      </c>
      <c r="B31" s="400"/>
      <c r="C31" s="179" t="s">
        <v>227</v>
      </c>
      <c r="D31" s="420">
        <f>SUM(D21,D30)</f>
        <v>46422015</v>
      </c>
      <c r="E31" s="420">
        <f>SUM(E21,E30)</f>
        <v>51254975</v>
      </c>
      <c r="F31" s="420">
        <f>SUM(F21,F30)</f>
        <v>38506084</v>
      </c>
      <c r="G31" s="401"/>
      <c r="H31" s="179" t="s">
        <v>228</v>
      </c>
      <c r="I31" s="420">
        <f>SUM(I21,I30)</f>
        <v>46422015</v>
      </c>
      <c r="J31" s="420">
        <f>SUM(J21,J30)</f>
        <v>51254975</v>
      </c>
      <c r="K31" s="392">
        <f>SUM(K21,K30)</f>
        <v>15577521</v>
      </c>
    </row>
    <row r="32" spans="1:11" s="1" customFormat="1" ht="18" thickTop="1">
      <c r="A32" s="104">
        <v>26</v>
      </c>
      <c r="B32" s="402"/>
      <c r="C32" s="403" t="s">
        <v>181</v>
      </c>
      <c r="D32" s="423">
        <f>+D21-I21</f>
        <v>-18254179</v>
      </c>
      <c r="E32" s="423">
        <f>+E21-J21</f>
        <v>-19923142</v>
      </c>
      <c r="F32" s="423">
        <f>+F21-K21</f>
        <v>4074689</v>
      </c>
      <c r="G32" s="404"/>
      <c r="H32" s="405"/>
      <c r="I32" s="421"/>
      <c r="J32" s="421"/>
      <c r="K32" s="1623"/>
    </row>
    <row r="33" spans="1:11" s="1" customFormat="1" ht="17.25">
      <c r="A33" s="104">
        <v>27</v>
      </c>
      <c r="B33" s="406"/>
      <c r="C33" s="407" t="s">
        <v>229</v>
      </c>
      <c r="D33" s="424">
        <f>+D14-I14</f>
        <v>-614829</v>
      </c>
      <c r="E33" s="424">
        <f>+E14-J14</f>
        <v>-1898105</v>
      </c>
      <c r="F33" s="424">
        <f>+F14-K14</f>
        <v>3278918</v>
      </c>
      <c r="G33" s="404"/>
      <c r="H33" s="405"/>
      <c r="I33" s="421"/>
      <c r="J33" s="421"/>
      <c r="K33" s="1623"/>
    </row>
    <row r="34" spans="1:11" s="1" customFormat="1" ht="17.25">
      <c r="A34" s="104">
        <v>28</v>
      </c>
      <c r="B34" s="406"/>
      <c r="C34" s="407" t="s">
        <v>230</v>
      </c>
      <c r="D34" s="424">
        <f>+D20-I20</f>
        <v>-17639350</v>
      </c>
      <c r="E34" s="424">
        <f>+E20-J20</f>
        <v>-18025037</v>
      </c>
      <c r="F34" s="424">
        <f>+F20-K20</f>
        <v>795771</v>
      </c>
      <c r="G34" s="404"/>
      <c r="H34" s="405"/>
      <c r="I34" s="421"/>
      <c r="J34" s="421"/>
      <c r="K34" s="1623"/>
    </row>
    <row r="35" spans="1:11" s="1" customFormat="1" ht="17.25">
      <c r="A35" s="104">
        <v>29</v>
      </c>
      <c r="B35" s="406"/>
      <c r="C35" s="408" t="s">
        <v>231</v>
      </c>
      <c r="D35" s="424">
        <f>+D32-I30</f>
        <v>-18573201</v>
      </c>
      <c r="E35" s="424">
        <f>+E32-J30</f>
        <v>-20242164</v>
      </c>
      <c r="F35" s="424">
        <f>+F32-K30</f>
        <v>3827852</v>
      </c>
      <c r="G35" s="404"/>
      <c r="H35" s="405"/>
      <c r="I35" s="421"/>
      <c r="J35" s="421"/>
      <c r="K35" s="1623"/>
    </row>
    <row r="36" spans="1:11" s="1" customFormat="1" ht="32.25" customHeight="1">
      <c r="A36" s="104">
        <v>30</v>
      </c>
      <c r="B36" s="406"/>
      <c r="C36" s="409" t="s">
        <v>341</v>
      </c>
      <c r="D36" s="424">
        <f>D29+D24</f>
        <v>17396684</v>
      </c>
      <c r="E36" s="424">
        <f>E29+E24+E25</f>
        <v>19065647</v>
      </c>
      <c r="F36" s="424">
        <f>F29+F24+F25</f>
        <v>19100711</v>
      </c>
      <c r="G36" s="404"/>
      <c r="H36" s="405"/>
      <c r="I36" s="421"/>
      <c r="J36" s="421"/>
      <c r="K36" s="1623"/>
    </row>
    <row r="37" spans="1:11" s="1" customFormat="1" ht="33.75" customHeight="1">
      <c r="A37" s="104">
        <v>31</v>
      </c>
      <c r="B37" s="410"/>
      <c r="C37" s="411" t="s">
        <v>342</v>
      </c>
      <c r="D37" s="425">
        <f>D27</f>
        <v>1176517</v>
      </c>
      <c r="E37" s="425">
        <f>E27</f>
        <v>1176517</v>
      </c>
      <c r="F37" s="425">
        <f>F27</f>
        <v>0</v>
      </c>
      <c r="G37" s="412"/>
      <c r="H37" s="413"/>
      <c r="I37" s="1257"/>
      <c r="J37" s="1257"/>
      <c r="K37" s="1624"/>
    </row>
    <row r="38" spans="1:11" ht="19.5" customHeight="1">
      <c r="A38" s="104">
        <v>32</v>
      </c>
      <c r="B38" s="414"/>
      <c r="C38" s="106" t="s">
        <v>232</v>
      </c>
      <c r="D38" s="426">
        <f>(D14+D23+D24+D25)/D31</f>
        <v>0.34885112160684967</v>
      </c>
      <c r="E38" s="426">
        <f>(E14+E23+E24+E25)/E31</f>
        <v>0.3568656115820952</v>
      </c>
      <c r="F38" s="426">
        <f>(F14+F23+F24+F25)/F31</f>
        <v>0.31977738894456265</v>
      </c>
      <c r="G38" s="415"/>
      <c r="H38" s="106" t="s">
        <v>233</v>
      </c>
      <c r="I38" s="426">
        <f>(I14+I23+I24)/I31</f>
        <v>0.33600702166849067</v>
      </c>
      <c r="J38" s="426">
        <f>(J14+J23+J24)/J31</f>
        <v>0.34090468291126863</v>
      </c>
      <c r="K38" s="431">
        <f>(K14+K23+K24)/K31</f>
        <v>0.40560381847663696</v>
      </c>
    </row>
    <row r="39" spans="1:11" ht="19.5" customHeight="1" thickBot="1">
      <c r="A39" s="104">
        <v>33</v>
      </c>
      <c r="B39" s="416"/>
      <c r="C39" s="417" t="s">
        <v>234</v>
      </c>
      <c r="D39" s="427">
        <f>(D20+D27+D28+D29)/D31</f>
        <v>0.6511488783931503</v>
      </c>
      <c r="E39" s="427">
        <f>(E20+E27+E28+E29)/E31</f>
        <v>0.6431343884179048</v>
      </c>
      <c r="F39" s="427">
        <f>(F20+F27+F28+F29)/F31</f>
        <v>0.6802226110554374</v>
      </c>
      <c r="G39" s="418"/>
      <c r="H39" s="417" t="s">
        <v>235</v>
      </c>
      <c r="I39" s="427">
        <f>(I20+I27+I28)/I31</f>
        <v>0.6639929783315093</v>
      </c>
      <c r="J39" s="427">
        <f>(J20+J27+J28)/J31</f>
        <v>0.6590953170887314</v>
      </c>
      <c r="K39" s="432">
        <f>(K20+K27+K28)/K31</f>
        <v>0.594396181523363</v>
      </c>
    </row>
    <row r="40" ht="16.5">
      <c r="H40" s="106" t="s">
        <v>236</v>
      </c>
    </row>
  </sheetData>
  <sheetProtection/>
  <mergeCells count="4">
    <mergeCell ref="B2:C2"/>
    <mergeCell ref="B1:N1"/>
    <mergeCell ref="B3:K3"/>
    <mergeCell ref="B4:K4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3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zoomScalePageLayoutView="0" workbookViewId="0" topLeftCell="A1">
      <pane xSplit="5" ySplit="7" topLeftCell="F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14" sqref="C14"/>
    </sheetView>
  </sheetViews>
  <sheetFormatPr defaultColWidth="13.625" defaultRowHeight="12.75"/>
  <cols>
    <col min="1" max="1" width="3.75390625" style="1651" customWidth="1"/>
    <col min="2" max="2" width="3.75390625" style="1652" customWidth="1"/>
    <col min="3" max="3" width="18.875" style="1696" customWidth="1"/>
    <col min="4" max="4" width="15.75390625" style="1652" customWidth="1"/>
    <col min="5" max="5" width="14.75390625" style="1652" customWidth="1"/>
    <col min="6" max="6" width="15.75390625" style="1652" customWidth="1"/>
    <col min="7" max="7" width="13.75390625" style="1652" customWidth="1"/>
    <col min="8" max="11" width="15.75390625" style="1652" customWidth="1"/>
    <col min="12" max="12" width="13.75390625" style="1652" customWidth="1"/>
    <col min="13" max="14" width="13.75390625" style="1653" customWidth="1"/>
    <col min="15" max="242" width="8.00390625" style="1653" customWidth="1"/>
    <col min="243" max="243" width="2.375" style="1653" bestFit="1" customWidth="1"/>
    <col min="244" max="244" width="28.25390625" style="1653" bestFit="1" customWidth="1"/>
    <col min="245" max="245" width="14.25390625" style="1653" bestFit="1" customWidth="1"/>
    <col min="246" max="246" width="13.625" style="1653" bestFit="1" customWidth="1"/>
    <col min="247" max="247" width="10.75390625" style="1653" bestFit="1" customWidth="1"/>
    <col min="248" max="248" width="9.375" style="1653" bestFit="1" customWidth="1"/>
    <col min="249" max="249" width="9.875" style="1653" bestFit="1" customWidth="1"/>
    <col min="250" max="250" width="11.25390625" style="1653" bestFit="1" customWidth="1"/>
    <col min="251" max="251" width="9.125" style="1653" customWidth="1"/>
    <col min="252" max="253" width="3.75390625" style="1653" customWidth="1"/>
    <col min="254" max="254" width="18.875" style="1653" customWidth="1"/>
    <col min="255" max="255" width="19.75390625" style="1653" customWidth="1"/>
    <col min="256" max="16384" width="13.625" style="1653" customWidth="1"/>
  </cols>
  <sheetData>
    <row r="1" spans="2:6" ht="16.5">
      <c r="B1" s="2084" t="s">
        <v>921</v>
      </c>
      <c r="C1" s="2084"/>
      <c r="D1" s="2084"/>
      <c r="E1" s="2084"/>
      <c r="F1" s="2084"/>
    </row>
    <row r="2" spans="1:14" s="1654" customFormat="1" ht="17.25">
      <c r="A2" s="1651"/>
      <c r="B2" s="2085" t="s">
        <v>111</v>
      </c>
      <c r="C2" s="2085"/>
      <c r="D2" s="2085"/>
      <c r="E2" s="2085"/>
      <c r="F2" s="2085"/>
      <c r="G2" s="2085"/>
      <c r="H2" s="2085"/>
      <c r="I2" s="2085"/>
      <c r="J2" s="2085"/>
      <c r="K2" s="2085"/>
      <c r="L2" s="2085"/>
      <c r="M2" s="2085"/>
      <c r="N2" s="2085"/>
    </row>
    <row r="3" spans="1:14" s="1654" customFormat="1" ht="17.25">
      <c r="A3" s="1651"/>
      <c r="B3" s="2085" t="s">
        <v>14</v>
      </c>
      <c r="C3" s="2085"/>
      <c r="D3" s="2085"/>
      <c r="E3" s="2085"/>
      <c r="F3" s="2085"/>
      <c r="G3" s="2085"/>
      <c r="H3" s="2085"/>
      <c r="I3" s="2085"/>
      <c r="J3" s="2085"/>
      <c r="K3" s="2085"/>
      <c r="L3" s="2085"/>
      <c r="M3" s="2085"/>
      <c r="N3" s="2085"/>
    </row>
    <row r="4" spans="1:14" s="1654" customFormat="1" ht="17.25">
      <c r="A4" s="1651"/>
      <c r="B4" s="2085" t="s">
        <v>922</v>
      </c>
      <c r="C4" s="2085"/>
      <c r="D4" s="2085"/>
      <c r="E4" s="2085"/>
      <c r="F4" s="2085"/>
      <c r="G4" s="2085"/>
      <c r="H4" s="2085"/>
      <c r="I4" s="2085"/>
      <c r="J4" s="2085"/>
      <c r="K4" s="2085"/>
      <c r="L4" s="2085"/>
      <c r="M4" s="2085"/>
      <c r="N4" s="2085"/>
    </row>
    <row r="5" spans="2:14" ht="17.25">
      <c r="B5" s="1655"/>
      <c r="C5" s="1655"/>
      <c r="D5" s="1655"/>
      <c r="E5" s="1655"/>
      <c r="F5" s="1655"/>
      <c r="G5" s="1655"/>
      <c r="H5" s="1655"/>
      <c r="I5" s="1655"/>
      <c r="J5" s="1655"/>
      <c r="K5" s="1655"/>
      <c r="L5" s="1655"/>
      <c r="M5" s="2086" t="s">
        <v>0</v>
      </c>
      <c r="N5" s="2086"/>
    </row>
    <row r="6" spans="2:14" ht="17.25" thickBot="1">
      <c r="B6" s="2087" t="s">
        <v>1</v>
      </c>
      <c r="C6" s="2087"/>
      <c r="D6" s="1656" t="s">
        <v>3</v>
      </c>
      <c r="E6" s="1656" t="s">
        <v>2</v>
      </c>
      <c r="F6" s="1656" t="s">
        <v>4</v>
      </c>
      <c r="G6" s="1656" t="s">
        <v>5</v>
      </c>
      <c r="H6" s="1656" t="s">
        <v>15</v>
      </c>
      <c r="I6" s="1656" t="s">
        <v>16</v>
      </c>
      <c r="J6" s="1656" t="s">
        <v>17</v>
      </c>
      <c r="K6" s="1656" t="s">
        <v>33</v>
      </c>
      <c r="L6" s="1656" t="s">
        <v>29</v>
      </c>
      <c r="M6" s="1657" t="s">
        <v>22</v>
      </c>
      <c r="N6" s="1657" t="s">
        <v>34</v>
      </c>
    </row>
    <row r="7" spans="2:14" s="1651" customFormat="1" ht="33.75" thickBot="1">
      <c r="B7" s="2079" t="s">
        <v>923</v>
      </c>
      <c r="C7" s="2080"/>
      <c r="D7" s="1658" t="s">
        <v>924</v>
      </c>
      <c r="E7" s="1658" t="s">
        <v>925</v>
      </c>
      <c r="F7" s="1658" t="s">
        <v>926</v>
      </c>
      <c r="G7" s="1658" t="s">
        <v>927</v>
      </c>
      <c r="H7" s="1658" t="s">
        <v>928</v>
      </c>
      <c r="I7" s="1658" t="s">
        <v>929</v>
      </c>
      <c r="J7" s="1658" t="s">
        <v>930</v>
      </c>
      <c r="K7" s="1658" t="s">
        <v>931</v>
      </c>
      <c r="L7" s="1659" t="s">
        <v>932</v>
      </c>
      <c r="M7" s="1659" t="s">
        <v>933</v>
      </c>
      <c r="N7" s="1660" t="s">
        <v>934</v>
      </c>
    </row>
    <row r="8" spans="1:14" ht="33.75" thickTop="1">
      <c r="A8" s="1651">
        <v>1</v>
      </c>
      <c r="B8" s="1661" t="s">
        <v>116</v>
      </c>
      <c r="C8" s="1662" t="s">
        <v>935</v>
      </c>
      <c r="D8" s="1663" t="s">
        <v>936</v>
      </c>
      <c r="E8" s="1664" t="s">
        <v>937</v>
      </c>
      <c r="F8" s="1665">
        <v>44469</v>
      </c>
      <c r="G8" s="1666">
        <v>1500000</v>
      </c>
      <c r="H8" s="1666">
        <v>0</v>
      </c>
      <c r="I8" s="1666">
        <v>0</v>
      </c>
      <c r="J8" s="1666">
        <v>0</v>
      </c>
      <c r="K8" s="1666">
        <v>0</v>
      </c>
      <c r="L8" s="1666"/>
      <c r="M8" s="1666"/>
      <c r="N8" s="1667">
        <v>0</v>
      </c>
    </row>
    <row r="9" spans="1:14" ht="33">
      <c r="A9" s="1651">
        <v>2</v>
      </c>
      <c r="B9" s="1668" t="s">
        <v>123</v>
      </c>
      <c r="C9" s="1669" t="s">
        <v>938</v>
      </c>
      <c r="D9" s="1670" t="s">
        <v>939</v>
      </c>
      <c r="E9" s="1671">
        <v>40736</v>
      </c>
      <c r="F9" s="1671">
        <v>48040</v>
      </c>
      <c r="G9" s="1672">
        <v>484000</v>
      </c>
      <c r="H9" s="1672">
        <v>27285</v>
      </c>
      <c r="I9" s="1672">
        <v>0</v>
      </c>
      <c r="J9" s="1672">
        <f>3085*2</f>
        <v>6170</v>
      </c>
      <c r="K9" s="1672">
        <f>H9+I9-J9</f>
        <v>21115</v>
      </c>
      <c r="L9" s="1672">
        <v>0</v>
      </c>
      <c r="M9" s="1672">
        <v>6170</v>
      </c>
      <c r="N9" s="1673">
        <f aca="true" t="shared" si="0" ref="N9:N15">K9+L9-M9</f>
        <v>14945</v>
      </c>
    </row>
    <row r="10" spans="1:14" ht="33">
      <c r="A10" s="1651">
        <v>3</v>
      </c>
      <c r="B10" s="1668" t="s">
        <v>124</v>
      </c>
      <c r="C10" s="1669" t="s">
        <v>940</v>
      </c>
      <c r="D10" s="1670" t="s">
        <v>941</v>
      </c>
      <c r="E10" s="1671">
        <v>41555</v>
      </c>
      <c r="F10" s="1671">
        <v>48859</v>
      </c>
      <c r="G10" s="1672">
        <v>200000</v>
      </c>
      <c r="H10" s="1672">
        <v>103493</v>
      </c>
      <c r="I10" s="1672">
        <v>0</v>
      </c>
      <c r="J10" s="1672">
        <f>2230+2229</f>
        <v>4459</v>
      </c>
      <c r="K10" s="1672">
        <f>H10+I10-J10</f>
        <v>99034</v>
      </c>
      <c r="L10" s="1672">
        <v>0</v>
      </c>
      <c r="M10" s="1672">
        <v>4459</v>
      </c>
      <c r="N10" s="1673">
        <f t="shared" si="0"/>
        <v>94575</v>
      </c>
    </row>
    <row r="11" spans="1:14" ht="33">
      <c r="A11" s="1651">
        <v>4</v>
      </c>
      <c r="B11" s="1668" t="s">
        <v>125</v>
      </c>
      <c r="C11" s="1669" t="s">
        <v>942</v>
      </c>
      <c r="D11" s="1670" t="s">
        <v>939</v>
      </c>
      <c r="E11" s="1671">
        <v>41759</v>
      </c>
      <c r="F11" s="1671">
        <v>49064</v>
      </c>
      <c r="G11" s="1672">
        <v>200000</v>
      </c>
      <c r="H11" s="1672">
        <v>119954</v>
      </c>
      <c r="I11" s="1672">
        <v>0</v>
      </c>
      <c r="J11" s="1672">
        <f>8886/2</f>
        <v>4443</v>
      </c>
      <c r="K11" s="1672">
        <f>H11+I11-J11</f>
        <v>115511</v>
      </c>
      <c r="L11" s="1672">
        <v>0</v>
      </c>
      <c r="M11" s="1672">
        <f>8886/2-1</f>
        <v>4442</v>
      </c>
      <c r="N11" s="1673">
        <f t="shared" si="0"/>
        <v>111069</v>
      </c>
    </row>
    <row r="12" spans="1:14" ht="33">
      <c r="A12" s="1651">
        <v>5</v>
      </c>
      <c r="B12" s="1668" t="s">
        <v>126</v>
      </c>
      <c r="C12" s="1674" t="s">
        <v>943</v>
      </c>
      <c r="D12" s="1675" t="s">
        <v>936</v>
      </c>
      <c r="E12" s="1676">
        <v>41759</v>
      </c>
      <c r="F12" s="1676">
        <v>45285</v>
      </c>
      <c r="G12" s="1677">
        <v>151317</v>
      </c>
      <c r="H12" s="1677">
        <v>57842</v>
      </c>
      <c r="I12" s="1672">
        <v>0</v>
      </c>
      <c r="J12" s="1672">
        <f>4919.7*2</f>
        <v>9839.4</v>
      </c>
      <c r="K12" s="1672">
        <f>H12+I12-J12</f>
        <v>48002.6</v>
      </c>
      <c r="L12" s="1672">
        <v>0</v>
      </c>
      <c r="M12" s="1672">
        <f>4919.7*2</f>
        <v>9839.4</v>
      </c>
      <c r="N12" s="1673">
        <f t="shared" si="0"/>
        <v>38163.2</v>
      </c>
    </row>
    <row r="13" spans="1:14" ht="33">
      <c r="A13" s="1651">
        <v>6</v>
      </c>
      <c r="B13" s="1678" t="s">
        <v>207</v>
      </c>
      <c r="C13" s="1674" t="s">
        <v>944</v>
      </c>
      <c r="D13" s="1675" t="s">
        <v>936</v>
      </c>
      <c r="E13" s="1676">
        <v>42943</v>
      </c>
      <c r="F13" s="1676">
        <v>46568</v>
      </c>
      <c r="G13" s="1677">
        <v>99000</v>
      </c>
      <c r="H13" s="1677">
        <v>81000</v>
      </c>
      <c r="I13" s="1677">
        <v>0</v>
      </c>
      <c r="J13" s="1677">
        <v>6000</v>
      </c>
      <c r="K13" s="1677">
        <f>H13+I13-J13</f>
        <v>75000</v>
      </c>
      <c r="L13" s="1677">
        <v>0</v>
      </c>
      <c r="M13" s="1677">
        <v>6000</v>
      </c>
      <c r="N13" s="1673">
        <f t="shared" si="0"/>
        <v>69000</v>
      </c>
    </row>
    <row r="14" spans="1:14" ht="33">
      <c r="A14" s="1651">
        <v>7</v>
      </c>
      <c r="B14" s="1678" t="s">
        <v>945</v>
      </c>
      <c r="C14" s="1674" t="s">
        <v>946</v>
      </c>
      <c r="D14" s="1675" t="s">
        <v>936</v>
      </c>
      <c r="E14" s="1679">
        <v>43641</v>
      </c>
      <c r="F14" s="1679">
        <v>47299</v>
      </c>
      <c r="G14" s="1677">
        <v>1260000</v>
      </c>
      <c r="H14" s="1677">
        <v>645374</v>
      </c>
      <c r="I14" s="1677">
        <v>0</v>
      </c>
      <c r="J14" s="1677"/>
      <c r="K14" s="1677">
        <f>H14+I14-J14</f>
        <v>645374</v>
      </c>
      <c r="L14" s="1677">
        <v>614626</v>
      </c>
      <c r="M14" s="1677">
        <v>76364</v>
      </c>
      <c r="N14" s="1673">
        <f t="shared" si="0"/>
        <v>1183636</v>
      </c>
    </row>
    <row r="15" spans="1:14" ht="33.75" thickBot="1">
      <c r="A15" s="1651">
        <v>8</v>
      </c>
      <c r="B15" s="1680" t="s">
        <v>947</v>
      </c>
      <c r="C15" s="1681" t="s">
        <v>948</v>
      </c>
      <c r="D15" s="1682" t="s">
        <v>949</v>
      </c>
      <c r="E15" s="1683" t="s">
        <v>614</v>
      </c>
      <c r="F15" s="1683" t="s">
        <v>950</v>
      </c>
      <c r="G15" s="1684">
        <v>0</v>
      </c>
      <c r="H15" s="1684">
        <v>0</v>
      </c>
      <c r="I15" s="1684">
        <v>0</v>
      </c>
      <c r="J15" s="1684">
        <v>0</v>
      </c>
      <c r="K15" s="1684">
        <f>H15+I15-J15</f>
        <v>0</v>
      </c>
      <c r="L15" s="1684"/>
      <c r="M15" s="1684">
        <v>0</v>
      </c>
      <c r="N15" s="1685">
        <f t="shared" si="0"/>
        <v>0</v>
      </c>
    </row>
    <row r="16" spans="2:14" ht="17.25" thickTop="1">
      <c r="B16" s="1686"/>
      <c r="C16" s="1687"/>
      <c r="D16" s="1688"/>
      <c r="E16" s="1689"/>
      <c r="F16" s="1689"/>
      <c r="G16" s="1690"/>
      <c r="H16" s="1691"/>
      <c r="I16" s="1691"/>
      <c r="J16" s="1691"/>
      <c r="K16" s="1691"/>
      <c r="L16" s="1691"/>
      <c r="M16" s="1691"/>
      <c r="N16" s="1692"/>
    </row>
    <row r="17" spans="1:14" s="1654" customFormat="1" ht="18" thickBot="1">
      <c r="A17" s="1651">
        <v>9</v>
      </c>
      <c r="B17" s="1693" t="s">
        <v>951</v>
      </c>
      <c r="C17" s="2081" t="s">
        <v>952</v>
      </c>
      <c r="D17" s="2082"/>
      <c r="E17" s="2082"/>
      <c r="F17" s="2082"/>
      <c r="G17" s="2083"/>
      <c r="H17" s="1694">
        <f>SUM(H8:H16)</f>
        <v>1034948</v>
      </c>
      <c r="I17" s="1694">
        <f aca="true" t="shared" si="1" ref="I17:N17">SUM(I8:I16)</f>
        <v>0</v>
      </c>
      <c r="J17" s="1694">
        <f t="shared" si="1"/>
        <v>30911.4</v>
      </c>
      <c r="K17" s="1694">
        <f t="shared" si="1"/>
        <v>1004036.6</v>
      </c>
      <c r="L17" s="1694">
        <f t="shared" si="1"/>
        <v>614626</v>
      </c>
      <c r="M17" s="1694">
        <f t="shared" si="1"/>
        <v>107274.4</v>
      </c>
      <c r="N17" s="1695">
        <f t="shared" si="1"/>
        <v>1511388.2</v>
      </c>
    </row>
  </sheetData>
  <sheetProtection/>
  <mergeCells count="8">
    <mergeCell ref="B7:C7"/>
    <mergeCell ref="C17:G17"/>
    <mergeCell ref="B1:F1"/>
    <mergeCell ref="B2:N2"/>
    <mergeCell ref="B3:N3"/>
    <mergeCell ref="B4:N4"/>
    <mergeCell ref="M5:N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view="pageBreakPreview" zoomScale="75" zoomScaleSheetLayoutView="75" zoomScalePageLayoutView="0" workbookViewId="0" topLeftCell="A1">
      <selection activeCell="R16" sqref="R16"/>
    </sheetView>
  </sheetViews>
  <sheetFormatPr defaultColWidth="10.375" defaultRowHeight="12.75"/>
  <cols>
    <col min="1" max="1" width="3.75390625" style="773" customWidth="1"/>
    <col min="2" max="3" width="5.75390625" style="210" customWidth="1"/>
    <col min="4" max="4" width="51.75390625" style="962" customWidth="1"/>
    <col min="5" max="5" width="19.75390625" style="211" customWidth="1"/>
    <col min="6" max="6" width="3.00390625" style="209" customWidth="1"/>
    <col min="7" max="8" width="13.75390625" style="209" customWidth="1"/>
    <col min="9" max="11" width="12.25390625" style="209" customWidth="1"/>
    <col min="12" max="15" width="13.75390625" style="209" customWidth="1"/>
    <col min="16" max="17" width="15.75390625" style="209" customWidth="1"/>
    <col min="18" max="20" width="12.25390625" style="209" customWidth="1"/>
    <col min="21" max="24" width="13.75390625" style="209" customWidth="1"/>
    <col min="25" max="26" width="15.75390625" style="209" customWidth="1"/>
    <col min="27" max="16384" width="10.375" style="209" customWidth="1"/>
  </cols>
  <sheetData>
    <row r="1" spans="2:7" ht="17.25">
      <c r="B1" s="1851" t="s">
        <v>966</v>
      </c>
      <c r="C1" s="1851"/>
      <c r="D1" s="1851"/>
      <c r="E1" s="1851"/>
      <c r="F1" s="1851"/>
      <c r="G1" s="1851"/>
    </row>
    <row r="2" spans="1:25" ht="16.5">
      <c r="A2" s="972"/>
      <c r="B2" s="2088"/>
      <c r="C2" s="2088"/>
      <c r="D2" s="2088"/>
      <c r="E2" s="2088"/>
      <c r="F2" s="2088"/>
      <c r="G2" s="2088"/>
      <c r="H2" s="2088"/>
      <c r="I2" s="2088"/>
      <c r="J2" s="2088"/>
      <c r="K2" s="2088"/>
      <c r="L2" s="2088"/>
      <c r="M2" s="2088"/>
      <c r="N2" s="2088"/>
      <c r="O2" s="2088"/>
      <c r="P2" s="2088"/>
      <c r="Q2" s="2088"/>
      <c r="R2" s="2088"/>
      <c r="S2" s="2088"/>
      <c r="T2" s="2088"/>
      <c r="U2" s="2088"/>
      <c r="V2" s="2088"/>
      <c r="W2" s="996"/>
      <c r="X2" s="996"/>
      <c r="Y2" s="996"/>
    </row>
    <row r="3" spans="2:26" ht="24.75" customHeight="1">
      <c r="B3" s="2121" t="s">
        <v>111</v>
      </c>
      <c r="C3" s="2121"/>
      <c r="D3" s="2121"/>
      <c r="E3" s="2121"/>
      <c r="F3" s="2121"/>
      <c r="G3" s="2121"/>
      <c r="H3" s="2121"/>
      <c r="I3" s="2121"/>
      <c r="J3" s="2121"/>
      <c r="K3" s="2121"/>
      <c r="L3" s="2121"/>
      <c r="M3" s="2121"/>
      <c r="N3" s="2121"/>
      <c r="O3" s="2121"/>
      <c r="P3" s="2121"/>
      <c r="Q3" s="2121"/>
      <c r="R3" s="2121"/>
      <c r="S3" s="2121"/>
      <c r="T3" s="2121"/>
      <c r="U3" s="2121"/>
      <c r="V3" s="2121"/>
      <c r="W3" s="2121"/>
      <c r="X3" s="2121"/>
      <c r="Y3" s="2121"/>
      <c r="Z3" s="2121"/>
    </row>
    <row r="4" spans="2:26" ht="24.75" customHeight="1">
      <c r="B4" s="2121" t="s">
        <v>319</v>
      </c>
      <c r="C4" s="2121"/>
      <c r="D4" s="2121"/>
      <c r="E4" s="2121"/>
      <c r="F4" s="2121"/>
      <c r="G4" s="2121"/>
      <c r="H4" s="2121"/>
      <c r="I4" s="2121"/>
      <c r="J4" s="2121"/>
      <c r="K4" s="2121"/>
      <c r="L4" s="2121"/>
      <c r="M4" s="2121"/>
      <c r="N4" s="2121"/>
      <c r="O4" s="2121"/>
      <c r="P4" s="2121"/>
      <c r="Q4" s="2121"/>
      <c r="R4" s="2121"/>
      <c r="S4" s="2121"/>
      <c r="T4" s="2121"/>
      <c r="U4" s="2121"/>
      <c r="V4" s="2121"/>
      <c r="W4" s="2121"/>
      <c r="X4" s="2121"/>
      <c r="Y4" s="2121"/>
      <c r="Z4" s="2121"/>
    </row>
    <row r="5" spans="2:26" ht="24.75" customHeight="1">
      <c r="B5" s="2121" t="s">
        <v>302</v>
      </c>
      <c r="C5" s="2121"/>
      <c r="D5" s="2121"/>
      <c r="E5" s="2121"/>
      <c r="F5" s="2121"/>
      <c r="G5" s="2121"/>
      <c r="H5" s="2121"/>
      <c r="I5" s="2121"/>
      <c r="J5" s="2121"/>
      <c r="K5" s="2121"/>
      <c r="L5" s="2121"/>
      <c r="M5" s="2121"/>
      <c r="N5" s="2121"/>
      <c r="O5" s="2121"/>
      <c r="P5" s="2121"/>
      <c r="Q5" s="2121"/>
      <c r="R5" s="2121"/>
      <c r="S5" s="2121"/>
      <c r="T5" s="2121"/>
      <c r="U5" s="2121"/>
      <c r="V5" s="2121"/>
      <c r="W5" s="2121"/>
      <c r="X5" s="2121"/>
      <c r="Y5" s="2121"/>
      <c r="Z5" s="2121"/>
    </row>
    <row r="6" spans="1:25" s="772" customFormat="1" ht="15">
      <c r="A6" s="773"/>
      <c r="B6" s="773"/>
      <c r="C6" s="773"/>
      <c r="D6" s="774"/>
      <c r="E6" s="775"/>
      <c r="X6" s="2114" t="s">
        <v>0</v>
      </c>
      <c r="Y6" s="2114"/>
    </row>
    <row r="7" spans="2:26" s="773" customFormat="1" ht="15.75" thickBot="1">
      <c r="B7" s="773" t="s">
        <v>511</v>
      </c>
      <c r="C7" s="773" t="s">
        <v>3</v>
      </c>
      <c r="D7" s="829" t="s">
        <v>2</v>
      </c>
      <c r="E7" s="775" t="s">
        <v>4</v>
      </c>
      <c r="G7" s="773" t="s">
        <v>5</v>
      </c>
      <c r="H7" s="773" t="s">
        <v>15</v>
      </c>
      <c r="I7" s="773" t="s">
        <v>16</v>
      </c>
      <c r="J7" s="773" t="s">
        <v>17</v>
      </c>
      <c r="K7" s="773" t="s">
        <v>33</v>
      </c>
      <c r="L7" s="773" t="s">
        <v>29</v>
      </c>
      <c r="M7" s="773" t="s">
        <v>22</v>
      </c>
      <c r="N7" s="773" t="s">
        <v>34</v>
      </c>
      <c r="O7" s="773" t="s">
        <v>35</v>
      </c>
      <c r="P7" s="773" t="s">
        <v>145</v>
      </c>
      <c r="Q7" s="773" t="s">
        <v>146</v>
      </c>
      <c r="R7" s="773" t="s">
        <v>147</v>
      </c>
      <c r="S7" s="773" t="s">
        <v>295</v>
      </c>
      <c r="T7" s="830" t="s">
        <v>398</v>
      </c>
      <c r="U7" s="830" t="s">
        <v>399</v>
      </c>
      <c r="V7" s="830" t="s">
        <v>512</v>
      </c>
      <c r="W7" s="830" t="s">
        <v>917</v>
      </c>
      <c r="X7" s="773" t="s">
        <v>918</v>
      </c>
      <c r="Y7" s="830" t="s">
        <v>920</v>
      </c>
      <c r="Z7" s="773" t="s">
        <v>919</v>
      </c>
    </row>
    <row r="8" spans="1:26" s="212" customFormat="1" ht="24.75" customHeight="1">
      <c r="A8" s="831"/>
      <c r="B8" s="2097" t="s">
        <v>18</v>
      </c>
      <c r="C8" s="2100" t="s">
        <v>19</v>
      </c>
      <c r="D8" s="2103" t="s">
        <v>303</v>
      </c>
      <c r="E8" s="2106" t="s">
        <v>304</v>
      </c>
      <c r="F8" s="832"/>
      <c r="G8" s="2109" t="s">
        <v>314</v>
      </c>
      <c r="H8" s="2109"/>
      <c r="I8" s="2110"/>
      <c r="J8" s="2110"/>
      <c r="K8" s="2110"/>
      <c r="L8" s="2110"/>
      <c r="M8" s="2110"/>
      <c r="N8" s="2110"/>
      <c r="O8" s="2110"/>
      <c r="P8" s="2089"/>
      <c r="Q8" s="2115" t="s">
        <v>915</v>
      </c>
      <c r="R8" s="2111" t="s">
        <v>315</v>
      </c>
      <c r="S8" s="2110"/>
      <c r="T8" s="2110"/>
      <c r="U8" s="2110"/>
      <c r="V8" s="2110"/>
      <c r="W8" s="2110"/>
      <c r="X8" s="2110"/>
      <c r="Y8" s="2089" t="s">
        <v>401</v>
      </c>
      <c r="Z8" s="2118" t="s">
        <v>916</v>
      </c>
    </row>
    <row r="9" spans="1:26" s="212" customFormat="1" ht="24.75" customHeight="1">
      <c r="A9" s="831"/>
      <c r="B9" s="2098"/>
      <c r="C9" s="2101"/>
      <c r="D9" s="2104"/>
      <c r="E9" s="2107"/>
      <c r="F9" s="833"/>
      <c r="G9" s="2092" t="s">
        <v>305</v>
      </c>
      <c r="H9" s="2094" t="s">
        <v>526</v>
      </c>
      <c r="I9" s="2096" t="s">
        <v>307</v>
      </c>
      <c r="J9" s="2096"/>
      <c r="K9" s="2096"/>
      <c r="L9" s="2096"/>
      <c r="M9" s="2096"/>
      <c r="N9" s="2096"/>
      <c r="O9" s="2096"/>
      <c r="P9" s="2090" t="s">
        <v>306</v>
      </c>
      <c r="Q9" s="2116"/>
      <c r="R9" s="2112"/>
      <c r="S9" s="2113"/>
      <c r="T9" s="2113"/>
      <c r="U9" s="2113"/>
      <c r="V9" s="2113"/>
      <c r="W9" s="2113"/>
      <c r="X9" s="2113"/>
      <c r="Y9" s="2090"/>
      <c r="Z9" s="2119"/>
    </row>
    <row r="10" spans="1:26" s="212" customFormat="1" ht="60.75" customHeight="1" thickBot="1">
      <c r="A10" s="831"/>
      <c r="B10" s="2099"/>
      <c r="C10" s="2102"/>
      <c r="D10" s="2105"/>
      <c r="E10" s="2108"/>
      <c r="F10" s="833"/>
      <c r="G10" s="2093"/>
      <c r="H10" s="2095"/>
      <c r="I10" s="288" t="s">
        <v>316</v>
      </c>
      <c r="J10" s="288" t="s">
        <v>372</v>
      </c>
      <c r="K10" s="288" t="s">
        <v>407</v>
      </c>
      <c r="L10" s="288" t="s">
        <v>513</v>
      </c>
      <c r="M10" s="288" t="s">
        <v>613</v>
      </c>
      <c r="N10" s="288" t="s">
        <v>614</v>
      </c>
      <c r="O10" s="288" t="s">
        <v>615</v>
      </c>
      <c r="P10" s="2091"/>
      <c r="Q10" s="2117"/>
      <c r="R10" s="289" t="s">
        <v>317</v>
      </c>
      <c r="S10" s="290" t="s">
        <v>372</v>
      </c>
      <c r="T10" s="290" t="s">
        <v>407</v>
      </c>
      <c r="U10" s="290" t="s">
        <v>513</v>
      </c>
      <c r="V10" s="290" t="s">
        <v>613</v>
      </c>
      <c r="W10" s="290" t="s">
        <v>614</v>
      </c>
      <c r="X10" s="290" t="s">
        <v>615</v>
      </c>
      <c r="Y10" s="2091"/>
      <c r="Z10" s="2120"/>
    </row>
    <row r="11" spans="1:26" s="212" customFormat="1" ht="33" customHeight="1">
      <c r="A11" s="834">
        <v>1</v>
      </c>
      <c r="B11" s="835">
        <v>18</v>
      </c>
      <c r="C11" s="836" t="s">
        <v>14</v>
      </c>
      <c r="D11" s="837"/>
      <c r="E11" s="838"/>
      <c r="F11" s="839"/>
      <c r="G11" s="840"/>
      <c r="H11" s="841"/>
      <c r="I11" s="842"/>
      <c r="J11" s="842"/>
      <c r="K11" s="842"/>
      <c r="L11" s="842"/>
      <c r="M11" s="842"/>
      <c r="N11" s="842"/>
      <c r="O11" s="842"/>
      <c r="P11" s="1636"/>
      <c r="Q11" s="1793"/>
      <c r="R11" s="840"/>
      <c r="S11" s="843"/>
      <c r="T11" s="843"/>
      <c r="U11" s="843"/>
      <c r="V11" s="843"/>
      <c r="W11" s="843"/>
      <c r="X11" s="843"/>
      <c r="Y11" s="1636"/>
      <c r="Z11" s="1795"/>
    </row>
    <row r="12" spans="1:26" ht="33" customHeight="1">
      <c r="A12" s="834">
        <v>2</v>
      </c>
      <c r="B12" s="468"/>
      <c r="C12" s="849">
        <v>1</v>
      </c>
      <c r="D12" s="1512" t="s">
        <v>361</v>
      </c>
      <c r="E12" s="845" t="s">
        <v>515</v>
      </c>
      <c r="F12" s="214"/>
      <c r="G12" s="846">
        <f aca="true" t="shared" si="0" ref="G12:G34">+Y12-P12-H12</f>
        <v>0</v>
      </c>
      <c r="H12" s="847"/>
      <c r="I12" s="848"/>
      <c r="J12" s="848"/>
      <c r="K12" s="848">
        <v>17017</v>
      </c>
      <c r="L12" s="848">
        <v>8958</v>
      </c>
      <c r="M12" s="973"/>
      <c r="N12" s="973"/>
      <c r="O12" s="848"/>
      <c r="P12" s="1468">
        <f aca="true" t="shared" si="1" ref="P12:P34">SUM(I12:O12)</f>
        <v>25975</v>
      </c>
      <c r="Q12" s="1641"/>
      <c r="R12" s="1513"/>
      <c r="S12" s="1514"/>
      <c r="T12" s="1514">
        <v>12413</v>
      </c>
      <c r="U12" s="1514">
        <f>2345+10041</f>
        <v>12386</v>
      </c>
      <c r="V12" s="1514">
        <f>74+40+302</f>
        <v>416</v>
      </c>
      <c r="W12" s="1514">
        <v>760</v>
      </c>
      <c r="X12" s="848"/>
      <c r="Y12" s="1637">
        <f aca="true" t="shared" si="2" ref="Y12:Y34">SUM(R12:X12)</f>
        <v>25975</v>
      </c>
      <c r="Z12" s="1647">
        <v>284</v>
      </c>
    </row>
    <row r="13" spans="1:26" ht="33" customHeight="1">
      <c r="A13" s="834">
        <v>3</v>
      </c>
      <c r="B13" s="468"/>
      <c r="C13" s="849">
        <v>2</v>
      </c>
      <c r="D13" s="844" t="s">
        <v>436</v>
      </c>
      <c r="E13" s="845" t="s">
        <v>514</v>
      </c>
      <c r="F13" s="214"/>
      <c r="G13" s="850">
        <f t="shared" si="0"/>
        <v>96476</v>
      </c>
      <c r="H13" s="851"/>
      <c r="I13" s="848"/>
      <c r="J13" s="848"/>
      <c r="K13" s="848"/>
      <c r="L13" s="848"/>
      <c r="M13" s="848">
        <v>223100</v>
      </c>
      <c r="N13" s="848"/>
      <c r="O13" s="848"/>
      <c r="P13" s="1468">
        <f t="shared" si="1"/>
        <v>223100</v>
      </c>
      <c r="Q13" s="1641"/>
      <c r="R13" s="1513"/>
      <c r="S13" s="1514">
        <v>6699</v>
      </c>
      <c r="T13" s="1514"/>
      <c r="U13" s="1514"/>
      <c r="V13" s="1514"/>
      <c r="W13" s="1514">
        <f>275877+37000</f>
        <v>312877</v>
      </c>
      <c r="X13" s="848"/>
      <c r="Y13" s="1637">
        <f t="shared" si="2"/>
        <v>319576</v>
      </c>
      <c r="Z13" s="1646">
        <v>12</v>
      </c>
    </row>
    <row r="14" spans="1:26" s="212" customFormat="1" ht="33">
      <c r="A14" s="834">
        <v>4</v>
      </c>
      <c r="B14" s="468"/>
      <c r="C14" s="849">
        <v>3</v>
      </c>
      <c r="D14" s="328" t="s">
        <v>403</v>
      </c>
      <c r="E14" s="845" t="s">
        <v>514</v>
      </c>
      <c r="F14" s="469"/>
      <c r="G14" s="850">
        <f t="shared" si="0"/>
        <v>29474</v>
      </c>
      <c r="H14" s="851"/>
      <c r="I14" s="848"/>
      <c r="J14" s="848"/>
      <c r="K14" s="848"/>
      <c r="L14" s="848">
        <v>134273</v>
      </c>
      <c r="M14" s="848">
        <v>-134273</v>
      </c>
      <c r="N14" s="848">
        <v>134273</v>
      </c>
      <c r="O14" s="848"/>
      <c r="P14" s="1468">
        <f t="shared" si="1"/>
        <v>134273</v>
      </c>
      <c r="Q14" s="1641">
        <v>134273</v>
      </c>
      <c r="R14" s="846">
        <v>2921</v>
      </c>
      <c r="S14" s="848">
        <v>3620</v>
      </c>
      <c r="T14" s="848"/>
      <c r="U14" s="848"/>
      <c r="V14" s="848">
        <f>40</f>
        <v>40</v>
      </c>
      <c r="W14" s="848">
        <f>342+165574+3250-12000</f>
        <v>157166</v>
      </c>
      <c r="X14" s="848"/>
      <c r="Y14" s="1637">
        <f t="shared" si="2"/>
        <v>163747</v>
      </c>
      <c r="Z14" s="1648">
        <v>74096</v>
      </c>
    </row>
    <row r="15" spans="1:26" ht="33" customHeight="1">
      <c r="A15" s="834">
        <v>5</v>
      </c>
      <c r="B15" s="468"/>
      <c r="C15" s="849">
        <v>4</v>
      </c>
      <c r="D15" s="844" t="s">
        <v>438</v>
      </c>
      <c r="E15" s="845" t="s">
        <v>516</v>
      </c>
      <c r="F15" s="214"/>
      <c r="G15" s="850">
        <f t="shared" si="0"/>
        <v>28154</v>
      </c>
      <c r="H15" s="851"/>
      <c r="I15" s="848"/>
      <c r="J15" s="848"/>
      <c r="K15" s="848"/>
      <c r="L15" s="848">
        <v>19069</v>
      </c>
      <c r="M15" s="848"/>
      <c r="N15" s="848">
        <v>17569</v>
      </c>
      <c r="O15" s="848"/>
      <c r="P15" s="1468">
        <f t="shared" si="1"/>
        <v>36638</v>
      </c>
      <c r="Q15" s="1641">
        <v>17569</v>
      </c>
      <c r="R15" s="846"/>
      <c r="S15" s="848"/>
      <c r="T15" s="848">
        <v>1956</v>
      </c>
      <c r="U15" s="848"/>
      <c r="V15" s="848"/>
      <c r="W15" s="848">
        <v>62836</v>
      </c>
      <c r="X15" s="848"/>
      <c r="Y15" s="1637">
        <f t="shared" si="2"/>
        <v>64792</v>
      </c>
      <c r="Z15" s="1649"/>
    </row>
    <row r="16" spans="1:26" ht="33" customHeight="1">
      <c r="A16" s="834">
        <v>6</v>
      </c>
      <c r="B16" s="468"/>
      <c r="C16" s="849">
        <v>5</v>
      </c>
      <c r="D16" s="844" t="s">
        <v>439</v>
      </c>
      <c r="E16" s="845" t="s">
        <v>516</v>
      </c>
      <c r="F16" s="214"/>
      <c r="G16" s="850">
        <f t="shared" si="0"/>
        <v>2557</v>
      </c>
      <c r="H16" s="851"/>
      <c r="I16" s="848"/>
      <c r="J16" s="848"/>
      <c r="K16" s="848"/>
      <c r="L16" s="848">
        <v>27673</v>
      </c>
      <c r="M16" s="848"/>
      <c r="N16" s="848">
        <f>25819+23629</f>
        <v>49448</v>
      </c>
      <c r="O16" s="848"/>
      <c r="P16" s="1468">
        <f t="shared" si="1"/>
        <v>77121</v>
      </c>
      <c r="Q16" s="1641">
        <v>25819</v>
      </c>
      <c r="R16" s="846"/>
      <c r="S16" s="848"/>
      <c r="T16" s="848">
        <v>2459</v>
      </c>
      <c r="U16" s="848"/>
      <c r="V16" s="848">
        <v>140</v>
      </c>
      <c r="W16" s="848">
        <f>170+76280+629</f>
        <v>77079</v>
      </c>
      <c r="X16" s="848"/>
      <c r="Y16" s="1637">
        <f t="shared" si="2"/>
        <v>79678</v>
      </c>
      <c r="Z16" s="1649">
        <v>74674</v>
      </c>
    </row>
    <row r="17" spans="1:26" s="212" customFormat="1" ht="66">
      <c r="A17" s="834">
        <v>7</v>
      </c>
      <c r="B17" s="468"/>
      <c r="C17" s="849">
        <v>6</v>
      </c>
      <c r="D17" s="328" t="s">
        <v>616</v>
      </c>
      <c r="E17" s="845" t="s">
        <v>617</v>
      </c>
      <c r="F17" s="469"/>
      <c r="G17" s="850">
        <f t="shared" si="0"/>
        <v>750</v>
      </c>
      <c r="H17" s="851"/>
      <c r="I17" s="848"/>
      <c r="J17" s="848"/>
      <c r="K17" s="848"/>
      <c r="L17" s="848"/>
      <c r="M17" s="848">
        <v>307086</v>
      </c>
      <c r="N17" s="848"/>
      <c r="O17" s="848"/>
      <c r="P17" s="1468">
        <f t="shared" si="1"/>
        <v>307086</v>
      </c>
      <c r="Q17" s="1641"/>
      <c r="R17" s="846"/>
      <c r="S17" s="848"/>
      <c r="T17" s="848">
        <f>984+40</f>
        <v>1024</v>
      </c>
      <c r="U17" s="848">
        <v>40</v>
      </c>
      <c r="V17" s="848">
        <f>108+800</f>
        <v>908</v>
      </c>
      <c r="W17" s="848">
        <f>474+305390</f>
        <v>305864</v>
      </c>
      <c r="X17" s="848"/>
      <c r="Y17" s="1637">
        <f t="shared" si="2"/>
        <v>307836</v>
      </c>
      <c r="Z17" s="1648">
        <v>197682</v>
      </c>
    </row>
    <row r="18" spans="1:26" ht="33" customHeight="1">
      <c r="A18" s="834">
        <v>8</v>
      </c>
      <c r="B18" s="468"/>
      <c r="C18" s="979">
        <v>7</v>
      </c>
      <c r="D18" s="1512" t="s">
        <v>437</v>
      </c>
      <c r="E18" s="1517" t="s">
        <v>514</v>
      </c>
      <c r="F18" s="976"/>
      <c r="G18" s="1515">
        <f t="shared" si="0"/>
        <v>78151</v>
      </c>
      <c r="H18" s="1516"/>
      <c r="I18" s="1514"/>
      <c r="J18" s="1514"/>
      <c r="K18" s="1514"/>
      <c r="L18" s="1514">
        <v>173975</v>
      </c>
      <c r="M18" s="1514"/>
      <c r="N18" s="1514">
        <v>51325</v>
      </c>
      <c r="O18" s="1514"/>
      <c r="P18" s="1637">
        <f t="shared" si="1"/>
        <v>225300</v>
      </c>
      <c r="Q18" s="1641"/>
      <c r="R18" s="1513"/>
      <c r="S18" s="1514"/>
      <c r="T18" s="1514">
        <v>6401</v>
      </c>
      <c r="U18" s="1514">
        <v>100</v>
      </c>
      <c r="V18" s="1514">
        <f>128</f>
        <v>128</v>
      </c>
      <c r="W18" s="1514">
        <f>150+328202-32000+51325-50855</f>
        <v>296822</v>
      </c>
      <c r="X18" s="1514"/>
      <c r="Y18" s="1637">
        <f t="shared" si="2"/>
        <v>303451</v>
      </c>
      <c r="Z18" s="1649">
        <v>287844</v>
      </c>
    </row>
    <row r="19" spans="1:26" ht="33" customHeight="1">
      <c r="A19" s="834">
        <v>9</v>
      </c>
      <c r="B19" s="468"/>
      <c r="C19" s="849">
        <v>8</v>
      </c>
      <c r="D19" s="844" t="s">
        <v>440</v>
      </c>
      <c r="E19" s="845" t="s">
        <v>517</v>
      </c>
      <c r="F19" s="214"/>
      <c r="G19" s="850">
        <f t="shared" si="0"/>
        <v>397000</v>
      </c>
      <c r="H19" s="851"/>
      <c r="I19" s="848"/>
      <c r="J19" s="848"/>
      <c r="K19" s="848">
        <v>2092161</v>
      </c>
      <c r="L19" s="848"/>
      <c r="M19" s="848">
        <f>1107839-607839</f>
        <v>500000</v>
      </c>
      <c r="N19" s="848">
        <v>607839</v>
      </c>
      <c r="O19" s="848"/>
      <c r="P19" s="1468">
        <f t="shared" si="1"/>
        <v>3200000</v>
      </c>
      <c r="Q19" s="1641"/>
      <c r="R19" s="846">
        <v>40063</v>
      </c>
      <c r="S19" s="848">
        <v>83854</v>
      </c>
      <c r="T19" s="848">
        <v>327034</v>
      </c>
      <c r="U19" s="848">
        <v>1231269</v>
      </c>
      <c r="V19" s="848">
        <f>710+1172933</f>
        <v>1173643</v>
      </c>
      <c r="W19" s="848">
        <f>712+740425</f>
        <v>741137</v>
      </c>
      <c r="X19" s="848"/>
      <c r="Y19" s="1637">
        <f t="shared" si="2"/>
        <v>3597000</v>
      </c>
      <c r="Z19" s="1649">
        <v>346596</v>
      </c>
    </row>
    <row r="20" spans="1:26" ht="33" customHeight="1">
      <c r="A20" s="834">
        <v>10</v>
      </c>
      <c r="B20" s="468"/>
      <c r="C20" s="849">
        <v>9</v>
      </c>
      <c r="D20" s="844" t="s">
        <v>591</v>
      </c>
      <c r="E20" s="845" t="s">
        <v>518</v>
      </c>
      <c r="F20" s="214"/>
      <c r="G20" s="850">
        <f t="shared" si="0"/>
        <v>183</v>
      </c>
      <c r="H20" s="851"/>
      <c r="I20" s="848"/>
      <c r="J20" s="848"/>
      <c r="K20" s="848">
        <v>19671</v>
      </c>
      <c r="L20" s="848"/>
      <c r="M20" s="848"/>
      <c r="N20" s="848">
        <v>220329</v>
      </c>
      <c r="O20" s="848"/>
      <c r="P20" s="1468">
        <f t="shared" si="1"/>
        <v>240000</v>
      </c>
      <c r="Q20" s="1641">
        <v>206228</v>
      </c>
      <c r="R20" s="846"/>
      <c r="S20" s="848"/>
      <c r="T20" s="848">
        <v>9749</v>
      </c>
      <c r="U20" s="848">
        <v>3835</v>
      </c>
      <c r="V20" s="848">
        <f>1005+6692</f>
        <v>7697</v>
      </c>
      <c r="W20" s="848">
        <f>2010+217401+6000+183-6692</f>
        <v>218902</v>
      </c>
      <c r="X20" s="848"/>
      <c r="Y20" s="1637">
        <f t="shared" si="2"/>
        <v>240183</v>
      </c>
      <c r="Z20" s="1649">
        <v>2702</v>
      </c>
    </row>
    <row r="21" spans="1:26" s="212" customFormat="1" ht="33">
      <c r="A21" s="834">
        <v>11</v>
      </c>
      <c r="B21" s="468"/>
      <c r="C21" s="849">
        <v>10</v>
      </c>
      <c r="D21" s="844" t="s">
        <v>441</v>
      </c>
      <c r="E21" s="845" t="s">
        <v>519</v>
      </c>
      <c r="F21" s="469"/>
      <c r="G21" s="850">
        <f t="shared" si="0"/>
        <v>0</v>
      </c>
      <c r="H21" s="851"/>
      <c r="I21" s="848"/>
      <c r="J21" s="848"/>
      <c r="K21" s="848"/>
      <c r="L21" s="848">
        <v>480600</v>
      </c>
      <c r="M21" s="848"/>
      <c r="N21" s="848">
        <v>21000</v>
      </c>
      <c r="O21" s="848"/>
      <c r="P21" s="1468">
        <f t="shared" si="1"/>
        <v>501600</v>
      </c>
      <c r="Q21" s="1641"/>
      <c r="R21" s="846"/>
      <c r="S21" s="848"/>
      <c r="T21" s="848">
        <v>326</v>
      </c>
      <c r="U21" s="848">
        <v>17127</v>
      </c>
      <c r="V21" s="848">
        <f>1549+2433</f>
        <v>3982</v>
      </c>
      <c r="W21" s="848">
        <f>8311+459854+12000</f>
        <v>480165</v>
      </c>
      <c r="X21" s="848"/>
      <c r="Y21" s="1637">
        <f t="shared" si="2"/>
        <v>501600</v>
      </c>
      <c r="Z21" s="1648">
        <v>4135</v>
      </c>
    </row>
    <row r="22" spans="1:26" s="212" customFormat="1" ht="55.5" customHeight="1">
      <c r="A22" s="834">
        <v>12</v>
      </c>
      <c r="B22" s="468"/>
      <c r="C22" s="849">
        <v>11</v>
      </c>
      <c r="D22" s="844" t="s">
        <v>375</v>
      </c>
      <c r="E22" s="845" t="s">
        <v>520</v>
      </c>
      <c r="F22" s="469"/>
      <c r="G22" s="850">
        <f t="shared" si="0"/>
        <v>143176</v>
      </c>
      <c r="H22" s="851"/>
      <c r="I22" s="848">
        <v>977327</v>
      </c>
      <c r="J22" s="848"/>
      <c r="K22" s="848"/>
      <c r="L22" s="848"/>
      <c r="M22" s="848">
        <v>27091</v>
      </c>
      <c r="N22" s="848"/>
      <c r="O22" s="848"/>
      <c r="P22" s="1468">
        <f t="shared" si="1"/>
        <v>1004418</v>
      </c>
      <c r="Q22" s="1641"/>
      <c r="R22" s="846">
        <v>25062</v>
      </c>
      <c r="S22" s="848">
        <v>32060</v>
      </c>
      <c r="T22" s="848">
        <v>393153</v>
      </c>
      <c r="U22" s="848">
        <f>688437</f>
        <v>688437</v>
      </c>
      <c r="V22" s="848">
        <v>260</v>
      </c>
      <c r="W22" s="848">
        <v>8622</v>
      </c>
      <c r="X22" s="848"/>
      <c r="Y22" s="1637">
        <f>SUM(R22:X22)</f>
        <v>1147594</v>
      </c>
      <c r="Z22" s="1648"/>
    </row>
    <row r="23" spans="1:26" s="212" customFormat="1" ht="55.5" customHeight="1">
      <c r="A23" s="834">
        <v>13</v>
      </c>
      <c r="B23" s="468"/>
      <c r="C23" s="849">
        <v>12</v>
      </c>
      <c r="D23" s="844" t="s">
        <v>618</v>
      </c>
      <c r="E23" s="845" t="s">
        <v>521</v>
      </c>
      <c r="F23" s="469"/>
      <c r="G23" s="850">
        <f t="shared" si="0"/>
        <v>0</v>
      </c>
      <c r="H23" s="851"/>
      <c r="I23" s="848"/>
      <c r="J23" s="848"/>
      <c r="K23" s="848"/>
      <c r="L23" s="848"/>
      <c r="M23" s="848"/>
      <c r="N23" s="848">
        <v>906000</v>
      </c>
      <c r="O23" s="848"/>
      <c r="P23" s="1468">
        <f t="shared" si="1"/>
        <v>906000</v>
      </c>
      <c r="Q23" s="1641">
        <v>73653</v>
      </c>
      <c r="R23" s="846"/>
      <c r="S23" s="848"/>
      <c r="T23" s="848"/>
      <c r="U23" s="848"/>
      <c r="V23" s="848">
        <v>5906</v>
      </c>
      <c r="W23" s="848">
        <f>906000-5906</f>
        <v>900094</v>
      </c>
      <c r="X23" s="848"/>
      <c r="Y23" s="1637">
        <f>SUM(R23:X23)</f>
        <v>906000</v>
      </c>
      <c r="Z23" s="1648">
        <v>1000</v>
      </c>
    </row>
    <row r="24" spans="1:26" ht="34.5" customHeight="1">
      <c r="A24" s="834">
        <v>14</v>
      </c>
      <c r="B24" s="468"/>
      <c r="C24" s="849">
        <v>13</v>
      </c>
      <c r="D24" s="844" t="s">
        <v>360</v>
      </c>
      <c r="E24" s="845" t="s">
        <v>515</v>
      </c>
      <c r="F24" s="214"/>
      <c r="G24" s="850">
        <f t="shared" si="0"/>
        <v>62406</v>
      </c>
      <c r="H24" s="851"/>
      <c r="I24" s="848"/>
      <c r="J24" s="848"/>
      <c r="K24" s="848">
        <v>227554</v>
      </c>
      <c r="L24" s="848"/>
      <c r="M24" s="848">
        <v>10916</v>
      </c>
      <c r="N24" s="848"/>
      <c r="O24" s="848"/>
      <c r="P24" s="1468">
        <f t="shared" si="1"/>
        <v>238470</v>
      </c>
      <c r="Q24" s="1641"/>
      <c r="R24" s="846"/>
      <c r="S24" s="848"/>
      <c r="T24" s="848">
        <v>4460</v>
      </c>
      <c r="U24" s="1514">
        <v>267453</v>
      </c>
      <c r="V24" s="1514">
        <v>0</v>
      </c>
      <c r="W24" s="1514">
        <f>1087+21914+5962</f>
        <v>28963</v>
      </c>
      <c r="X24" s="848"/>
      <c r="Y24" s="1637">
        <f t="shared" si="2"/>
        <v>300876</v>
      </c>
      <c r="Z24" s="1649"/>
    </row>
    <row r="25" spans="1:26" s="978" customFormat="1" ht="33" customHeight="1">
      <c r="A25" s="834">
        <v>15</v>
      </c>
      <c r="B25" s="974"/>
      <c r="C25" s="975">
        <v>14</v>
      </c>
      <c r="D25" s="853" t="s">
        <v>619</v>
      </c>
      <c r="E25" s="1517" t="s">
        <v>620</v>
      </c>
      <c r="F25" s="976"/>
      <c r="G25" s="1515">
        <f t="shared" si="0"/>
        <v>0</v>
      </c>
      <c r="H25" s="1516"/>
      <c r="I25" s="1514"/>
      <c r="J25" s="1514"/>
      <c r="K25" s="1514"/>
      <c r="L25" s="1514"/>
      <c r="M25" s="1514"/>
      <c r="N25" s="1514">
        <v>2787362</v>
      </c>
      <c r="O25" s="1514">
        <v>118938</v>
      </c>
      <c r="P25" s="1637">
        <f t="shared" si="1"/>
        <v>2906300</v>
      </c>
      <c r="Q25" s="1641">
        <v>2787362</v>
      </c>
      <c r="R25" s="1513"/>
      <c r="S25" s="1514"/>
      <c r="T25" s="1514"/>
      <c r="U25" s="1514"/>
      <c r="V25" s="977"/>
      <c r="W25" s="1514">
        <v>2787362</v>
      </c>
      <c r="X25" s="1514">
        <v>118938</v>
      </c>
      <c r="Y25" s="1637">
        <f t="shared" si="2"/>
        <v>2906300</v>
      </c>
      <c r="Z25" s="1649">
        <f>19788+9895</f>
        <v>29683</v>
      </c>
    </row>
    <row r="26" spans="1:26" ht="33" customHeight="1">
      <c r="A26" s="834">
        <v>16</v>
      </c>
      <c r="B26" s="468"/>
      <c r="C26" s="849">
        <v>15</v>
      </c>
      <c r="D26" s="844" t="s">
        <v>623</v>
      </c>
      <c r="E26" s="845" t="s">
        <v>519</v>
      </c>
      <c r="F26" s="214"/>
      <c r="G26" s="1515">
        <f t="shared" si="0"/>
        <v>0</v>
      </c>
      <c r="H26" s="1516">
        <v>277946</v>
      </c>
      <c r="I26" s="848"/>
      <c r="J26" s="848"/>
      <c r="K26" s="848">
        <v>558299</v>
      </c>
      <c r="L26" s="848"/>
      <c r="M26" s="848"/>
      <c r="N26" s="848">
        <v>793085</v>
      </c>
      <c r="O26" s="848"/>
      <c r="P26" s="1468">
        <f t="shared" si="1"/>
        <v>1351384</v>
      </c>
      <c r="Q26" s="1641"/>
      <c r="R26" s="1513"/>
      <c r="S26" s="1514"/>
      <c r="T26" s="1514">
        <v>28000</v>
      </c>
      <c r="U26" s="1514">
        <v>26441</v>
      </c>
      <c r="V26" s="1514">
        <v>46228</v>
      </c>
      <c r="W26" s="1514">
        <v>1528661</v>
      </c>
      <c r="X26" s="848"/>
      <c r="Y26" s="1637">
        <f t="shared" si="2"/>
        <v>1629330</v>
      </c>
      <c r="Z26" s="1649">
        <v>102</v>
      </c>
    </row>
    <row r="27" spans="1:26" ht="49.5">
      <c r="A27" s="834">
        <v>17</v>
      </c>
      <c r="B27" s="468"/>
      <c r="C27" s="849">
        <v>16</v>
      </c>
      <c r="D27" s="854" t="s">
        <v>443</v>
      </c>
      <c r="E27" s="845" t="s">
        <v>521</v>
      </c>
      <c r="F27" s="214"/>
      <c r="G27" s="850">
        <f t="shared" si="0"/>
        <v>300126</v>
      </c>
      <c r="H27" s="851"/>
      <c r="I27" s="848"/>
      <c r="J27" s="848"/>
      <c r="K27" s="848"/>
      <c r="L27" s="848">
        <v>243150</v>
      </c>
      <c r="M27" s="848"/>
      <c r="N27" s="848">
        <v>11850</v>
      </c>
      <c r="O27" s="848"/>
      <c r="P27" s="1468">
        <f t="shared" si="1"/>
        <v>255000</v>
      </c>
      <c r="Q27" s="1641"/>
      <c r="R27" s="846"/>
      <c r="S27" s="848"/>
      <c r="T27" s="848">
        <v>4379</v>
      </c>
      <c r="U27" s="848">
        <v>12827</v>
      </c>
      <c r="V27" s="848"/>
      <c r="W27" s="848">
        <f>249920+288000</f>
        <v>537920</v>
      </c>
      <c r="X27" s="848"/>
      <c r="Y27" s="1637">
        <f t="shared" si="2"/>
        <v>555126</v>
      </c>
      <c r="Z27" s="1649"/>
    </row>
    <row r="28" spans="1:26" s="978" customFormat="1" ht="33" customHeight="1">
      <c r="A28" s="834">
        <v>18</v>
      </c>
      <c r="B28" s="974"/>
      <c r="C28" s="979">
        <v>17</v>
      </c>
      <c r="D28" s="1512" t="s">
        <v>510</v>
      </c>
      <c r="E28" s="1517" t="s">
        <v>522</v>
      </c>
      <c r="F28" s="976"/>
      <c r="G28" s="1515">
        <f t="shared" si="0"/>
        <v>0</v>
      </c>
      <c r="H28" s="1516"/>
      <c r="I28" s="1514"/>
      <c r="J28" s="1514"/>
      <c r="K28" s="1514"/>
      <c r="L28" s="1514">
        <f>23652+14397</f>
        <v>38049</v>
      </c>
      <c r="M28" s="1514">
        <f>29993+15185+6342</f>
        <v>51520</v>
      </c>
      <c r="N28" s="1514">
        <f>1812+55770+36849</f>
        <v>94431</v>
      </c>
      <c r="O28" s="1514"/>
      <c r="P28" s="1637">
        <f t="shared" si="1"/>
        <v>184000</v>
      </c>
      <c r="Q28" s="1641"/>
      <c r="R28" s="1513"/>
      <c r="S28" s="1514"/>
      <c r="T28" s="1514">
        <v>9200</v>
      </c>
      <c r="U28" s="1514">
        <f>3350+5228+2097</f>
        <v>10675</v>
      </c>
      <c r="V28" s="1514">
        <f>13739+5801</f>
        <v>19540</v>
      </c>
      <c r="W28" s="1514">
        <f>19255+75640+49690</f>
        <v>144585</v>
      </c>
      <c r="X28" s="1514"/>
      <c r="Y28" s="1637">
        <f t="shared" si="2"/>
        <v>184000</v>
      </c>
      <c r="Z28" s="1649">
        <f>6623+1519</f>
        <v>8142</v>
      </c>
    </row>
    <row r="29" spans="1:26" ht="49.5">
      <c r="A29" s="834">
        <v>19</v>
      </c>
      <c r="B29" s="468"/>
      <c r="C29" s="849">
        <v>18</v>
      </c>
      <c r="D29" s="844" t="s">
        <v>374</v>
      </c>
      <c r="E29" s="845" t="s">
        <v>519</v>
      </c>
      <c r="F29" s="214"/>
      <c r="G29" s="850">
        <f t="shared" si="0"/>
        <v>695</v>
      </c>
      <c r="H29" s="851"/>
      <c r="I29" s="848"/>
      <c r="J29" s="848"/>
      <c r="K29" s="848">
        <v>24175</v>
      </c>
      <c r="L29" s="848"/>
      <c r="M29" s="848">
        <v>26185</v>
      </c>
      <c r="N29" s="848"/>
      <c r="O29" s="848"/>
      <c r="P29" s="1468">
        <f t="shared" si="1"/>
        <v>50360</v>
      </c>
      <c r="Q29" s="1641"/>
      <c r="R29" s="1513"/>
      <c r="S29" s="1514"/>
      <c r="T29" s="1514">
        <v>1176</v>
      </c>
      <c r="U29" s="1514">
        <v>23808</v>
      </c>
      <c r="V29" s="1514">
        <f>744+333+7845</f>
        <v>8922</v>
      </c>
      <c r="W29" s="1514">
        <v>17149</v>
      </c>
      <c r="X29" s="848"/>
      <c r="Y29" s="1637">
        <f t="shared" si="2"/>
        <v>51055</v>
      </c>
      <c r="Z29" s="1649"/>
    </row>
    <row r="30" spans="1:26" ht="33" customHeight="1">
      <c r="A30" s="834">
        <v>20</v>
      </c>
      <c r="B30" s="468"/>
      <c r="C30" s="852">
        <v>19</v>
      </c>
      <c r="D30" s="844" t="s">
        <v>523</v>
      </c>
      <c r="E30" s="845" t="s">
        <v>521</v>
      </c>
      <c r="F30" s="214"/>
      <c r="G30" s="850">
        <f t="shared" si="0"/>
        <v>6866</v>
      </c>
      <c r="H30" s="851"/>
      <c r="I30" s="848"/>
      <c r="J30" s="848"/>
      <c r="K30" s="848"/>
      <c r="L30" s="848"/>
      <c r="M30" s="848">
        <v>4371</v>
      </c>
      <c r="N30" s="848">
        <v>12634</v>
      </c>
      <c r="O30" s="848"/>
      <c r="P30" s="1468">
        <f t="shared" si="1"/>
        <v>17005</v>
      </c>
      <c r="Q30" s="1641"/>
      <c r="R30" s="846"/>
      <c r="S30" s="848"/>
      <c r="T30" s="848"/>
      <c r="U30" s="848">
        <v>8399</v>
      </c>
      <c r="V30" s="848">
        <f>2398+427+2216+2237</f>
        <v>7278</v>
      </c>
      <c r="W30" s="848">
        <f>9358+76+2781+415-4436</f>
        <v>8194</v>
      </c>
      <c r="X30" s="848"/>
      <c r="Y30" s="1637">
        <f t="shared" si="2"/>
        <v>23871</v>
      </c>
      <c r="Z30" s="1649">
        <v>666</v>
      </c>
    </row>
    <row r="31" spans="1:26" ht="33" customHeight="1">
      <c r="A31" s="834">
        <v>21</v>
      </c>
      <c r="B31" s="980"/>
      <c r="C31" s="975">
        <v>20</v>
      </c>
      <c r="D31" s="981" t="s">
        <v>447</v>
      </c>
      <c r="E31" s="1517" t="s">
        <v>521</v>
      </c>
      <c r="F31" s="982"/>
      <c r="G31" s="850">
        <f t="shared" si="0"/>
        <v>15000</v>
      </c>
      <c r="H31" s="848"/>
      <c r="I31" s="848"/>
      <c r="J31" s="848"/>
      <c r="K31" s="848"/>
      <c r="L31" s="848"/>
      <c r="M31" s="848">
        <v>0</v>
      </c>
      <c r="N31" s="848">
        <v>40000</v>
      </c>
      <c r="O31" s="848"/>
      <c r="P31" s="1468">
        <f t="shared" si="1"/>
        <v>40000</v>
      </c>
      <c r="Q31" s="1641">
        <v>40000</v>
      </c>
      <c r="R31" s="846"/>
      <c r="S31" s="848"/>
      <c r="T31" s="848"/>
      <c r="U31" s="848"/>
      <c r="V31" s="848">
        <v>1680</v>
      </c>
      <c r="W31" s="848">
        <f>295+38025+15000</f>
        <v>53320</v>
      </c>
      <c r="X31" s="848"/>
      <c r="Y31" s="1637">
        <f t="shared" si="2"/>
        <v>55000</v>
      </c>
      <c r="Z31" s="1649"/>
    </row>
    <row r="32" spans="1:26" ht="53.25" customHeight="1">
      <c r="A32" s="834">
        <v>22</v>
      </c>
      <c r="B32" s="980"/>
      <c r="C32" s="983">
        <v>21</v>
      </c>
      <c r="D32" s="785" t="s">
        <v>448</v>
      </c>
      <c r="E32" s="1517" t="s">
        <v>521</v>
      </c>
      <c r="F32" s="984"/>
      <c r="G32" s="850">
        <f t="shared" si="0"/>
        <v>0</v>
      </c>
      <c r="H32" s="851"/>
      <c r="I32" s="985"/>
      <c r="J32" s="985"/>
      <c r="K32" s="985"/>
      <c r="L32" s="985"/>
      <c r="M32" s="985">
        <v>19985</v>
      </c>
      <c r="N32" s="985"/>
      <c r="O32" s="985"/>
      <c r="P32" s="1468">
        <f t="shared" si="1"/>
        <v>19985</v>
      </c>
      <c r="Q32" s="1642"/>
      <c r="R32" s="850"/>
      <c r="S32" s="985"/>
      <c r="T32" s="985"/>
      <c r="U32" s="985"/>
      <c r="V32" s="985"/>
      <c r="W32" s="985">
        <v>19985</v>
      </c>
      <c r="X32" s="985"/>
      <c r="Y32" s="1637">
        <f t="shared" si="2"/>
        <v>19985</v>
      </c>
      <c r="Z32" s="1649"/>
    </row>
    <row r="33" spans="1:26" ht="33" customHeight="1">
      <c r="A33" s="834">
        <v>23</v>
      </c>
      <c r="B33" s="974"/>
      <c r="C33" s="983">
        <v>22</v>
      </c>
      <c r="D33" s="1504" t="s">
        <v>446</v>
      </c>
      <c r="E33" s="1505" t="s">
        <v>621</v>
      </c>
      <c r="F33" s="989"/>
      <c r="G33" s="850">
        <f t="shared" si="0"/>
        <v>1796</v>
      </c>
      <c r="H33" s="851"/>
      <c r="I33" s="985"/>
      <c r="J33" s="985"/>
      <c r="K33" s="985"/>
      <c r="L33" s="985"/>
      <c r="M33" s="985"/>
      <c r="N33" s="985">
        <v>15756</v>
      </c>
      <c r="O33" s="985">
        <v>18368</v>
      </c>
      <c r="P33" s="1468">
        <f t="shared" si="1"/>
        <v>34124</v>
      </c>
      <c r="Q33" s="1642">
        <v>3705</v>
      </c>
      <c r="R33" s="850"/>
      <c r="S33" s="985"/>
      <c r="T33" s="985"/>
      <c r="U33" s="985"/>
      <c r="V33" s="985">
        <v>2593</v>
      </c>
      <c r="W33" s="985">
        <f>16262+6289</f>
        <v>22551</v>
      </c>
      <c r="X33" s="985">
        <v>10776</v>
      </c>
      <c r="Y33" s="1637">
        <f t="shared" si="2"/>
        <v>35920</v>
      </c>
      <c r="Z33" s="1649">
        <v>3067</v>
      </c>
    </row>
    <row r="34" spans="1:26" ht="41.25" customHeight="1">
      <c r="A34" s="834">
        <v>24</v>
      </c>
      <c r="B34" s="974"/>
      <c r="C34" s="975">
        <v>23</v>
      </c>
      <c r="D34" s="785" t="s">
        <v>856</v>
      </c>
      <c r="E34" s="1520" t="s">
        <v>620</v>
      </c>
      <c r="F34" s="1521"/>
      <c r="G34" s="1515">
        <f t="shared" si="0"/>
        <v>8495</v>
      </c>
      <c r="H34" s="1516"/>
      <c r="I34" s="1522"/>
      <c r="J34" s="1522"/>
      <c r="K34" s="1522"/>
      <c r="L34" s="1522"/>
      <c r="M34" s="1522"/>
      <c r="N34" s="1522"/>
      <c r="O34" s="1522">
        <v>19822</v>
      </c>
      <c r="P34" s="1637">
        <f t="shared" si="1"/>
        <v>19822</v>
      </c>
      <c r="Q34" s="1641"/>
      <c r="R34" s="1513"/>
      <c r="S34" s="1514"/>
      <c r="T34" s="1514"/>
      <c r="U34" s="1514"/>
      <c r="V34" s="1514"/>
      <c r="W34" s="1514">
        <f>4000+4436</f>
        <v>8436</v>
      </c>
      <c r="X34" s="1514">
        <v>19881</v>
      </c>
      <c r="Y34" s="1637">
        <f t="shared" si="2"/>
        <v>28317</v>
      </c>
      <c r="Z34" s="1649"/>
    </row>
    <row r="35" spans="1:26" s="212" customFormat="1" ht="33" customHeight="1">
      <c r="A35" s="834">
        <v>25</v>
      </c>
      <c r="B35" s="835">
        <v>14</v>
      </c>
      <c r="C35" s="836" t="s">
        <v>371</v>
      </c>
      <c r="D35" s="837"/>
      <c r="E35" s="986"/>
      <c r="F35" s="839"/>
      <c r="G35" s="857"/>
      <c r="H35" s="855"/>
      <c r="I35" s="856"/>
      <c r="J35" s="856"/>
      <c r="K35" s="856"/>
      <c r="L35" s="856"/>
      <c r="M35" s="856"/>
      <c r="N35" s="856"/>
      <c r="O35" s="856"/>
      <c r="P35" s="1638"/>
      <c r="Q35" s="1794"/>
      <c r="R35" s="857"/>
      <c r="S35" s="858"/>
      <c r="T35" s="858"/>
      <c r="U35" s="858"/>
      <c r="V35" s="858"/>
      <c r="W35" s="858"/>
      <c r="X35" s="858"/>
      <c r="Y35" s="1639"/>
      <c r="Z35" s="1648"/>
    </row>
    <row r="36" spans="1:26" ht="33" customHeight="1">
      <c r="A36" s="834">
        <v>26</v>
      </c>
      <c r="B36" s="987"/>
      <c r="C36" s="852">
        <v>3</v>
      </c>
      <c r="D36" s="844" t="s">
        <v>537</v>
      </c>
      <c r="E36" s="988" t="s">
        <v>621</v>
      </c>
      <c r="F36" s="989"/>
      <c r="G36" s="990">
        <f aca="true" t="shared" si="3" ref="G36:G44">+Y36-P36-H36</f>
        <v>142</v>
      </c>
      <c r="H36" s="991"/>
      <c r="I36" s="992"/>
      <c r="J36" s="992"/>
      <c r="K36" s="992"/>
      <c r="L36" s="992"/>
      <c r="M36" s="992">
        <v>2602</v>
      </c>
      <c r="N36" s="1056">
        <v>4099</v>
      </c>
      <c r="O36" s="992"/>
      <c r="P36" s="1483">
        <f>SUM(I36:O36)</f>
        <v>6701</v>
      </c>
      <c r="Q36" s="1643"/>
      <c r="R36" s="990"/>
      <c r="S36" s="992"/>
      <c r="T36" s="992"/>
      <c r="U36" s="992"/>
      <c r="V36" s="992"/>
      <c r="W36" s="992">
        <v>6843</v>
      </c>
      <c r="X36" s="992"/>
      <c r="Y36" s="1483">
        <f>SUM(R36:X36)</f>
        <v>6843</v>
      </c>
      <c r="Z36" s="1649">
        <v>835</v>
      </c>
    </row>
    <row r="37" spans="1:26" ht="33" customHeight="1">
      <c r="A37" s="834">
        <v>27</v>
      </c>
      <c r="B37" s="1528">
        <v>13</v>
      </c>
      <c r="C37" s="836" t="s">
        <v>31</v>
      </c>
      <c r="D37" s="993"/>
      <c r="E37" s="988"/>
      <c r="F37" s="989"/>
      <c r="G37" s="990"/>
      <c r="H37" s="991"/>
      <c r="I37" s="992"/>
      <c r="J37" s="992"/>
      <c r="K37" s="992"/>
      <c r="L37" s="992"/>
      <c r="M37" s="992"/>
      <c r="N37" s="992"/>
      <c r="O37" s="992"/>
      <c r="P37" s="1483"/>
      <c r="Q37" s="1643"/>
      <c r="R37" s="990"/>
      <c r="S37" s="992"/>
      <c r="T37" s="992"/>
      <c r="U37" s="992"/>
      <c r="V37" s="992"/>
      <c r="W37" s="992"/>
      <c r="X37" s="992"/>
      <c r="Y37" s="1483"/>
      <c r="Z37" s="1649"/>
    </row>
    <row r="38" spans="1:26" ht="33" customHeight="1">
      <c r="A38" s="834">
        <v>28</v>
      </c>
      <c r="B38" s="987"/>
      <c r="C38" s="852">
        <v>1</v>
      </c>
      <c r="D38" s="844" t="s">
        <v>537</v>
      </c>
      <c r="E38" s="988" t="s">
        <v>621</v>
      </c>
      <c r="F38" s="989"/>
      <c r="G38" s="990">
        <f t="shared" si="3"/>
        <v>0</v>
      </c>
      <c r="H38" s="991"/>
      <c r="I38" s="992"/>
      <c r="J38" s="992"/>
      <c r="K38" s="992"/>
      <c r="L38" s="992"/>
      <c r="M38" s="992">
        <v>8944</v>
      </c>
      <c r="N38" s="992"/>
      <c r="O38" s="992">
        <v>2236</v>
      </c>
      <c r="P38" s="1483">
        <f>SUM(I38:O38)</f>
        <v>11180</v>
      </c>
      <c r="Q38" s="1643"/>
      <c r="R38" s="990"/>
      <c r="S38" s="992"/>
      <c r="T38" s="992"/>
      <c r="U38" s="992"/>
      <c r="V38" s="992"/>
      <c r="W38" s="992">
        <v>8944</v>
      </c>
      <c r="X38" s="992">
        <v>2236</v>
      </c>
      <c r="Y38" s="1483">
        <f>SUM(R38:X38)</f>
        <v>11180</v>
      </c>
      <c r="Z38" s="1649"/>
    </row>
    <row r="39" spans="1:26" ht="33" customHeight="1">
      <c r="A39" s="834">
        <v>29</v>
      </c>
      <c r="B39" s="1529">
        <v>11</v>
      </c>
      <c r="C39" s="836" t="s">
        <v>370</v>
      </c>
      <c r="D39" s="837"/>
      <c r="E39" s="988"/>
      <c r="F39" s="989"/>
      <c r="G39" s="990"/>
      <c r="H39" s="991"/>
      <c r="I39" s="992"/>
      <c r="J39" s="992"/>
      <c r="K39" s="992"/>
      <c r="L39" s="992"/>
      <c r="M39" s="992"/>
      <c r="N39" s="992"/>
      <c r="O39" s="992"/>
      <c r="P39" s="1483"/>
      <c r="Q39" s="1643"/>
      <c r="R39" s="990"/>
      <c r="S39" s="992"/>
      <c r="T39" s="992"/>
      <c r="U39" s="992"/>
      <c r="V39" s="992"/>
      <c r="W39" s="992"/>
      <c r="X39" s="992"/>
      <c r="Y39" s="1483"/>
      <c r="Z39" s="1649"/>
    </row>
    <row r="40" spans="1:26" ht="33" customHeight="1">
      <c r="A40" s="834">
        <v>30</v>
      </c>
      <c r="B40" s="994"/>
      <c r="C40" s="1466">
        <v>1</v>
      </c>
      <c r="D40" s="995" t="s">
        <v>537</v>
      </c>
      <c r="E40" s="988" t="s">
        <v>621</v>
      </c>
      <c r="F40" s="989"/>
      <c r="G40" s="990">
        <f t="shared" si="3"/>
        <v>0</v>
      </c>
      <c r="H40" s="991"/>
      <c r="I40" s="992"/>
      <c r="J40" s="992"/>
      <c r="K40" s="992"/>
      <c r="L40" s="992"/>
      <c r="M40" s="992">
        <v>1879</v>
      </c>
      <c r="N40" s="992">
        <v>470</v>
      </c>
      <c r="O40" s="992"/>
      <c r="P40" s="1483">
        <f>SUM(I40:O40)</f>
        <v>2349</v>
      </c>
      <c r="Q40" s="1643"/>
      <c r="R40" s="990"/>
      <c r="S40" s="992"/>
      <c r="T40" s="992"/>
      <c r="U40" s="992"/>
      <c r="V40" s="992"/>
      <c r="W40" s="992">
        <v>2349</v>
      </c>
      <c r="X40" s="992"/>
      <c r="Y40" s="1483">
        <f>SUM(R40:X40)</f>
        <v>2349</v>
      </c>
      <c r="Z40" s="1649"/>
    </row>
    <row r="41" spans="1:26" ht="33" customHeight="1">
      <c r="A41" s="834">
        <v>31</v>
      </c>
      <c r="B41" s="1528">
        <v>10</v>
      </c>
      <c r="C41" s="1470" t="s">
        <v>378</v>
      </c>
      <c r="D41" s="1484"/>
      <c r="E41" s="1485"/>
      <c r="F41" s="989"/>
      <c r="G41" s="990"/>
      <c r="H41" s="991"/>
      <c r="I41" s="992"/>
      <c r="J41" s="992"/>
      <c r="K41" s="992"/>
      <c r="L41" s="992"/>
      <c r="M41" s="992"/>
      <c r="N41" s="992"/>
      <c r="O41" s="992"/>
      <c r="P41" s="1483"/>
      <c r="Q41" s="1643"/>
      <c r="R41" s="990"/>
      <c r="S41" s="992"/>
      <c r="T41" s="992"/>
      <c r="U41" s="992"/>
      <c r="V41" s="992"/>
      <c r="W41" s="992"/>
      <c r="X41" s="992"/>
      <c r="Y41" s="1483"/>
      <c r="Z41" s="1649"/>
    </row>
    <row r="42" spans="1:26" ht="42" customHeight="1">
      <c r="A42" s="834">
        <v>32</v>
      </c>
      <c r="B42" s="987"/>
      <c r="C42" s="1466">
        <v>2</v>
      </c>
      <c r="D42" s="995" t="s">
        <v>836</v>
      </c>
      <c r="E42" s="1466" t="s">
        <v>521</v>
      </c>
      <c r="F42" s="989"/>
      <c r="G42" s="990">
        <f t="shared" si="3"/>
        <v>0</v>
      </c>
      <c r="H42" s="991"/>
      <c r="I42" s="992"/>
      <c r="J42" s="992"/>
      <c r="K42" s="992"/>
      <c r="L42" s="992"/>
      <c r="M42" s="992"/>
      <c r="N42" s="992">
        <v>20000</v>
      </c>
      <c r="O42" s="992"/>
      <c r="P42" s="1483">
        <f>SUM(I42:O42)</f>
        <v>20000</v>
      </c>
      <c r="Q42" s="1643">
        <v>20000</v>
      </c>
      <c r="R42" s="990"/>
      <c r="S42" s="992"/>
      <c r="T42" s="992"/>
      <c r="U42" s="992"/>
      <c r="V42" s="992"/>
      <c r="W42" s="992">
        <v>20000</v>
      </c>
      <c r="X42" s="992"/>
      <c r="Y42" s="1483">
        <f>SUM(R42:X42)</f>
        <v>20000</v>
      </c>
      <c r="Z42" s="1649">
        <v>3378</v>
      </c>
    </row>
    <row r="43" spans="1:26" ht="33" customHeight="1">
      <c r="A43" s="834">
        <v>33</v>
      </c>
      <c r="B43" s="1530">
        <v>9</v>
      </c>
      <c r="C43" s="1470" t="s">
        <v>376</v>
      </c>
      <c r="D43" s="1470"/>
      <c r="E43" s="1467"/>
      <c r="F43" s="214"/>
      <c r="G43" s="846"/>
      <c r="H43" s="847"/>
      <c r="I43" s="848"/>
      <c r="J43" s="848"/>
      <c r="K43" s="848"/>
      <c r="L43" s="848"/>
      <c r="M43" s="848"/>
      <c r="N43" s="848"/>
      <c r="O43" s="848"/>
      <c r="P43" s="1468"/>
      <c r="Q43" s="1641"/>
      <c r="R43" s="846"/>
      <c r="S43" s="848"/>
      <c r="T43" s="848"/>
      <c r="U43" s="848"/>
      <c r="V43" s="848"/>
      <c r="W43" s="848"/>
      <c r="X43" s="848"/>
      <c r="Y43" s="1468"/>
      <c r="Z43" s="1649"/>
    </row>
    <row r="44" spans="1:26" ht="38.25" customHeight="1" thickBot="1">
      <c r="A44" s="834">
        <v>34</v>
      </c>
      <c r="B44" s="1463"/>
      <c r="C44" s="1469">
        <v>1</v>
      </c>
      <c r="D44" s="1792" t="s">
        <v>811</v>
      </c>
      <c r="E44" s="988" t="s">
        <v>621</v>
      </c>
      <c r="F44" s="214"/>
      <c r="G44" s="990">
        <f t="shared" si="3"/>
        <v>0</v>
      </c>
      <c r="H44" s="1041"/>
      <c r="I44" s="1464"/>
      <c r="J44" s="1464"/>
      <c r="K44" s="1464"/>
      <c r="L44" s="1464"/>
      <c r="M44" s="1464"/>
      <c r="N44" s="1464">
        <v>15000</v>
      </c>
      <c r="O44" s="1464"/>
      <c r="P44" s="1483">
        <f>SUM(I44:O44)</f>
        <v>15000</v>
      </c>
      <c r="Q44" s="1644">
        <v>3750</v>
      </c>
      <c r="R44" s="1465"/>
      <c r="S44" s="1464"/>
      <c r="T44" s="1464"/>
      <c r="U44" s="1464"/>
      <c r="V44" s="1464"/>
      <c r="W44" s="1464">
        <v>15000</v>
      </c>
      <c r="X44" s="1464"/>
      <c r="Y44" s="1483">
        <f>SUM(R44:X44)</f>
        <v>15000</v>
      </c>
      <c r="Z44" s="1650">
        <v>1060</v>
      </c>
    </row>
    <row r="45" spans="1:26" ht="33" customHeight="1" thickBot="1">
      <c r="A45" s="834">
        <v>35</v>
      </c>
      <c r="B45" s="2123" t="s">
        <v>115</v>
      </c>
      <c r="C45" s="2124"/>
      <c r="D45" s="2124"/>
      <c r="E45" s="2124"/>
      <c r="F45" s="213"/>
      <c r="G45" s="859">
        <f>SUM(G12:G44)</f>
        <v>1171447</v>
      </c>
      <c r="H45" s="860">
        <f>SUM(H12:H44)</f>
        <v>277946</v>
      </c>
      <c r="I45" s="860">
        <f>SUM(I12:I44)</f>
        <v>977327</v>
      </c>
      <c r="J45" s="860">
        <f aca="true" t="shared" si="4" ref="J45:Q45">SUM(J12:J44)</f>
        <v>0</v>
      </c>
      <c r="K45" s="860">
        <f>SUM(K12:K44)</f>
        <v>2938877</v>
      </c>
      <c r="L45" s="860">
        <f>SUM(L12:L44)</f>
        <v>1125747</v>
      </c>
      <c r="M45" s="860">
        <f t="shared" si="4"/>
        <v>1049406</v>
      </c>
      <c r="N45" s="860">
        <f t="shared" si="4"/>
        <v>5802470</v>
      </c>
      <c r="O45" s="860">
        <f t="shared" si="4"/>
        <v>159364</v>
      </c>
      <c r="P45" s="1473">
        <f t="shared" si="4"/>
        <v>12053191</v>
      </c>
      <c r="Q45" s="1640">
        <f t="shared" si="4"/>
        <v>3312359</v>
      </c>
      <c r="R45" s="1471">
        <f>SUM(R12:R44)</f>
        <v>68046</v>
      </c>
      <c r="S45" s="1473">
        <f aca="true" t="shared" si="5" ref="S45:Z45">SUM(S12:S44)</f>
        <v>126233</v>
      </c>
      <c r="T45" s="860">
        <f t="shared" si="5"/>
        <v>801730</v>
      </c>
      <c r="U45" s="860">
        <f t="shared" si="5"/>
        <v>2302797</v>
      </c>
      <c r="V45" s="860">
        <f t="shared" si="5"/>
        <v>1279361</v>
      </c>
      <c r="W45" s="860">
        <f>SUM(W12:W44)</f>
        <v>8772586</v>
      </c>
      <c r="X45" s="1472">
        <f t="shared" si="5"/>
        <v>151831</v>
      </c>
      <c r="Y45" s="1635">
        <f t="shared" si="5"/>
        <v>13502584</v>
      </c>
      <c r="Z45" s="1645">
        <f t="shared" si="5"/>
        <v>1035958</v>
      </c>
    </row>
    <row r="46" spans="2:25" ht="24.75" customHeight="1">
      <c r="B46" s="2125" t="s">
        <v>524</v>
      </c>
      <c r="C46" s="2125"/>
      <c r="D46" s="2125"/>
      <c r="E46" s="2125"/>
      <c r="F46" s="2125"/>
      <c r="G46" s="2125"/>
      <c r="H46" s="2125"/>
      <c r="I46" s="2125"/>
      <c r="J46" s="2125"/>
      <c r="K46" s="2125"/>
      <c r="L46" s="2125"/>
      <c r="M46" s="2125"/>
      <c r="N46" s="2125"/>
      <c r="O46" s="2125"/>
      <c r="P46" s="2125"/>
      <c r="Q46" s="2125"/>
      <c r="R46" s="2125"/>
      <c r="S46" s="2125"/>
      <c r="T46" s="2125"/>
      <c r="U46" s="2125"/>
      <c r="V46" s="2125"/>
      <c r="W46" s="2125"/>
      <c r="X46" s="2125"/>
      <c r="Y46" s="2125"/>
    </row>
    <row r="47" spans="2:25" ht="24.75" customHeight="1">
      <c r="B47" s="2125" t="s">
        <v>857</v>
      </c>
      <c r="C47" s="2125"/>
      <c r="D47" s="2125"/>
      <c r="E47" s="2125"/>
      <c r="F47" s="2125"/>
      <c r="G47" s="2125"/>
      <c r="H47" s="2125"/>
      <c r="I47" s="2125"/>
      <c r="J47" s="2125"/>
      <c r="K47" s="2125"/>
      <c r="L47" s="2125"/>
      <c r="M47" s="2125"/>
      <c r="N47" s="2125"/>
      <c r="O47" s="2125"/>
      <c r="P47" s="2125"/>
      <c r="Q47" s="2125"/>
      <c r="R47" s="2125"/>
      <c r="S47" s="2125"/>
      <c r="T47" s="2125"/>
      <c r="U47" s="2125"/>
      <c r="V47" s="2125"/>
      <c r="W47" s="2125"/>
      <c r="X47" s="2125"/>
      <c r="Y47" s="2125"/>
    </row>
    <row r="48" spans="2:25" ht="24.75" customHeight="1">
      <c r="B48" s="2122" t="s">
        <v>622</v>
      </c>
      <c r="C48" s="2122"/>
      <c r="D48" s="2122"/>
      <c r="E48" s="2122"/>
      <c r="F48" s="2122"/>
      <c r="G48" s="2122"/>
      <c r="H48" s="2122"/>
      <c r="I48" s="2122"/>
      <c r="J48" s="2122"/>
      <c r="K48" s="2122"/>
      <c r="L48" s="2122"/>
      <c r="M48" s="2122"/>
      <c r="N48" s="2122"/>
      <c r="O48" s="2122"/>
      <c r="P48" s="2122"/>
      <c r="Q48" s="2122"/>
      <c r="R48" s="2122"/>
      <c r="S48" s="2122"/>
      <c r="T48" s="2122"/>
      <c r="U48" s="2122"/>
      <c r="V48" s="2122"/>
      <c r="W48" s="2122"/>
      <c r="X48" s="2122"/>
      <c r="Y48" s="2122"/>
    </row>
    <row r="49" spans="2:25" s="773" customFormat="1" ht="24.75" customHeight="1">
      <c r="B49" s="210"/>
      <c r="C49" s="210"/>
      <c r="D49" s="962"/>
      <c r="E49" s="211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</row>
    <row r="50" spans="2:25" s="773" customFormat="1" ht="24.75" customHeight="1">
      <c r="B50" s="210"/>
      <c r="C50" s="210"/>
      <c r="D50" s="962"/>
      <c r="E50" s="211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</row>
    <row r="51" spans="2:25" s="773" customFormat="1" ht="24.75" customHeight="1">
      <c r="B51" s="210"/>
      <c r="C51" s="210"/>
      <c r="D51" s="962"/>
      <c r="E51" s="211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</row>
    <row r="52" spans="2:25" s="773" customFormat="1" ht="24.75" customHeight="1">
      <c r="B52" s="210"/>
      <c r="C52" s="210"/>
      <c r="D52" s="962"/>
      <c r="E52" s="211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</row>
    <row r="53" spans="2:25" s="773" customFormat="1" ht="24.75" customHeight="1">
      <c r="B53" s="210"/>
      <c r="C53" s="210"/>
      <c r="D53" s="962"/>
      <c r="E53" s="211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</row>
    <row r="54" spans="2:25" s="773" customFormat="1" ht="24.75" customHeight="1">
      <c r="B54" s="210"/>
      <c r="C54" s="210"/>
      <c r="D54" s="962"/>
      <c r="E54" s="211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</row>
  </sheetData>
  <sheetProtection/>
  <mergeCells count="23">
    <mergeCell ref="Z8:Z10"/>
    <mergeCell ref="B3:Z3"/>
    <mergeCell ref="B4:Z4"/>
    <mergeCell ref="B5:Z5"/>
    <mergeCell ref="B48:Y48"/>
    <mergeCell ref="B45:E45"/>
    <mergeCell ref="B47:Y47"/>
    <mergeCell ref="B46:Y46"/>
    <mergeCell ref="B1:G1"/>
    <mergeCell ref="B2:V2"/>
    <mergeCell ref="Y8:Y10"/>
    <mergeCell ref="G9:G10"/>
    <mergeCell ref="H9:H10"/>
    <mergeCell ref="I9:O9"/>
    <mergeCell ref="P9:P10"/>
    <mergeCell ref="B8:B10"/>
    <mergeCell ref="C8:C10"/>
    <mergeCell ref="D8:D10"/>
    <mergeCell ref="E8:E10"/>
    <mergeCell ref="G8:P8"/>
    <mergeCell ref="R8:X9"/>
    <mergeCell ref="X6:Y6"/>
    <mergeCell ref="Q8:Q10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40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SheetLayoutView="100" zoomScalePageLayoutView="0" workbookViewId="0" topLeftCell="A1">
      <selection activeCell="I13" sqref="I13"/>
    </sheetView>
  </sheetViews>
  <sheetFormatPr defaultColWidth="9.125" defaultRowHeight="12.75"/>
  <cols>
    <col min="1" max="1" width="3.75390625" style="1381" customWidth="1"/>
    <col min="2" max="2" width="86.75390625" style="1422" customWidth="1"/>
    <col min="3" max="6" width="13.75390625" style="1423" customWidth="1"/>
    <col min="7" max="7" width="15.75390625" style="1423" customWidth="1"/>
    <col min="8" max="8" width="13.75390625" style="1423" customWidth="1"/>
    <col min="9" max="9" width="16.875" style="1385" customWidth="1"/>
    <col min="10" max="16384" width="9.125" style="1385" customWidth="1"/>
  </cols>
  <sheetData>
    <row r="1" spans="2:14" ht="17.25">
      <c r="B1" s="1799" t="s">
        <v>801</v>
      </c>
      <c r="C1" s="1799"/>
      <c r="D1" s="1799"/>
      <c r="E1" s="1799"/>
      <c r="F1" s="1799"/>
      <c r="G1" s="1799"/>
      <c r="H1" s="1799"/>
      <c r="I1" s="1799"/>
      <c r="J1" s="1799"/>
      <c r="K1" s="1799"/>
      <c r="L1" s="1799"/>
      <c r="M1" s="1799"/>
      <c r="N1" s="1799"/>
    </row>
    <row r="2" spans="1:8" s="1383" customFormat="1" ht="16.5" customHeight="1">
      <c r="A2" s="1381"/>
      <c r="B2" s="1810" t="s">
        <v>758</v>
      </c>
      <c r="C2" s="1810"/>
      <c r="D2" s="1811"/>
      <c r="E2" s="1811"/>
      <c r="F2" s="1811"/>
      <c r="G2" s="1811"/>
      <c r="H2" s="1382"/>
    </row>
    <row r="3" spans="2:14" ht="24.75" customHeight="1">
      <c r="B3" s="1812" t="s">
        <v>759</v>
      </c>
      <c r="C3" s="1812"/>
      <c r="D3" s="1812"/>
      <c r="E3" s="1812"/>
      <c r="F3" s="1812"/>
      <c r="G3" s="1812"/>
      <c r="H3" s="1384"/>
      <c r="I3" s="1813"/>
      <c r="J3" s="1813"/>
      <c r="K3" s="1813"/>
      <c r="L3" s="1813"/>
      <c r="M3" s="1813"/>
      <c r="N3" s="1813"/>
    </row>
    <row r="4" spans="1:14" s="1383" customFormat="1" ht="24.75" customHeight="1">
      <c r="A4" s="1381"/>
      <c r="B4" s="1808" t="s">
        <v>760</v>
      </c>
      <c r="C4" s="1808"/>
      <c r="D4" s="1808"/>
      <c r="E4" s="1808"/>
      <c r="F4" s="1808"/>
      <c r="G4" s="1808"/>
      <c r="H4" s="1386"/>
      <c r="I4" s="1809"/>
      <c r="J4" s="1809"/>
      <c r="K4" s="1809"/>
      <c r="L4" s="1809"/>
      <c r="M4" s="1809"/>
      <c r="N4" s="1809"/>
    </row>
    <row r="5" spans="1:8" s="1392" customFormat="1" ht="15">
      <c r="A5" s="1387"/>
      <c r="B5" s="1388"/>
      <c r="C5" s="1389"/>
      <c r="D5" s="1389"/>
      <c r="E5" s="1389"/>
      <c r="F5" s="1389"/>
      <c r="G5" s="1390" t="s">
        <v>0</v>
      </c>
      <c r="H5" s="1391"/>
    </row>
    <row r="6" spans="1:8" s="1395" customFormat="1" ht="15" thickBot="1">
      <c r="A6" s="1387"/>
      <c r="B6" s="1393" t="s">
        <v>1</v>
      </c>
      <c r="C6" s="1394" t="s">
        <v>3</v>
      </c>
      <c r="D6" s="1394" t="s">
        <v>2</v>
      </c>
      <c r="E6" s="1394" t="s">
        <v>4</v>
      </c>
      <c r="F6" s="1394" t="s">
        <v>5</v>
      </c>
      <c r="G6" s="1394" t="s">
        <v>15</v>
      </c>
      <c r="H6" s="1394"/>
    </row>
    <row r="7" spans="1:8" s="1398" customFormat="1" ht="17.25">
      <c r="A7" s="1387"/>
      <c r="B7" s="1800" t="s">
        <v>6</v>
      </c>
      <c r="C7" s="1802" t="s">
        <v>761</v>
      </c>
      <c r="D7" s="1802" t="s">
        <v>762</v>
      </c>
      <c r="E7" s="1804" t="s">
        <v>112</v>
      </c>
      <c r="F7" s="1806" t="s">
        <v>800</v>
      </c>
      <c r="G7" s="1396" t="s">
        <v>763</v>
      </c>
      <c r="H7" s="1397"/>
    </row>
    <row r="8" spans="1:8" s="1398" customFormat="1" ht="18" thickBot="1">
      <c r="A8" s="1387"/>
      <c r="B8" s="1801"/>
      <c r="C8" s="1803"/>
      <c r="D8" s="1803"/>
      <c r="E8" s="1805"/>
      <c r="F8" s="1807"/>
      <c r="G8" s="1399" t="s">
        <v>764</v>
      </c>
      <c r="H8" s="1397"/>
    </row>
    <row r="9" spans="1:9" s="1405" customFormat="1" ht="22.5" customHeight="1">
      <c r="A9" s="1387">
        <v>1</v>
      </c>
      <c r="B9" s="1400" t="s">
        <v>765</v>
      </c>
      <c r="C9" s="1401">
        <v>0</v>
      </c>
      <c r="D9" s="1401">
        <f>SUM(D10:D16)</f>
        <v>1209808</v>
      </c>
      <c r="E9" s="1401">
        <f>SUM(E10:E16)</f>
        <v>4351</v>
      </c>
      <c r="F9" s="1401">
        <f>SUM(F10:F16)</f>
        <v>1214159</v>
      </c>
      <c r="G9" s="1402"/>
      <c r="H9" s="1403"/>
      <c r="I9" s="1404"/>
    </row>
    <row r="10" spans="1:8" s="1398" customFormat="1" ht="18" customHeight="1">
      <c r="A10" s="1387">
        <v>2</v>
      </c>
      <c r="B10" s="1406" t="s">
        <v>766</v>
      </c>
      <c r="C10" s="1407"/>
      <c r="D10" s="1407">
        <v>776793</v>
      </c>
      <c r="E10" s="1407">
        <v>2412</v>
      </c>
      <c r="F10" s="1407">
        <f>SUM(D10:E10)</f>
        <v>779205</v>
      </c>
      <c r="G10" s="1408"/>
      <c r="H10" s="1409"/>
    </row>
    <row r="11" spans="1:8" s="1398" customFormat="1" ht="18" customHeight="1">
      <c r="A11" s="1387">
        <v>3</v>
      </c>
      <c r="B11" s="1406" t="s">
        <v>767</v>
      </c>
      <c r="C11" s="1407"/>
      <c r="D11" s="1407">
        <v>56808</v>
      </c>
      <c r="E11" s="1407"/>
      <c r="F11" s="1407">
        <f aca="true" t="shared" si="0" ref="F11:F16">SUM(D11:E11)</f>
        <v>56808</v>
      </c>
      <c r="G11" s="1408"/>
      <c r="H11" s="1409"/>
    </row>
    <row r="12" spans="1:8" s="1398" customFormat="1" ht="18" customHeight="1">
      <c r="A12" s="1387">
        <v>4</v>
      </c>
      <c r="B12" s="1406" t="s">
        <v>768</v>
      </c>
      <c r="C12" s="1407"/>
      <c r="D12" s="1407">
        <v>120392</v>
      </c>
      <c r="E12" s="1407"/>
      <c r="F12" s="1407">
        <f t="shared" si="0"/>
        <v>120392</v>
      </c>
      <c r="G12" s="1408"/>
      <c r="H12" s="1409"/>
    </row>
    <row r="13" spans="1:8" s="1398" customFormat="1" ht="18" customHeight="1">
      <c r="A13" s="1387">
        <v>5</v>
      </c>
      <c r="B13" s="1406" t="s">
        <v>769</v>
      </c>
      <c r="C13" s="1407"/>
      <c r="D13" s="1407">
        <v>15072</v>
      </c>
      <c r="E13" s="1407"/>
      <c r="F13" s="1407">
        <f t="shared" si="0"/>
        <v>15072</v>
      </c>
      <c r="G13" s="1408"/>
      <c r="H13" s="1409"/>
    </row>
    <row r="14" spans="1:8" s="1398" customFormat="1" ht="18" customHeight="1">
      <c r="A14" s="1387">
        <v>6</v>
      </c>
      <c r="B14" s="1406" t="s">
        <v>770</v>
      </c>
      <c r="C14" s="1407"/>
      <c r="D14" s="1407">
        <v>91122</v>
      </c>
      <c r="E14" s="1407">
        <v>1939</v>
      </c>
      <c r="F14" s="1407">
        <f t="shared" si="0"/>
        <v>93061</v>
      </c>
      <c r="G14" s="1408"/>
      <c r="H14" s="1409"/>
    </row>
    <row r="15" spans="1:8" s="1398" customFormat="1" ht="18" customHeight="1">
      <c r="A15" s="1387">
        <v>7</v>
      </c>
      <c r="B15" s="1406" t="s">
        <v>771</v>
      </c>
      <c r="C15" s="1407"/>
      <c r="D15" s="1407">
        <v>149167</v>
      </c>
      <c r="E15" s="1407"/>
      <c r="F15" s="1407">
        <f t="shared" si="0"/>
        <v>149167</v>
      </c>
      <c r="G15" s="1408"/>
      <c r="H15" s="1409"/>
    </row>
    <row r="16" spans="1:8" s="1398" customFormat="1" ht="18" customHeight="1">
      <c r="A16" s="1387">
        <v>8</v>
      </c>
      <c r="B16" s="1406" t="s">
        <v>772</v>
      </c>
      <c r="C16" s="1407"/>
      <c r="D16" s="1407">
        <v>454</v>
      </c>
      <c r="E16" s="1407"/>
      <c r="F16" s="1407">
        <f t="shared" si="0"/>
        <v>454</v>
      </c>
      <c r="G16" s="1408"/>
      <c r="H16" s="1409"/>
    </row>
    <row r="17" spans="1:8" s="1405" customFormat="1" ht="22.5" customHeight="1">
      <c r="A17" s="1387">
        <v>9</v>
      </c>
      <c r="B17" s="1410" t="s">
        <v>773</v>
      </c>
      <c r="C17" s="1411">
        <f>SUM(C18:C22)</f>
        <v>1125011</v>
      </c>
      <c r="D17" s="1411">
        <f>SUM(D18:D22)</f>
        <v>1198897</v>
      </c>
      <c r="E17" s="1411">
        <f>SUM(E18:E22)</f>
        <v>45870</v>
      </c>
      <c r="F17" s="1411">
        <f>SUM(F18:F22)</f>
        <v>1244767</v>
      </c>
      <c r="G17" s="1402">
        <f aca="true" t="shared" si="1" ref="G17:G44">(D17/C17)</f>
        <v>1.0656758022810444</v>
      </c>
      <c r="H17" s="1403"/>
    </row>
    <row r="18" spans="1:8" s="1398" customFormat="1" ht="18" customHeight="1">
      <c r="A18" s="1387">
        <v>10</v>
      </c>
      <c r="B18" s="1406" t="s">
        <v>774</v>
      </c>
      <c r="C18" s="1407">
        <v>162239</v>
      </c>
      <c r="D18" s="1407">
        <v>151817</v>
      </c>
      <c r="E18" s="1407"/>
      <c r="F18" s="1407">
        <f>SUM(D18:E18)</f>
        <v>151817</v>
      </c>
      <c r="G18" s="1408">
        <f>(D18/C18)</f>
        <v>0.9357614383717848</v>
      </c>
      <c r="H18" s="1409"/>
    </row>
    <row r="19" spans="1:8" s="1398" customFormat="1" ht="18" customHeight="1">
      <c r="A19" s="1387">
        <v>11</v>
      </c>
      <c r="B19" s="1406" t="s">
        <v>775</v>
      </c>
      <c r="C19" s="1407">
        <v>650042</v>
      </c>
      <c r="D19" s="1407">
        <v>680610</v>
      </c>
      <c r="E19" s="1407"/>
      <c r="F19" s="1407">
        <f>SUM(D19:E19)</f>
        <v>680610</v>
      </c>
      <c r="G19" s="1408">
        <f>(D19/C19)</f>
        <v>1.0470246537916013</v>
      </c>
      <c r="H19" s="1409"/>
    </row>
    <row r="20" spans="1:8" s="1398" customFormat="1" ht="31.5">
      <c r="A20" s="1387">
        <v>12</v>
      </c>
      <c r="B20" s="1406" t="s">
        <v>776</v>
      </c>
      <c r="C20" s="1407">
        <v>30745</v>
      </c>
      <c r="D20" s="1407">
        <f>22032+11277+520+1820</f>
        <v>35649</v>
      </c>
      <c r="E20" s="1407"/>
      <c r="F20" s="1407">
        <f>SUM(D20:E20)</f>
        <v>35649</v>
      </c>
      <c r="G20" s="1408">
        <f>(D20/C20)</f>
        <v>1.1595056106684014</v>
      </c>
      <c r="H20" s="1409"/>
    </row>
    <row r="21" spans="1:8" s="1398" customFormat="1" ht="18" customHeight="1">
      <c r="A21" s="1387">
        <v>13</v>
      </c>
      <c r="B21" s="1406" t="s">
        <v>777</v>
      </c>
      <c r="C21" s="1407">
        <v>4870</v>
      </c>
      <c r="D21" s="1407">
        <v>4870</v>
      </c>
      <c r="E21" s="1407">
        <v>1980</v>
      </c>
      <c r="F21" s="1407">
        <f>SUM(D21:E21)</f>
        <v>6850</v>
      </c>
      <c r="G21" s="1408">
        <f t="shared" si="1"/>
        <v>1</v>
      </c>
      <c r="H21" s="1409"/>
    </row>
    <row r="22" spans="1:8" s="1398" customFormat="1" ht="31.5">
      <c r="A22" s="1387">
        <v>14</v>
      </c>
      <c r="B22" s="1406" t="s">
        <v>778</v>
      </c>
      <c r="C22" s="1407">
        <v>277115</v>
      </c>
      <c r="D22" s="1407">
        <f>321090+4861</f>
        <v>325951</v>
      </c>
      <c r="E22" s="1407">
        <v>43890</v>
      </c>
      <c r="F22" s="1407">
        <f>SUM(D22:E22)</f>
        <v>369841</v>
      </c>
      <c r="G22" s="1408">
        <f>(D22/C22)</f>
        <v>1.176230084982769</v>
      </c>
      <c r="H22" s="1409"/>
    </row>
    <row r="23" spans="1:8" s="1405" customFormat="1" ht="22.5" customHeight="1">
      <c r="A23" s="1387">
        <v>15</v>
      </c>
      <c r="B23" s="1410" t="s">
        <v>779</v>
      </c>
      <c r="C23" s="1411">
        <f>SUM(C24:C34)</f>
        <v>978351</v>
      </c>
      <c r="D23" s="1411">
        <f>SUM(D24:D34)</f>
        <v>1080565</v>
      </c>
      <c r="E23" s="1411">
        <f>SUM(E24:E34)</f>
        <v>19017</v>
      </c>
      <c r="F23" s="1411">
        <f>SUM(F24:F34)</f>
        <v>1099582</v>
      </c>
      <c r="G23" s="1402">
        <f t="shared" si="1"/>
        <v>1.1044757965188363</v>
      </c>
      <c r="H23" s="1403"/>
    </row>
    <row r="24" spans="1:8" s="1398" customFormat="1" ht="18" customHeight="1">
      <c r="A24" s="1387">
        <v>16</v>
      </c>
      <c r="B24" s="1406" t="s">
        <v>780</v>
      </c>
      <c r="C24" s="1407">
        <v>35020</v>
      </c>
      <c r="D24" s="1407">
        <v>45100</v>
      </c>
      <c r="E24" s="1407">
        <v>1718</v>
      </c>
      <c r="F24" s="1407">
        <f>SUM(D24:E24)</f>
        <v>46818</v>
      </c>
      <c r="G24" s="1408">
        <f t="shared" si="1"/>
        <v>1.287835522558538</v>
      </c>
      <c r="H24" s="1409"/>
    </row>
    <row r="25" spans="1:8" s="1398" customFormat="1" ht="18" customHeight="1">
      <c r="A25" s="1387">
        <v>17</v>
      </c>
      <c r="B25" s="1406" t="s">
        <v>781</v>
      </c>
      <c r="C25" s="1407">
        <v>39270</v>
      </c>
      <c r="D25" s="1407">
        <v>42705</v>
      </c>
      <c r="E25" s="1407">
        <v>2089</v>
      </c>
      <c r="F25" s="1407">
        <f aca="true" t="shared" si="2" ref="F25:F34">SUM(D25:E25)</f>
        <v>44794</v>
      </c>
      <c r="G25" s="1408">
        <f t="shared" si="1"/>
        <v>1.0874713521772346</v>
      </c>
      <c r="H25" s="1409"/>
    </row>
    <row r="26" spans="1:8" s="1398" customFormat="1" ht="18" customHeight="1">
      <c r="A26" s="1387">
        <v>18</v>
      </c>
      <c r="B26" s="1406" t="s">
        <v>782</v>
      </c>
      <c r="C26" s="1407">
        <v>49393</v>
      </c>
      <c r="D26" s="1407">
        <v>52046</v>
      </c>
      <c r="E26" s="1407">
        <v>950</v>
      </c>
      <c r="F26" s="1407">
        <f t="shared" si="2"/>
        <v>52996</v>
      </c>
      <c r="G26" s="1408">
        <f t="shared" si="1"/>
        <v>1.0537120644625757</v>
      </c>
      <c r="H26" s="1409"/>
    </row>
    <row r="27" spans="1:8" s="1398" customFormat="1" ht="18" customHeight="1">
      <c r="A27" s="1387">
        <v>19</v>
      </c>
      <c r="B27" s="1406" t="s">
        <v>783</v>
      </c>
      <c r="C27" s="1407">
        <v>65687</v>
      </c>
      <c r="D27" s="1407">
        <f>25+76920</f>
        <v>76945</v>
      </c>
      <c r="E27" s="1407">
        <v>3203</v>
      </c>
      <c r="F27" s="1407">
        <f t="shared" si="2"/>
        <v>80148</v>
      </c>
      <c r="G27" s="1408">
        <f t="shared" si="1"/>
        <v>1.1713885548129768</v>
      </c>
      <c r="H27" s="1409"/>
    </row>
    <row r="28" spans="1:8" s="1398" customFormat="1" ht="18" customHeight="1">
      <c r="A28" s="1387">
        <v>20</v>
      </c>
      <c r="B28" s="1406" t="s">
        <v>784</v>
      </c>
      <c r="C28" s="1407">
        <v>39900</v>
      </c>
      <c r="D28" s="1407">
        <v>39711</v>
      </c>
      <c r="E28" s="1407">
        <v>1316</v>
      </c>
      <c r="F28" s="1407">
        <f t="shared" si="2"/>
        <v>41027</v>
      </c>
      <c r="G28" s="1408">
        <f t="shared" si="1"/>
        <v>0.9952631578947368</v>
      </c>
      <c r="H28" s="1409"/>
    </row>
    <row r="29" spans="1:8" s="1398" customFormat="1" ht="18" customHeight="1">
      <c r="A29" s="1387">
        <v>21</v>
      </c>
      <c r="B29" s="1406" t="s">
        <v>785</v>
      </c>
      <c r="C29" s="1407">
        <v>32245</v>
      </c>
      <c r="D29" s="1407">
        <f>30744+3514</f>
        <v>34258</v>
      </c>
      <c r="E29" s="1407">
        <f>1003+115</f>
        <v>1118</v>
      </c>
      <c r="F29" s="1407">
        <f t="shared" si="2"/>
        <v>35376</v>
      </c>
      <c r="G29" s="1408">
        <f t="shared" si="1"/>
        <v>1.0624282834547991</v>
      </c>
      <c r="H29" s="1409"/>
    </row>
    <row r="30" spans="1:8" s="1398" customFormat="1" ht="18" customHeight="1">
      <c r="A30" s="1387">
        <v>22</v>
      </c>
      <c r="B30" s="1406" t="s">
        <v>786</v>
      </c>
      <c r="C30" s="1407">
        <v>13780</v>
      </c>
      <c r="D30" s="1407">
        <v>15372</v>
      </c>
      <c r="E30" s="1407">
        <v>305</v>
      </c>
      <c r="F30" s="1407">
        <f t="shared" si="2"/>
        <v>15677</v>
      </c>
      <c r="G30" s="1408">
        <f t="shared" si="1"/>
        <v>1.1155297532656023</v>
      </c>
      <c r="H30" s="1409"/>
    </row>
    <row r="31" spans="1:8" s="1398" customFormat="1" ht="18" customHeight="1">
      <c r="A31" s="1387">
        <v>23</v>
      </c>
      <c r="B31" s="1406" t="s">
        <v>787</v>
      </c>
      <c r="C31" s="1407">
        <v>54612</v>
      </c>
      <c r="D31" s="1407">
        <v>55088</v>
      </c>
      <c r="E31" s="1407"/>
      <c r="F31" s="1407">
        <f t="shared" si="2"/>
        <v>55088</v>
      </c>
      <c r="G31" s="1408">
        <f t="shared" si="1"/>
        <v>1.008716033106277</v>
      </c>
      <c r="H31" s="1409"/>
    </row>
    <row r="32" spans="1:8" s="1398" customFormat="1" ht="18" customHeight="1">
      <c r="A32" s="1387">
        <v>24</v>
      </c>
      <c r="B32" s="1406" t="s">
        <v>788</v>
      </c>
      <c r="C32" s="1407">
        <v>456349</v>
      </c>
      <c r="D32" s="1407">
        <f>112200+260286+144439</f>
        <v>516925</v>
      </c>
      <c r="E32" s="1407"/>
      <c r="F32" s="1407">
        <f t="shared" si="2"/>
        <v>516925</v>
      </c>
      <c r="G32" s="1408">
        <f>(D32/C32)</f>
        <v>1.13274051219571</v>
      </c>
      <c r="H32" s="1409"/>
    </row>
    <row r="33" spans="1:8" s="1398" customFormat="1" ht="18" customHeight="1">
      <c r="A33" s="1387">
        <v>25</v>
      </c>
      <c r="B33" s="1406" t="s">
        <v>789</v>
      </c>
      <c r="C33" s="1407">
        <v>19290</v>
      </c>
      <c r="D33" s="1407">
        <v>16936</v>
      </c>
      <c r="E33" s="1407">
        <v>832</v>
      </c>
      <c r="F33" s="1407">
        <f t="shared" si="2"/>
        <v>17768</v>
      </c>
      <c r="G33" s="1408">
        <f t="shared" si="1"/>
        <v>0.8779678589942975</v>
      </c>
      <c r="H33" s="1409"/>
    </row>
    <row r="34" spans="1:8" s="1398" customFormat="1" ht="18" customHeight="1">
      <c r="A34" s="1387">
        <v>26</v>
      </c>
      <c r="B34" s="1406" t="s">
        <v>790</v>
      </c>
      <c r="C34" s="1407">
        <f>142747+30058</f>
        <v>172805</v>
      </c>
      <c r="D34" s="1407">
        <f>152425+33054</f>
        <v>185479</v>
      </c>
      <c r="E34" s="1507">
        <f>8318-832</f>
        <v>7486</v>
      </c>
      <c r="F34" s="1407">
        <f t="shared" si="2"/>
        <v>192965</v>
      </c>
      <c r="G34" s="1408">
        <f t="shared" si="1"/>
        <v>1.073342785220335</v>
      </c>
      <c r="H34" s="1409"/>
    </row>
    <row r="35" spans="1:8" s="1405" customFormat="1" ht="22.5" customHeight="1">
      <c r="A35" s="1387">
        <v>27</v>
      </c>
      <c r="B35" s="1410" t="s">
        <v>791</v>
      </c>
      <c r="C35" s="1411">
        <f>SUM(C36:C37)</f>
        <v>501982</v>
      </c>
      <c r="D35" s="1411">
        <f>SUM(D36:D37)</f>
        <v>567989</v>
      </c>
      <c r="E35" s="1411">
        <f>SUM(E36:E37)</f>
        <v>5527</v>
      </c>
      <c r="F35" s="1411">
        <f>SUM(F36:F37)</f>
        <v>573516</v>
      </c>
      <c r="G35" s="1402">
        <f t="shared" si="1"/>
        <v>1.131492762688702</v>
      </c>
      <c r="H35" s="1403"/>
    </row>
    <row r="36" spans="1:8" s="1398" customFormat="1" ht="18" customHeight="1">
      <c r="A36" s="1387">
        <v>28</v>
      </c>
      <c r="B36" s="1406" t="s">
        <v>792</v>
      </c>
      <c r="C36" s="1407">
        <v>501906</v>
      </c>
      <c r="D36" s="1407">
        <f>243184+324805</f>
        <v>567989</v>
      </c>
      <c r="E36" s="1407">
        <v>5527</v>
      </c>
      <c r="F36" s="1407">
        <f>SUM(D36:E36)</f>
        <v>573516</v>
      </c>
      <c r="G36" s="1408">
        <f t="shared" si="1"/>
        <v>1.1316640964642781</v>
      </c>
      <c r="H36" s="1409"/>
    </row>
    <row r="37" spans="1:8" s="1398" customFormat="1" ht="18" customHeight="1">
      <c r="A37" s="1387">
        <v>29</v>
      </c>
      <c r="B37" s="1406" t="s">
        <v>793</v>
      </c>
      <c r="C37" s="1407">
        <v>76</v>
      </c>
      <c r="D37" s="1407">
        <v>0</v>
      </c>
      <c r="E37" s="1407"/>
      <c r="F37" s="1407"/>
      <c r="G37" s="1408">
        <f>(D37/C37)</f>
        <v>0</v>
      </c>
      <c r="H37" s="1409"/>
    </row>
    <row r="38" spans="1:8" s="1414" customFormat="1" ht="22.5" customHeight="1">
      <c r="A38" s="1387">
        <v>30</v>
      </c>
      <c r="B38" s="1410" t="s">
        <v>794</v>
      </c>
      <c r="C38" s="1411">
        <f>SUM(C39:C43)</f>
        <v>461283</v>
      </c>
      <c r="D38" s="1411">
        <f>SUM(D39:D43)</f>
        <v>487700</v>
      </c>
      <c r="E38" s="1411">
        <f>SUM(E39:E43)</f>
        <v>608</v>
      </c>
      <c r="F38" s="1411">
        <f>SUM(F39:F43)</f>
        <v>488308</v>
      </c>
      <c r="G38" s="1412">
        <f t="shared" si="1"/>
        <v>1.0572685314654995</v>
      </c>
      <c r="H38" s="1413"/>
    </row>
    <row r="39" spans="1:8" s="1383" customFormat="1" ht="18" customHeight="1">
      <c r="A39" s="1387">
        <v>31</v>
      </c>
      <c r="B39" s="1406" t="s">
        <v>795</v>
      </c>
      <c r="C39" s="1407">
        <v>120660</v>
      </c>
      <c r="D39" s="1407">
        <v>120660</v>
      </c>
      <c r="E39" s="1407"/>
      <c r="F39" s="1407">
        <f>SUM(D39:E39)</f>
        <v>120660</v>
      </c>
      <c r="G39" s="1415">
        <f t="shared" si="1"/>
        <v>1</v>
      </c>
      <c r="H39" s="1416"/>
    </row>
    <row r="40" spans="1:8" s="1383" customFormat="1" ht="18" customHeight="1">
      <c r="A40" s="1387">
        <v>32</v>
      </c>
      <c r="B40" s="1406" t="s">
        <v>796</v>
      </c>
      <c r="C40" s="1407">
        <v>140200</v>
      </c>
      <c r="D40" s="1407">
        <v>140200</v>
      </c>
      <c r="E40" s="1407"/>
      <c r="F40" s="1407">
        <f>SUM(D40:E40)</f>
        <v>140200</v>
      </c>
      <c r="G40" s="1415">
        <f>(D40/C40)</f>
        <v>1</v>
      </c>
      <c r="H40" s="1416"/>
    </row>
    <row r="41" spans="1:8" s="1383" customFormat="1" ht="18" customHeight="1">
      <c r="A41" s="1387">
        <v>33</v>
      </c>
      <c r="B41" s="1406" t="s">
        <v>797</v>
      </c>
      <c r="C41" s="1407">
        <v>25675</v>
      </c>
      <c r="D41" s="1407">
        <v>52485</v>
      </c>
      <c r="E41" s="1407">
        <v>608</v>
      </c>
      <c r="F41" s="1407">
        <f>SUM(D41:E41)</f>
        <v>53093</v>
      </c>
      <c r="G41" s="1415">
        <f t="shared" si="1"/>
        <v>2.0442064264849074</v>
      </c>
      <c r="H41" s="1416"/>
    </row>
    <row r="42" spans="1:8" s="1383" customFormat="1" ht="18" customHeight="1">
      <c r="A42" s="1387">
        <v>34</v>
      </c>
      <c r="B42" s="1406" t="s">
        <v>798</v>
      </c>
      <c r="C42" s="1407">
        <v>150648</v>
      </c>
      <c r="D42" s="1407">
        <v>150255</v>
      </c>
      <c r="E42" s="1407"/>
      <c r="F42" s="1407">
        <f>SUM(D42:E42)</f>
        <v>150255</v>
      </c>
      <c r="G42" s="1415">
        <f t="shared" si="1"/>
        <v>0.9973912697148319</v>
      </c>
      <c r="H42" s="1416"/>
    </row>
    <row r="43" spans="1:8" s="1383" customFormat="1" ht="18" customHeight="1" thickBot="1">
      <c r="A43" s="1387">
        <v>35</v>
      </c>
      <c r="B43" s="1406" t="s">
        <v>799</v>
      </c>
      <c r="C43" s="1407">
        <v>24100</v>
      </c>
      <c r="D43" s="1407">
        <v>24100</v>
      </c>
      <c r="E43" s="1407"/>
      <c r="F43" s="1407">
        <f>SUM(D43:E43)</f>
        <v>24100</v>
      </c>
      <c r="G43" s="1415">
        <f t="shared" si="1"/>
        <v>1</v>
      </c>
      <c r="H43" s="1416"/>
    </row>
    <row r="44" spans="1:8" s="1421" customFormat="1" ht="36" customHeight="1" thickBot="1">
      <c r="A44" s="1387">
        <v>36</v>
      </c>
      <c r="B44" s="1417" t="s">
        <v>13</v>
      </c>
      <c r="C44" s="1418">
        <f>SUM(C9,C17,C23,C35,C38)</f>
        <v>3066627</v>
      </c>
      <c r="D44" s="1418">
        <f>SUM(D9,D17,D23,D35,D38)</f>
        <v>4544959</v>
      </c>
      <c r="E44" s="1418">
        <f>SUM(E9,E17,E23,E35,E38)</f>
        <v>75373</v>
      </c>
      <c r="F44" s="1418">
        <f>SUM(F9,F17,F23,F35,F38)</f>
        <v>4620332</v>
      </c>
      <c r="G44" s="1419">
        <f t="shared" si="1"/>
        <v>1.4820710180925167</v>
      </c>
      <c r="H44" s="1420"/>
    </row>
  </sheetData>
  <sheetProtection/>
  <mergeCells count="12">
    <mergeCell ref="B4:G4"/>
    <mergeCell ref="I4:N4"/>
    <mergeCell ref="B1:N1"/>
    <mergeCell ref="B2:C2"/>
    <mergeCell ref="D2:G2"/>
    <mergeCell ref="B3:G3"/>
    <mergeCell ref="I3:N3"/>
    <mergeCell ref="B7:B8"/>
    <mergeCell ref="C7:C8"/>
    <mergeCell ref="D7:D8"/>
    <mergeCell ref="E7:E8"/>
    <mergeCell ref="F7:F8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62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view="pageBreakPreview" zoomScaleSheetLayoutView="100" zoomScalePageLayoutView="0" workbookViewId="0" topLeftCell="A1">
      <selection activeCell="N34" sqref="N34"/>
    </sheetView>
  </sheetViews>
  <sheetFormatPr defaultColWidth="9.125" defaultRowHeight="12.75"/>
  <cols>
    <col min="1" max="1" width="3.75390625" style="668" customWidth="1"/>
    <col min="2" max="2" width="5.75390625" style="84" customWidth="1"/>
    <col min="3" max="5" width="5.75390625" style="86" customWidth="1"/>
    <col min="6" max="6" width="59.75390625" style="45" customWidth="1"/>
    <col min="7" max="9" width="13.75390625" style="45" customWidth="1"/>
    <col min="10" max="12" width="15.75390625" style="45" customWidth="1"/>
    <col min="13" max="13" width="9.125" style="45" customWidth="1"/>
    <col min="14" max="14" width="11.25390625" style="45" bestFit="1" customWidth="1"/>
    <col min="15" max="16384" width="9.125" style="45" customWidth="1"/>
  </cols>
  <sheetData>
    <row r="1" spans="2:13" ht="17.25">
      <c r="B1" s="1799" t="s">
        <v>954</v>
      </c>
      <c r="C1" s="1799"/>
      <c r="D1" s="1799"/>
      <c r="E1" s="1799"/>
      <c r="F1" s="1799"/>
      <c r="G1" s="1799"/>
      <c r="H1" s="1799"/>
      <c r="I1" s="1799"/>
      <c r="J1" s="1799"/>
      <c r="K1" s="1799"/>
      <c r="L1" s="1799"/>
      <c r="M1" s="1799"/>
    </row>
    <row r="2" spans="2:11" ht="16.5">
      <c r="B2" s="1814"/>
      <c r="C2" s="1814"/>
      <c r="D2" s="1814"/>
      <c r="E2" s="1814"/>
      <c r="F2" s="1814"/>
      <c r="H2" s="46"/>
      <c r="I2" s="47"/>
      <c r="J2" s="47"/>
      <c r="K2" s="47"/>
    </row>
    <row r="3" spans="1:12" s="48" customFormat="1" ht="24.75" customHeight="1">
      <c r="A3" s="668"/>
      <c r="B3" s="1815" t="s">
        <v>156</v>
      </c>
      <c r="C3" s="1815"/>
      <c r="D3" s="1815"/>
      <c r="E3" s="1815"/>
      <c r="F3" s="1815"/>
      <c r="G3" s="1815"/>
      <c r="H3" s="1815"/>
      <c r="I3" s="1815"/>
      <c r="J3" s="1815"/>
      <c r="K3" s="1815"/>
      <c r="L3" s="1815"/>
    </row>
    <row r="4" spans="1:12" s="48" customFormat="1" ht="24.75" customHeight="1">
      <c r="A4" s="668"/>
      <c r="B4" s="1815" t="s">
        <v>894</v>
      </c>
      <c r="C4" s="1815"/>
      <c r="D4" s="1815"/>
      <c r="E4" s="1815"/>
      <c r="F4" s="1815"/>
      <c r="G4" s="1815"/>
      <c r="H4" s="1815"/>
      <c r="I4" s="1815"/>
      <c r="J4" s="1815"/>
      <c r="K4" s="1815"/>
      <c r="L4" s="1815"/>
    </row>
    <row r="5" spans="3:12" ht="17.25">
      <c r="C5" s="85"/>
      <c r="E5" s="85"/>
      <c r="F5" s="85"/>
      <c r="G5" s="85"/>
      <c r="H5" s="46"/>
      <c r="L5" s="319" t="s">
        <v>0</v>
      </c>
    </row>
    <row r="6" spans="1:12" s="86" customFormat="1" ht="17.25" thickBot="1">
      <c r="A6" s="668"/>
      <c r="B6" s="84" t="s">
        <v>1</v>
      </c>
      <c r="C6" s="86" t="s">
        <v>3</v>
      </c>
      <c r="D6" s="86" t="s">
        <v>2</v>
      </c>
      <c r="E6" s="86" t="s">
        <v>4</v>
      </c>
      <c r="F6" s="86" t="s">
        <v>5</v>
      </c>
      <c r="G6" s="86" t="s">
        <v>15</v>
      </c>
      <c r="H6" s="86" t="s">
        <v>16</v>
      </c>
      <c r="I6" s="320" t="s">
        <v>17</v>
      </c>
      <c r="J6" s="320" t="s">
        <v>33</v>
      </c>
      <c r="K6" s="56" t="s">
        <v>29</v>
      </c>
      <c r="L6" s="86" t="s">
        <v>22</v>
      </c>
    </row>
    <row r="7" spans="1:12" s="49" customFormat="1" ht="79.5" customHeight="1" thickBot="1">
      <c r="A7" s="668"/>
      <c r="B7" s="321" t="s">
        <v>188</v>
      </c>
      <c r="C7" s="322" t="s">
        <v>19</v>
      </c>
      <c r="D7" s="308" t="s">
        <v>428</v>
      </c>
      <c r="E7" s="308" t="s">
        <v>430</v>
      </c>
      <c r="F7" s="323" t="s">
        <v>6</v>
      </c>
      <c r="G7" s="217" t="s">
        <v>534</v>
      </c>
      <c r="H7" s="217" t="s">
        <v>535</v>
      </c>
      <c r="I7" s="324" t="s">
        <v>613</v>
      </c>
      <c r="J7" s="1065" t="s">
        <v>671</v>
      </c>
      <c r="K7" s="311" t="s">
        <v>756</v>
      </c>
      <c r="L7" s="1737" t="s">
        <v>891</v>
      </c>
    </row>
    <row r="8" spans="1:12" s="54" customFormat="1" ht="30" customHeight="1">
      <c r="A8" s="668">
        <v>1</v>
      </c>
      <c r="B8" s="304" t="s">
        <v>379</v>
      </c>
      <c r="C8" s="50"/>
      <c r="D8" s="51"/>
      <c r="E8" s="50"/>
      <c r="F8" s="52" t="s">
        <v>189</v>
      </c>
      <c r="G8" s="53">
        <f aca="true" t="shared" si="0" ref="G8:L8">SUM(G9:G10)</f>
        <v>8054296</v>
      </c>
      <c r="H8" s="53">
        <f t="shared" si="0"/>
        <v>8038573</v>
      </c>
      <c r="I8" s="53">
        <f t="shared" si="0"/>
        <v>7660387</v>
      </c>
      <c r="J8" s="1078">
        <f t="shared" si="0"/>
        <v>8835002</v>
      </c>
      <c r="K8" s="53">
        <f t="shared" si="0"/>
        <v>9879838</v>
      </c>
      <c r="L8" s="1738">
        <f t="shared" si="0"/>
        <v>3765567</v>
      </c>
    </row>
    <row r="9" spans="1:12" ht="25.5" customHeight="1">
      <c r="A9" s="668">
        <v>2</v>
      </c>
      <c r="B9" s="55"/>
      <c r="C9" s="56"/>
      <c r="D9" s="56">
        <v>1</v>
      </c>
      <c r="E9" s="56"/>
      <c r="F9" s="57" t="s">
        <v>36</v>
      </c>
      <c r="G9" s="57">
        <f>7776616-10996+10996</f>
        <v>7776616</v>
      </c>
      <c r="H9" s="57">
        <v>7971537</v>
      </c>
      <c r="I9" s="57">
        <v>7486012</v>
      </c>
      <c r="J9" s="1079">
        <f>+'4.Inki'!K232+'4.Inki'!L232+'4.Inki'!M232+'4.Inki'!N232+'4.Inki'!O232</f>
        <v>8688793</v>
      </c>
      <c r="K9" s="57">
        <v>9525779</v>
      </c>
      <c r="L9" s="1739">
        <f>'4.Inki'!K234+'4.Inki'!L234+'4.Inki'!M234+'4.Inki'!O234</f>
        <v>3675504</v>
      </c>
    </row>
    <row r="10" spans="1:12" ht="25.5" customHeight="1">
      <c r="A10" s="668">
        <v>3</v>
      </c>
      <c r="B10" s="55"/>
      <c r="C10" s="56"/>
      <c r="D10" s="56">
        <v>2</v>
      </c>
      <c r="E10" s="56"/>
      <c r="F10" s="57" t="s">
        <v>148</v>
      </c>
      <c r="G10" s="57">
        <f aca="true" t="shared" si="1" ref="G10:L10">SUM(G11:G12)</f>
        <v>277680</v>
      </c>
      <c r="H10" s="57">
        <f t="shared" si="1"/>
        <v>67036</v>
      </c>
      <c r="I10" s="57">
        <f t="shared" si="1"/>
        <v>174375</v>
      </c>
      <c r="J10" s="1079">
        <f t="shared" si="1"/>
        <v>146209</v>
      </c>
      <c r="K10" s="57">
        <f t="shared" si="1"/>
        <v>354059</v>
      </c>
      <c r="L10" s="1739">
        <f t="shared" si="1"/>
        <v>90063</v>
      </c>
    </row>
    <row r="11" spans="1:12" ht="17.25">
      <c r="A11" s="668">
        <v>4</v>
      </c>
      <c r="B11" s="55"/>
      <c r="C11" s="56"/>
      <c r="D11" s="56"/>
      <c r="E11" s="56">
        <v>1</v>
      </c>
      <c r="F11" s="58" t="s">
        <v>213</v>
      </c>
      <c r="G11" s="57">
        <v>277321</v>
      </c>
      <c r="H11" s="57">
        <f>65036+2000</f>
        <v>67036</v>
      </c>
      <c r="I11" s="57">
        <v>171260</v>
      </c>
      <c r="J11" s="1079">
        <f>+'4.Inki'!P232+'4.Inki'!R232</f>
        <v>146209</v>
      </c>
      <c r="K11" s="57">
        <v>354059</v>
      </c>
      <c r="L11" s="1739">
        <f>'4.Inki'!P234</f>
        <v>90063</v>
      </c>
    </row>
    <row r="12" spans="1:12" ht="17.25">
      <c r="A12" s="668">
        <v>5</v>
      </c>
      <c r="B12" s="55"/>
      <c r="C12" s="56"/>
      <c r="D12" s="56"/>
      <c r="E12" s="56">
        <v>2</v>
      </c>
      <c r="F12" s="58" t="s">
        <v>214</v>
      </c>
      <c r="G12" s="57">
        <v>359</v>
      </c>
      <c r="H12" s="57"/>
      <c r="I12" s="57">
        <v>3115</v>
      </c>
      <c r="J12" s="1079">
        <f>+'4.Inki'!Q232</f>
        <v>0</v>
      </c>
      <c r="K12" s="57"/>
      <c r="L12" s="1739"/>
    </row>
    <row r="13" spans="1:12" s="54" customFormat="1" ht="30" customHeight="1">
      <c r="A13" s="668">
        <v>6</v>
      </c>
      <c r="B13" s="305" t="s">
        <v>380</v>
      </c>
      <c r="C13" s="59"/>
      <c r="D13" s="60"/>
      <c r="E13" s="60"/>
      <c r="F13" s="61" t="s">
        <v>114</v>
      </c>
      <c r="G13" s="61">
        <f>SUM(G14:G15,G26,G27)</f>
        <v>11881117</v>
      </c>
      <c r="H13" s="61">
        <f>SUM(H14:H15,H26,H27)</f>
        <v>29513701</v>
      </c>
      <c r="I13" s="61">
        <f>SUM(I14:I15,I26,I27)</f>
        <v>14306769</v>
      </c>
      <c r="J13" s="1080">
        <f>SUM(J14:J15,J26,J27)</f>
        <v>37267991</v>
      </c>
      <c r="K13" s="61">
        <f>SUM(K14:K15,K26,K27)</f>
        <v>41056115</v>
      </c>
      <c r="L13" s="1740">
        <f>SUM(L14:L15,L26,L27)</f>
        <v>11565117</v>
      </c>
    </row>
    <row r="14" spans="1:12" s="54" customFormat="1" ht="25.5" customHeight="1">
      <c r="A14" s="668">
        <v>7</v>
      </c>
      <c r="B14" s="55"/>
      <c r="C14" s="62"/>
      <c r="D14" s="56">
        <v>1</v>
      </c>
      <c r="E14" s="62"/>
      <c r="F14" s="63" t="s">
        <v>36</v>
      </c>
      <c r="G14" s="63">
        <v>6400942</v>
      </c>
      <c r="H14" s="63">
        <v>6655947</v>
      </c>
      <c r="I14" s="63">
        <v>5608944</v>
      </c>
      <c r="J14" s="1081">
        <f>'6.Önk.műk.'!I598+'7.Beruh.'!I199+'9.Projekt'!I115+'9.Projekt'!J115+'9.Projekt'!K115+'9.Projekt'!L115+'10.MVP és hazai'!I82+'10.MVP és hazai'!J82+'10.MVP és hazai'!K82+'10.MVP és hazai'!L82+'11.EKF'!I139+'11.EKF'!J139+'11.EKF'!K139+'11.EKF'!L139</f>
        <v>6150481</v>
      </c>
      <c r="K14" s="63">
        <v>7215143</v>
      </c>
      <c r="L14" s="1741">
        <f>'6.Önk.műk.'!I600+'7.Beruh.'!I201+'8.Felúj.'!I55+'9.Projekt'!I117+'9.Projekt'!J117+'9.Projekt'!K117+'9.Projekt'!L117+'10.MVP és hazai'!I84+'10.MVP és hazai'!J84+'10.MVP és hazai'!K84+'10.MVP és hazai'!L84+'11.EKF'!I141+'11.EKF'!J141+'11.EKF'!K141+'11.EKF'!L141</f>
        <v>2426872</v>
      </c>
    </row>
    <row r="15" spans="1:12" ht="25.5" customHeight="1">
      <c r="A15" s="668">
        <v>8</v>
      </c>
      <c r="B15" s="55"/>
      <c r="C15" s="62"/>
      <c r="D15" s="62"/>
      <c r="E15" s="62"/>
      <c r="F15" s="63" t="s">
        <v>190</v>
      </c>
      <c r="G15" s="63">
        <f aca="true" t="shared" si="2" ref="G15:L15">SUM(G16,G22)</f>
        <v>0</v>
      </c>
      <c r="H15" s="63">
        <f t="shared" si="2"/>
        <v>520204</v>
      </c>
      <c r="I15" s="63">
        <f t="shared" si="2"/>
        <v>0</v>
      </c>
      <c r="J15" s="1081">
        <f t="shared" si="2"/>
        <v>791669</v>
      </c>
      <c r="K15" s="63">
        <f t="shared" si="2"/>
        <v>928747</v>
      </c>
      <c r="L15" s="1741">
        <f t="shared" si="2"/>
        <v>0</v>
      </c>
    </row>
    <row r="16" spans="1:12" s="67" customFormat="1" ht="25.5" customHeight="1">
      <c r="A16" s="668">
        <v>9</v>
      </c>
      <c r="B16" s="306"/>
      <c r="C16" s="64"/>
      <c r="D16" s="56">
        <v>1</v>
      </c>
      <c r="E16" s="64"/>
      <c r="F16" s="65" t="s">
        <v>396</v>
      </c>
      <c r="G16" s="66">
        <f>SUM(G17:G20)</f>
        <v>0</v>
      </c>
      <c r="H16" s="66">
        <f>SUM(H17:H20)</f>
        <v>135616</v>
      </c>
      <c r="I16" s="66">
        <f>SUM(I17:I21)</f>
        <v>0</v>
      </c>
      <c r="J16" s="1082">
        <f>SUM(J17:J21)</f>
        <v>428014</v>
      </c>
      <c r="K16" s="66">
        <f>SUM(K17:K21)</f>
        <v>473237</v>
      </c>
      <c r="L16" s="1739">
        <f>SUM(L17:L21)</f>
        <v>0</v>
      </c>
    </row>
    <row r="17" spans="1:12" ht="17.25">
      <c r="A17" s="668">
        <v>10</v>
      </c>
      <c r="B17" s="55"/>
      <c r="C17" s="56"/>
      <c r="D17" s="56"/>
      <c r="E17" s="56"/>
      <c r="F17" s="68" t="s">
        <v>656</v>
      </c>
      <c r="G17" s="57"/>
      <c r="H17" s="57">
        <v>111616</v>
      </c>
      <c r="I17" s="57"/>
      <c r="J17" s="1079">
        <v>188014</v>
      </c>
      <c r="K17" s="57">
        <v>173237</v>
      </c>
      <c r="L17" s="1739"/>
    </row>
    <row r="18" spans="1:12" ht="17.25">
      <c r="A18" s="668">
        <v>11</v>
      </c>
      <c r="B18" s="55"/>
      <c r="C18" s="56"/>
      <c r="D18" s="56"/>
      <c r="E18" s="56"/>
      <c r="F18" s="68" t="s">
        <v>486</v>
      </c>
      <c r="G18" s="57"/>
      <c r="H18" s="57">
        <v>24000</v>
      </c>
      <c r="I18" s="57"/>
      <c r="J18" s="1079"/>
      <c r="K18" s="57"/>
      <c r="L18" s="1739"/>
    </row>
    <row r="19" spans="1:12" ht="17.25">
      <c r="A19" s="668">
        <v>12</v>
      </c>
      <c r="B19" s="55"/>
      <c r="C19" s="56"/>
      <c r="D19" s="56"/>
      <c r="E19" s="56"/>
      <c r="F19" s="68" t="s">
        <v>405</v>
      </c>
      <c r="G19" s="57"/>
      <c r="H19" s="57"/>
      <c r="I19" s="57"/>
      <c r="J19" s="1079"/>
      <c r="K19" s="57"/>
      <c r="L19" s="1739"/>
    </row>
    <row r="20" spans="1:12" ht="17.25">
      <c r="A20" s="668">
        <v>13</v>
      </c>
      <c r="B20" s="55"/>
      <c r="C20" s="56"/>
      <c r="D20" s="56"/>
      <c r="E20" s="56"/>
      <c r="F20" s="68" t="s">
        <v>422</v>
      </c>
      <c r="G20" s="57"/>
      <c r="H20" s="57"/>
      <c r="I20" s="57"/>
      <c r="J20" s="1079"/>
      <c r="K20" s="57"/>
      <c r="L20" s="1739"/>
    </row>
    <row r="21" spans="1:12" ht="17.25">
      <c r="A21" s="668">
        <v>14</v>
      </c>
      <c r="B21" s="55"/>
      <c r="C21" s="56"/>
      <c r="D21" s="56"/>
      <c r="E21" s="56"/>
      <c r="F21" s="68" t="s">
        <v>423</v>
      </c>
      <c r="G21" s="57"/>
      <c r="H21" s="57"/>
      <c r="I21" s="57"/>
      <c r="J21" s="1079">
        <v>240000</v>
      </c>
      <c r="K21" s="57">
        <v>300000</v>
      </c>
      <c r="L21" s="1739"/>
    </row>
    <row r="22" spans="1:12" s="67" customFormat="1" ht="25.5" customHeight="1">
      <c r="A22" s="668">
        <v>15</v>
      </c>
      <c r="B22" s="306"/>
      <c r="C22" s="64"/>
      <c r="D22" s="56">
        <v>2</v>
      </c>
      <c r="E22" s="64"/>
      <c r="F22" s="65" t="s">
        <v>397</v>
      </c>
      <c r="G22" s="66">
        <f>SUM(G23:G25)</f>
        <v>0</v>
      </c>
      <c r="H22" s="66">
        <f>SUM(H23:H25)</f>
        <v>384588</v>
      </c>
      <c r="I22" s="66">
        <f>SUM(I23:I25)</f>
        <v>0</v>
      </c>
      <c r="J22" s="1082">
        <f>SUM(J23:J25)</f>
        <v>363655</v>
      </c>
      <c r="K22" s="66">
        <f>SUM(K23:K25)</f>
        <v>455510</v>
      </c>
      <c r="L22" s="1739">
        <f>SUM(L23:L25)</f>
        <v>0</v>
      </c>
    </row>
    <row r="23" spans="1:12" ht="17.25">
      <c r="A23" s="668">
        <v>16</v>
      </c>
      <c r="B23" s="55"/>
      <c r="C23" s="56"/>
      <c r="D23" s="64"/>
      <c r="E23" s="56"/>
      <c r="F23" s="68" t="s">
        <v>744</v>
      </c>
      <c r="G23" s="57"/>
      <c r="H23" s="57"/>
      <c r="I23" s="57"/>
      <c r="J23" s="1079"/>
      <c r="K23" s="57">
        <v>50000</v>
      </c>
      <c r="L23" s="1739"/>
    </row>
    <row r="24" spans="1:12" ht="17.25">
      <c r="A24" s="668">
        <v>17</v>
      </c>
      <c r="B24" s="55"/>
      <c r="C24" s="56"/>
      <c r="D24" s="64"/>
      <c r="E24" s="56"/>
      <c r="F24" s="470" t="s">
        <v>404</v>
      </c>
      <c r="G24" s="57"/>
      <c r="H24" s="471"/>
      <c r="I24" s="471"/>
      <c r="J24" s="1083">
        <v>64615</v>
      </c>
      <c r="K24" s="471">
        <v>106470</v>
      </c>
      <c r="L24" s="1739"/>
    </row>
    <row r="25" spans="1:12" ht="17.25">
      <c r="A25" s="668">
        <v>18</v>
      </c>
      <c r="B25" s="55"/>
      <c r="C25" s="56"/>
      <c r="D25" s="64"/>
      <c r="E25" s="56"/>
      <c r="F25" s="68" t="s">
        <v>369</v>
      </c>
      <c r="G25" s="57"/>
      <c r="H25" s="57">
        <v>384588</v>
      </c>
      <c r="I25" s="57"/>
      <c r="J25" s="1079">
        <v>299040</v>
      </c>
      <c r="K25" s="57">
        <v>299040</v>
      </c>
      <c r="L25" s="1739"/>
    </row>
    <row r="26" spans="1:12" s="48" customFormat="1" ht="25.5" customHeight="1">
      <c r="A26" s="668">
        <v>19</v>
      </c>
      <c r="B26" s="307"/>
      <c r="C26" s="69"/>
      <c r="D26" s="69"/>
      <c r="E26" s="69"/>
      <c r="F26" s="70" t="s">
        <v>191</v>
      </c>
      <c r="G26" s="70"/>
      <c r="H26" s="70">
        <v>177471</v>
      </c>
      <c r="I26" s="70"/>
      <c r="J26" s="1084">
        <v>150000</v>
      </c>
      <c r="K26" s="70">
        <v>78067</v>
      </c>
      <c r="L26" s="1742"/>
    </row>
    <row r="27" spans="1:12" s="54" customFormat="1" ht="25.5" customHeight="1">
      <c r="A27" s="668">
        <v>20</v>
      </c>
      <c r="B27" s="55"/>
      <c r="C27" s="62"/>
      <c r="D27" s="56">
        <v>2</v>
      </c>
      <c r="E27" s="62"/>
      <c r="F27" s="63" t="s">
        <v>148</v>
      </c>
      <c r="G27" s="63">
        <f>SUM(G28:G30)</f>
        <v>5480175</v>
      </c>
      <c r="H27" s="63">
        <f>SUM(H28:H30)</f>
        <v>22160079</v>
      </c>
      <c r="I27" s="63">
        <f>SUM(I28:I30)</f>
        <v>8697825</v>
      </c>
      <c r="J27" s="1081">
        <f>SUM(J28:J30)</f>
        <v>30175841</v>
      </c>
      <c r="K27" s="63">
        <f>SUM(K28:K30)</f>
        <v>32834158</v>
      </c>
      <c r="L27" s="1741">
        <f>SUM(L28:L30)</f>
        <v>9138245</v>
      </c>
    </row>
    <row r="28" spans="1:12" ht="17.25">
      <c r="A28" s="668">
        <v>21</v>
      </c>
      <c r="B28" s="55"/>
      <c r="C28" s="62"/>
      <c r="D28" s="56"/>
      <c r="E28" s="56">
        <v>1</v>
      </c>
      <c r="F28" s="58" t="s">
        <v>213</v>
      </c>
      <c r="G28" s="57">
        <v>5000126</v>
      </c>
      <c r="H28" s="57">
        <v>21222147</v>
      </c>
      <c r="I28" s="57">
        <v>5639171</v>
      </c>
      <c r="J28" s="1079">
        <f>'7.Beruh.'!J199+'9.Projekt'!M115+'10.MVP és hazai'!M82+'11.EKF'!M139</f>
        <v>30091595</v>
      </c>
      <c r="K28" s="57">
        <v>32420271</v>
      </c>
      <c r="L28" s="1739">
        <f>'7.Beruh.'!J201+'9.Projekt'!M117+'10.MVP és hazai'!M84+'11.EKF'!M141</f>
        <v>9110675</v>
      </c>
    </row>
    <row r="29" spans="1:12" ht="17.25">
      <c r="A29" s="668">
        <v>22</v>
      </c>
      <c r="B29" s="55"/>
      <c r="C29" s="62"/>
      <c r="D29" s="56"/>
      <c r="E29" s="56">
        <v>2</v>
      </c>
      <c r="F29" s="58" t="s">
        <v>149</v>
      </c>
      <c r="G29" s="57">
        <v>55982</v>
      </c>
      <c r="H29" s="57">
        <v>549493</v>
      </c>
      <c r="I29" s="57">
        <v>2927040</v>
      </c>
      <c r="J29" s="1079">
        <f>'7.Beruh.'!K199+'9.Projekt'!N115+'10.MVP és hazai'!N82+'11.EKF'!O139</f>
        <v>60493</v>
      </c>
      <c r="K29" s="57">
        <v>348494</v>
      </c>
      <c r="L29" s="1739">
        <f>'7.Beruh.'!K201+'9.Projekt'!N117+'10.MVP és hazai'!N84+'11.EKF'!O141</f>
        <v>25070</v>
      </c>
    </row>
    <row r="30" spans="1:14" ht="17.25">
      <c r="A30" s="668">
        <v>23</v>
      </c>
      <c r="B30" s="55"/>
      <c r="C30" s="62"/>
      <c r="D30" s="56"/>
      <c r="E30" s="56">
        <v>3</v>
      </c>
      <c r="F30" s="58" t="s">
        <v>214</v>
      </c>
      <c r="G30" s="57">
        <v>424067</v>
      </c>
      <c r="H30" s="57">
        <v>388439</v>
      </c>
      <c r="I30" s="57">
        <v>131614</v>
      </c>
      <c r="J30" s="1079">
        <v>23753</v>
      </c>
      <c r="K30" s="57">
        <v>65393</v>
      </c>
      <c r="L30" s="1739">
        <f>'8.Felúj.'!J55+'11.EKF'!N141</f>
        <v>2500</v>
      </c>
      <c r="N30" s="57"/>
    </row>
    <row r="31" spans="1:12" s="54" customFormat="1" ht="30" customHeight="1">
      <c r="A31" s="668">
        <v>24</v>
      </c>
      <c r="B31" s="305" t="s">
        <v>380</v>
      </c>
      <c r="C31" s="59"/>
      <c r="D31" s="60"/>
      <c r="E31" s="59"/>
      <c r="F31" s="61" t="s">
        <v>192</v>
      </c>
      <c r="G31" s="61">
        <f>SUM(G32:G33)</f>
        <v>0</v>
      </c>
      <c r="H31" s="61">
        <f>SUM(H32:H33)</f>
        <v>0</v>
      </c>
      <c r="I31" s="61">
        <f>SUM(I32:I33)</f>
        <v>0</v>
      </c>
      <c r="J31" s="1080">
        <f>SUM(J32:J33)</f>
        <v>0</v>
      </c>
      <c r="K31" s="61">
        <f>SUM(K32:K33)</f>
        <v>0</v>
      </c>
      <c r="L31" s="1740">
        <f>SUM(L32:L33)</f>
        <v>0</v>
      </c>
    </row>
    <row r="32" spans="1:12" s="47" customFormat="1" ht="24" customHeight="1">
      <c r="A32" s="668">
        <v>25</v>
      </c>
      <c r="B32" s="55"/>
      <c r="C32" s="56"/>
      <c r="D32" s="56">
        <v>1</v>
      </c>
      <c r="E32" s="56"/>
      <c r="F32" s="71" t="s">
        <v>36</v>
      </c>
      <c r="G32" s="80"/>
      <c r="H32" s="80"/>
      <c r="I32" s="80"/>
      <c r="J32" s="1085"/>
      <c r="K32" s="80"/>
      <c r="L32" s="1743"/>
    </row>
    <row r="33" spans="1:12" s="47" customFormat="1" ht="24" customHeight="1" thickBot="1">
      <c r="A33" s="668">
        <v>26</v>
      </c>
      <c r="B33" s="55"/>
      <c r="C33" s="56"/>
      <c r="D33" s="56">
        <v>2</v>
      </c>
      <c r="E33" s="56"/>
      <c r="F33" s="578" t="s">
        <v>148</v>
      </c>
      <c r="G33" s="80"/>
      <c r="H33" s="80"/>
      <c r="I33" s="80"/>
      <c r="J33" s="1085"/>
      <c r="K33" s="80"/>
      <c r="L33" s="1743"/>
    </row>
    <row r="34" spans="1:12" s="70" customFormat="1" ht="39.75" customHeight="1" thickBot="1">
      <c r="A34" s="668">
        <v>27</v>
      </c>
      <c r="B34" s="76"/>
      <c r="C34" s="77"/>
      <c r="D34" s="78"/>
      <c r="E34" s="77"/>
      <c r="F34" s="79" t="s">
        <v>193</v>
      </c>
      <c r="G34" s="79">
        <f>SUM(G8,G13,G31)</f>
        <v>19935413</v>
      </c>
      <c r="H34" s="79">
        <f>SUM(H8,H13,H31)</f>
        <v>37552274</v>
      </c>
      <c r="I34" s="79">
        <f>SUM(I8,I13,I31)</f>
        <v>21967156</v>
      </c>
      <c r="J34" s="1086">
        <f>SUM(J8,J13,J31)</f>
        <v>46102993</v>
      </c>
      <c r="K34" s="79">
        <f>SUM(K8,K13,K31)</f>
        <v>50935953</v>
      </c>
      <c r="L34" s="1744">
        <f>SUM(L8,L13,L31)</f>
        <v>15330684</v>
      </c>
    </row>
    <row r="35" spans="1:12" s="47" customFormat="1" ht="30" customHeight="1">
      <c r="A35" s="668">
        <v>28</v>
      </c>
      <c r="B35" s="55" t="s">
        <v>380</v>
      </c>
      <c r="C35" s="56"/>
      <c r="D35" s="56"/>
      <c r="E35" s="56"/>
      <c r="F35" s="63" t="s">
        <v>194</v>
      </c>
      <c r="G35" s="63">
        <f>SUM(G39:G40,G36:G37)</f>
        <v>241248</v>
      </c>
      <c r="H35" s="63">
        <f>SUM(H39:H40,H36:H37)</f>
        <v>219771</v>
      </c>
      <c r="I35" s="63">
        <f>SUM(I39:I40,I36:I37)</f>
        <v>367272</v>
      </c>
      <c r="J35" s="1081">
        <f>SUM(J39:J40,J36:J37)</f>
        <v>319022</v>
      </c>
      <c r="K35" s="1371">
        <f>SUM(K39:K40,K36:K37)</f>
        <v>319022</v>
      </c>
      <c r="L35" s="1741">
        <f>SUM(L39:L40,L36:L37)</f>
        <v>246837</v>
      </c>
    </row>
    <row r="36" spans="1:12" s="47" customFormat="1" ht="17.25">
      <c r="A36" s="668">
        <v>29</v>
      </c>
      <c r="B36" s="55"/>
      <c r="C36" s="56"/>
      <c r="D36" s="56">
        <v>1</v>
      </c>
      <c r="E36" s="56"/>
      <c r="F36" s="80" t="s">
        <v>195</v>
      </c>
      <c r="G36" s="80"/>
      <c r="H36" s="80"/>
      <c r="I36" s="80"/>
      <c r="J36" s="1085"/>
      <c r="K36" s="80"/>
      <c r="L36" s="1743"/>
    </row>
    <row r="37" spans="1:12" s="47" customFormat="1" ht="17.25">
      <c r="A37" s="668">
        <v>30</v>
      </c>
      <c r="B37" s="55"/>
      <c r="C37" s="56"/>
      <c r="D37" s="56">
        <v>1</v>
      </c>
      <c r="E37" s="56"/>
      <c r="F37" s="80" t="s">
        <v>246</v>
      </c>
      <c r="G37" s="80">
        <v>127653</v>
      </c>
      <c r="H37" s="80">
        <v>111267</v>
      </c>
      <c r="I37" s="80">
        <v>258768</v>
      </c>
      <c r="J37" s="1085">
        <v>180835</v>
      </c>
      <c r="K37" s="80">
        <v>180835</v>
      </c>
      <c r="L37" s="1743">
        <v>215926</v>
      </c>
    </row>
    <row r="38" spans="1:12" ht="17.25">
      <c r="A38" s="668">
        <v>31</v>
      </c>
      <c r="B38" s="55"/>
      <c r="C38" s="56"/>
      <c r="D38" s="56">
        <v>2</v>
      </c>
      <c r="E38" s="56"/>
      <c r="F38" s="80" t="s">
        <v>196</v>
      </c>
      <c r="G38" s="57"/>
      <c r="H38" s="57"/>
      <c r="I38" s="57"/>
      <c r="J38" s="1085"/>
      <c r="K38" s="80"/>
      <c r="L38" s="1739"/>
    </row>
    <row r="39" spans="1:12" ht="17.25">
      <c r="A39" s="668">
        <v>32</v>
      </c>
      <c r="B39" s="55"/>
      <c r="C39" s="56"/>
      <c r="D39" s="56"/>
      <c r="E39" s="56"/>
      <c r="F39" s="81" t="s">
        <v>197</v>
      </c>
      <c r="G39" s="57">
        <v>113595</v>
      </c>
      <c r="H39" s="57">
        <v>108504</v>
      </c>
      <c r="I39" s="57">
        <v>108504</v>
      </c>
      <c r="J39" s="1085">
        <v>138187</v>
      </c>
      <c r="K39" s="80">
        <v>138187</v>
      </c>
      <c r="L39" s="1739">
        <v>30911</v>
      </c>
    </row>
    <row r="40" spans="1:12" s="75" customFormat="1" ht="18" customHeight="1" thickBot="1">
      <c r="A40" s="668">
        <v>33</v>
      </c>
      <c r="B40" s="72"/>
      <c r="C40" s="73"/>
      <c r="D40" s="73"/>
      <c r="E40" s="73"/>
      <c r="F40" s="82" t="s">
        <v>198</v>
      </c>
      <c r="G40" s="74"/>
      <c r="H40" s="74"/>
      <c r="I40" s="74"/>
      <c r="J40" s="1087"/>
      <c r="K40" s="74"/>
      <c r="L40" s="1745"/>
    </row>
    <row r="41" spans="1:12" s="70" customFormat="1" ht="39.75" customHeight="1" thickBot="1">
      <c r="A41" s="668">
        <v>34</v>
      </c>
      <c r="B41" s="76"/>
      <c r="C41" s="77"/>
      <c r="D41" s="78"/>
      <c r="E41" s="77"/>
      <c r="F41" s="79" t="s">
        <v>199</v>
      </c>
      <c r="G41" s="79">
        <f>SUM(G34:G35)</f>
        <v>20176661</v>
      </c>
      <c r="H41" s="79">
        <f>SUM(H34:H35)</f>
        <v>37772045</v>
      </c>
      <c r="I41" s="79">
        <f>SUM(I34:I35)</f>
        <v>22334428</v>
      </c>
      <c r="J41" s="1086">
        <f>SUM(J34:J35)</f>
        <v>46422015</v>
      </c>
      <c r="K41" s="79">
        <f>SUM(K34:K35)</f>
        <v>51254975</v>
      </c>
      <c r="L41" s="1744">
        <f>SUM(L34:L35)</f>
        <v>15577521</v>
      </c>
    </row>
    <row r="42" spans="2:11" ht="16.5">
      <c r="B42" s="83"/>
      <c r="C42" s="56"/>
      <c r="D42" s="56"/>
      <c r="E42" s="56"/>
      <c r="F42" s="57"/>
      <c r="G42" s="57">
        <f>+'1.Onbe'!G65-'2.Onki'!G41</f>
        <v>14215038</v>
      </c>
      <c r="H42" s="57">
        <f>+'1.Onbe'!H65-'2.Onki'!H41</f>
        <v>0</v>
      </c>
      <c r="I42" s="57">
        <f>+'1.Onbe'!I65-'2.Onki'!I41</f>
        <v>19065647</v>
      </c>
      <c r="J42" s="57">
        <f>+'1.Onbe'!J65-'2.Onki'!J41</f>
        <v>0</v>
      </c>
      <c r="K42" s="57"/>
    </row>
    <row r="43" spans="2:9" ht="16.5">
      <c r="B43" s="83"/>
      <c r="C43" s="56"/>
      <c r="D43" s="56"/>
      <c r="E43" s="56"/>
      <c r="F43" s="57"/>
      <c r="G43" s="57"/>
      <c r="H43" s="57"/>
      <c r="I43" s="57"/>
    </row>
    <row r="44" spans="2:9" ht="16.5">
      <c r="B44" s="83"/>
      <c r="C44" s="56"/>
      <c r="D44" s="56"/>
      <c r="E44" s="56"/>
      <c r="F44" s="57"/>
      <c r="G44" s="57"/>
      <c r="H44" s="57"/>
      <c r="I44" s="57"/>
    </row>
    <row r="45" spans="2:9" ht="16.5">
      <c r="B45" s="83"/>
      <c r="C45" s="56"/>
      <c r="D45" s="56"/>
      <c r="E45" s="56"/>
      <c r="F45" s="57"/>
      <c r="G45" s="57"/>
      <c r="H45" s="57"/>
      <c r="I45" s="57"/>
    </row>
    <row r="46" spans="2:9" ht="17.25">
      <c r="B46" s="83"/>
      <c r="C46" s="62"/>
      <c r="D46" s="56"/>
      <c r="E46" s="62"/>
      <c r="F46" s="63"/>
      <c r="G46" s="63"/>
      <c r="H46" s="63"/>
      <c r="I46" s="63"/>
    </row>
    <row r="47" spans="2:9" ht="16.5">
      <c r="B47" s="83"/>
      <c r="C47" s="56"/>
      <c r="D47" s="56"/>
      <c r="E47" s="56"/>
      <c r="F47" s="57"/>
      <c r="G47" s="57"/>
      <c r="H47" s="57"/>
      <c r="I47" s="57"/>
    </row>
    <row r="48" spans="2:9" ht="16.5">
      <c r="B48" s="83"/>
      <c r="C48" s="56"/>
      <c r="D48" s="56"/>
      <c r="E48" s="56"/>
      <c r="F48" s="57"/>
      <c r="G48" s="57"/>
      <c r="H48" s="57"/>
      <c r="I48" s="57"/>
    </row>
    <row r="57" spans="1:5" s="54" customFormat="1" ht="17.25">
      <c r="A57" s="670"/>
      <c r="B57" s="84"/>
      <c r="C57" s="85"/>
      <c r="D57" s="86"/>
      <c r="E57" s="85"/>
    </row>
    <row r="62" spans="1:5" s="54" customFormat="1" ht="17.25">
      <c r="A62" s="670"/>
      <c r="B62" s="84"/>
      <c r="C62" s="85"/>
      <c r="D62" s="86"/>
      <c r="E62" s="85"/>
    </row>
    <row r="64" spans="1:5" s="54" customFormat="1" ht="17.25">
      <c r="A64" s="670"/>
      <c r="B64" s="84"/>
      <c r="C64" s="85"/>
      <c r="D64" s="86"/>
      <c r="E64" s="85"/>
    </row>
    <row r="71" ht="16.5">
      <c r="F71" s="57"/>
    </row>
    <row r="72" ht="16.5">
      <c r="F72" s="57"/>
    </row>
    <row r="73" ht="16.5">
      <c r="F73" s="57"/>
    </row>
    <row r="74" ht="16.5">
      <c r="F74" s="57"/>
    </row>
    <row r="75" ht="16.5">
      <c r="F75" s="57"/>
    </row>
    <row r="76" ht="16.5">
      <c r="F76" s="57"/>
    </row>
    <row r="77" ht="16.5">
      <c r="F77" s="57"/>
    </row>
  </sheetData>
  <sheetProtection/>
  <mergeCells count="4">
    <mergeCell ref="B2:F2"/>
    <mergeCell ref="B4:L4"/>
    <mergeCell ref="B3:L3"/>
    <mergeCell ref="B1:M1"/>
  </mergeCells>
  <printOptions horizontalCentered="1"/>
  <pageMargins left="0.1968503937007874" right="0.1968503937007874" top="0.5905511811023623" bottom="0.5905511811023623" header="0.5118110236220472" footer="0.5118110236220472"/>
  <pageSetup fitToHeight="2" horizontalDpi="600" verticalDpi="600" orientation="portrait" paperSize="9" scale="53" r:id="rId1"/>
  <headerFooter alignWithMargins="0">
    <oddFooter>&amp;C- 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view="pageBreakPreview" zoomScaleSheetLayoutView="100" zoomScalePageLayoutView="0" workbookViewId="0" topLeftCell="A1">
      <selection activeCell="F23" sqref="F23"/>
    </sheetView>
  </sheetViews>
  <sheetFormatPr defaultColWidth="9.125" defaultRowHeight="12.75"/>
  <cols>
    <col min="1" max="1" width="3.75390625" style="501" customWidth="1"/>
    <col min="2" max="2" width="5.75390625" style="192" customWidth="1"/>
    <col min="3" max="3" width="5.75390625" style="195" customWidth="1"/>
    <col min="4" max="4" width="4.75390625" style="195" customWidth="1"/>
    <col min="5" max="5" width="51.75390625" style="195" customWidth="1"/>
    <col min="6" max="6" width="10.00390625" style="192" customWidth="1"/>
    <col min="7" max="7" width="14.00390625" style="192" bestFit="1" customWidth="1"/>
    <col min="8" max="8" width="11.75390625" style="192" customWidth="1"/>
    <col min="9" max="9" width="12.375" style="192" bestFit="1" customWidth="1"/>
    <col min="10" max="10" width="14.00390625" style="192" customWidth="1"/>
    <col min="11" max="12" width="12.75390625" style="192" customWidth="1"/>
    <col min="13" max="13" width="10.75390625" style="192" customWidth="1"/>
    <col min="14" max="14" width="12.75390625" style="193" customWidth="1"/>
    <col min="15" max="15" width="13.75390625" style="194" customWidth="1"/>
    <col min="16" max="16384" width="9.125" style="192" customWidth="1"/>
  </cols>
  <sheetData>
    <row r="1" spans="2:13" ht="17.25">
      <c r="B1" s="1799" t="s">
        <v>955</v>
      </c>
      <c r="C1" s="1799"/>
      <c r="D1" s="1799"/>
      <c r="E1" s="1799"/>
      <c r="F1" s="1799"/>
      <c r="G1" s="1799"/>
      <c r="H1" s="1799"/>
      <c r="I1" s="1799"/>
      <c r="J1" s="1799"/>
      <c r="K1" s="1799"/>
      <c r="L1" s="1799"/>
      <c r="M1" s="1799"/>
    </row>
    <row r="2" spans="1:16" s="205" customFormat="1" ht="18" customHeight="1">
      <c r="A2" s="35"/>
      <c r="B2" s="1834"/>
      <c r="C2" s="1834"/>
      <c r="D2" s="1834"/>
      <c r="E2" s="1834"/>
      <c r="F2" s="498"/>
      <c r="G2" s="498"/>
      <c r="H2" s="498"/>
      <c r="I2" s="498"/>
      <c r="J2" s="498"/>
      <c r="K2" s="498"/>
      <c r="L2" s="498"/>
      <c r="M2" s="498"/>
      <c r="N2" s="499"/>
      <c r="O2" s="500"/>
      <c r="P2" s="498"/>
    </row>
    <row r="3" spans="1:16" s="205" customFormat="1" ht="24.75" customHeight="1">
      <c r="A3" s="35"/>
      <c r="B3" s="1835" t="s">
        <v>127</v>
      </c>
      <c r="C3" s="1835"/>
      <c r="D3" s="1835"/>
      <c r="E3" s="1835"/>
      <c r="F3" s="1835"/>
      <c r="G3" s="1835"/>
      <c r="H3" s="1835"/>
      <c r="I3" s="1835"/>
      <c r="J3" s="1835"/>
      <c r="K3" s="1835"/>
      <c r="L3" s="1835"/>
      <c r="M3" s="1835"/>
      <c r="N3" s="1835"/>
      <c r="O3" s="1835"/>
      <c r="P3" s="498"/>
    </row>
    <row r="4" spans="1:16" s="205" customFormat="1" ht="24.75" customHeight="1">
      <c r="A4" s="35"/>
      <c r="B4" s="1835" t="s">
        <v>890</v>
      </c>
      <c r="C4" s="1835"/>
      <c r="D4" s="1835"/>
      <c r="E4" s="1835"/>
      <c r="F4" s="1835"/>
      <c r="G4" s="1835"/>
      <c r="H4" s="1835"/>
      <c r="I4" s="1835"/>
      <c r="J4" s="1835"/>
      <c r="K4" s="1835"/>
      <c r="L4" s="1835"/>
      <c r="M4" s="1835"/>
      <c r="N4" s="1835"/>
      <c r="O4" s="1835"/>
      <c r="P4" s="498"/>
    </row>
    <row r="5" spans="1:16" ht="18" customHeight="1">
      <c r="A5" s="35"/>
      <c r="B5" s="24"/>
      <c r="C5" s="27"/>
      <c r="D5" s="27"/>
      <c r="E5" s="27"/>
      <c r="F5" s="25"/>
      <c r="G5" s="25"/>
      <c r="H5" s="25"/>
      <c r="I5" s="25"/>
      <c r="J5" s="25"/>
      <c r="K5" s="25"/>
      <c r="L5" s="22"/>
      <c r="M5" s="22"/>
      <c r="N5" s="1836" t="s">
        <v>0</v>
      </c>
      <c r="O5" s="1836"/>
      <c r="P5" s="22"/>
    </row>
    <row r="6" spans="2:15" s="35" customFormat="1" ht="18" customHeight="1" thickBot="1">
      <c r="B6" s="35" t="s">
        <v>1</v>
      </c>
      <c r="C6" s="35" t="s">
        <v>3</v>
      </c>
      <c r="D6" s="1837" t="s">
        <v>2</v>
      </c>
      <c r="E6" s="1837"/>
      <c r="F6" s="98" t="s">
        <v>4</v>
      </c>
      <c r="G6" s="98" t="s">
        <v>5</v>
      </c>
      <c r="H6" s="98" t="s">
        <v>15</v>
      </c>
      <c r="I6" s="98" t="s">
        <v>16</v>
      </c>
      <c r="J6" s="98" t="s">
        <v>17</v>
      </c>
      <c r="K6" s="98" t="s">
        <v>33</v>
      </c>
      <c r="L6" s="35" t="s">
        <v>29</v>
      </c>
      <c r="M6" s="35" t="s">
        <v>22</v>
      </c>
      <c r="N6" s="35" t="s">
        <v>34</v>
      </c>
      <c r="O6" s="35" t="s">
        <v>35</v>
      </c>
    </row>
    <row r="7" spans="1:15" s="24" customFormat="1" ht="30" customHeight="1">
      <c r="A7" s="35"/>
      <c r="B7" s="1842" t="s">
        <v>18</v>
      </c>
      <c r="C7" s="1844" t="s">
        <v>19</v>
      </c>
      <c r="D7" s="1846" t="s">
        <v>6</v>
      </c>
      <c r="E7" s="1847"/>
      <c r="F7" s="1850" t="s">
        <v>128</v>
      </c>
      <c r="G7" s="1850"/>
      <c r="H7" s="1850"/>
      <c r="I7" s="1831" t="s">
        <v>129</v>
      </c>
      <c r="J7" s="1831"/>
      <c r="K7" s="1831"/>
      <c r="L7" s="1831" t="s">
        <v>244</v>
      </c>
      <c r="M7" s="1831" t="s">
        <v>130</v>
      </c>
      <c r="N7" s="1831"/>
      <c r="O7" s="1832" t="s">
        <v>541</v>
      </c>
    </row>
    <row r="8" spans="1:16" ht="60.75" thickBot="1">
      <c r="A8" s="35"/>
      <c r="B8" s="1843"/>
      <c r="C8" s="1845"/>
      <c r="D8" s="1848"/>
      <c r="E8" s="1849"/>
      <c r="F8" s="1697" t="s">
        <v>131</v>
      </c>
      <c r="G8" s="1697" t="s">
        <v>132</v>
      </c>
      <c r="H8" s="1697" t="s">
        <v>133</v>
      </c>
      <c r="I8" s="1697" t="s">
        <v>134</v>
      </c>
      <c r="J8" s="1697" t="s">
        <v>135</v>
      </c>
      <c r="K8" s="1697" t="s">
        <v>136</v>
      </c>
      <c r="L8" s="1841"/>
      <c r="M8" s="1697" t="s">
        <v>115</v>
      </c>
      <c r="N8" s="26" t="s">
        <v>310</v>
      </c>
      <c r="O8" s="1833"/>
      <c r="P8" s="22"/>
    </row>
    <row r="9" spans="1:15" s="27" customFormat="1" ht="22.5" customHeight="1">
      <c r="A9" s="35">
        <v>1</v>
      </c>
      <c r="B9" s="237">
        <v>1</v>
      </c>
      <c r="C9" s="238"/>
      <c r="D9" s="480" t="s">
        <v>286</v>
      </c>
      <c r="E9" s="1700"/>
      <c r="F9" s="249"/>
      <c r="G9" s="249"/>
      <c r="H9" s="249"/>
      <c r="I9" s="249"/>
      <c r="J9" s="249"/>
      <c r="K9" s="249"/>
      <c r="L9" s="249"/>
      <c r="M9" s="249"/>
      <c r="N9" s="250"/>
      <c r="O9" s="251"/>
    </row>
    <row r="10" spans="1:15" s="27" customFormat="1" ht="18" customHeight="1">
      <c r="A10" s="35">
        <v>2</v>
      </c>
      <c r="B10" s="223"/>
      <c r="C10" s="224"/>
      <c r="D10" s="1821" t="s">
        <v>294</v>
      </c>
      <c r="E10" s="1822"/>
      <c r="F10" s="94"/>
      <c r="G10" s="94"/>
      <c r="H10" s="94"/>
      <c r="I10" s="94"/>
      <c r="J10" s="94"/>
      <c r="K10" s="94"/>
      <c r="L10" s="94"/>
      <c r="M10" s="94"/>
      <c r="N10" s="116"/>
      <c r="O10" s="243"/>
    </row>
    <row r="11" spans="1:16" s="594" customFormat="1" ht="18" customHeight="1">
      <c r="A11" s="35">
        <v>3</v>
      </c>
      <c r="B11" s="586"/>
      <c r="C11" s="587"/>
      <c r="D11" s="588"/>
      <c r="E11" s="629" t="s">
        <v>283</v>
      </c>
      <c r="F11" s="590">
        <v>4343</v>
      </c>
      <c r="G11" s="590"/>
      <c r="H11" s="590"/>
      <c r="I11" s="590"/>
      <c r="J11" s="590"/>
      <c r="K11" s="590"/>
      <c r="L11" s="590">
        <v>6900</v>
      </c>
      <c r="M11" s="590">
        <v>217530</v>
      </c>
      <c r="N11" s="591">
        <v>177724</v>
      </c>
      <c r="O11" s="592">
        <f>SUM(F11:M11)</f>
        <v>228773</v>
      </c>
      <c r="P11" s="593"/>
    </row>
    <row r="12" spans="1:16" s="594" customFormat="1" ht="18" customHeight="1">
      <c r="A12" s="35">
        <v>4</v>
      </c>
      <c r="B12" s="586"/>
      <c r="C12" s="587"/>
      <c r="D12" s="588"/>
      <c r="E12" s="260" t="s">
        <v>757</v>
      </c>
      <c r="F12" s="1045">
        <v>4343</v>
      </c>
      <c r="G12" s="590"/>
      <c r="H12" s="590"/>
      <c r="I12" s="590"/>
      <c r="J12" s="590"/>
      <c r="K12" s="590"/>
      <c r="L12" s="1045">
        <v>15515</v>
      </c>
      <c r="M12" s="1045">
        <v>219733</v>
      </c>
      <c r="N12" s="1372">
        <f>177724+5738</f>
        <v>183462</v>
      </c>
      <c r="O12" s="243">
        <f>SUM(F12:M12)</f>
        <v>239591</v>
      </c>
      <c r="P12" s="593"/>
    </row>
    <row r="13" spans="1:16" s="594" customFormat="1" ht="18" customHeight="1">
      <c r="A13" s="35">
        <v>5</v>
      </c>
      <c r="B13" s="586"/>
      <c r="C13" s="587"/>
      <c r="D13" s="588"/>
      <c r="E13" s="1092" t="s">
        <v>892</v>
      </c>
      <c r="F13" s="94">
        <v>2352</v>
      </c>
      <c r="G13" s="94"/>
      <c r="H13" s="94"/>
      <c r="I13" s="94"/>
      <c r="J13" s="94"/>
      <c r="K13" s="94"/>
      <c r="L13" s="116">
        <v>15515</v>
      </c>
      <c r="M13" s="116">
        <v>86327</v>
      </c>
      <c r="N13" s="116">
        <v>95270</v>
      </c>
      <c r="O13" s="864">
        <f>SUM(F13:M13)</f>
        <v>104194</v>
      </c>
      <c r="P13" s="593"/>
    </row>
    <row r="14" spans="1:15" s="111" customFormat="1" ht="22.5" customHeight="1">
      <c r="A14" s="35">
        <v>6</v>
      </c>
      <c r="B14" s="223">
        <v>2</v>
      </c>
      <c r="C14" s="224"/>
      <c r="D14" s="1819" t="s">
        <v>309</v>
      </c>
      <c r="E14" s="1820"/>
      <c r="F14" s="232"/>
      <c r="G14" s="232"/>
      <c r="H14" s="232"/>
      <c r="I14" s="232"/>
      <c r="J14" s="232"/>
      <c r="K14" s="232"/>
      <c r="L14" s="232"/>
      <c r="M14" s="232"/>
      <c r="N14" s="233"/>
      <c r="O14" s="234"/>
    </row>
    <row r="15" spans="1:15" s="111" customFormat="1" ht="18" customHeight="1">
      <c r="A15" s="35">
        <v>7</v>
      </c>
      <c r="B15" s="223"/>
      <c r="C15" s="224"/>
      <c r="D15" s="1821" t="s">
        <v>284</v>
      </c>
      <c r="E15" s="1822"/>
      <c r="F15" s="232"/>
      <c r="G15" s="232"/>
      <c r="H15" s="232"/>
      <c r="I15" s="232"/>
      <c r="J15" s="232"/>
      <c r="K15" s="232"/>
      <c r="L15" s="232"/>
      <c r="M15" s="232"/>
      <c r="N15" s="233"/>
      <c r="O15" s="234"/>
    </row>
    <row r="16" spans="1:15" s="595" customFormat="1" ht="18" customHeight="1">
      <c r="A16" s="35">
        <v>8</v>
      </c>
      <c r="B16" s="586"/>
      <c r="C16" s="587"/>
      <c r="D16" s="588"/>
      <c r="E16" s="629" t="s">
        <v>283</v>
      </c>
      <c r="F16" s="590">
        <v>8467</v>
      </c>
      <c r="G16" s="590"/>
      <c r="H16" s="590"/>
      <c r="I16" s="590"/>
      <c r="J16" s="590"/>
      <c r="K16" s="590"/>
      <c r="L16" s="590">
        <v>11315</v>
      </c>
      <c r="M16" s="590">
        <v>359478</v>
      </c>
      <c r="N16" s="591">
        <v>257545</v>
      </c>
      <c r="O16" s="592">
        <f>SUM(F16:M16)</f>
        <v>379260</v>
      </c>
    </row>
    <row r="17" spans="1:15" s="595" customFormat="1" ht="18" customHeight="1">
      <c r="A17" s="35">
        <v>9</v>
      </c>
      <c r="B17" s="586"/>
      <c r="C17" s="587"/>
      <c r="D17" s="588"/>
      <c r="E17" s="260" t="s">
        <v>757</v>
      </c>
      <c r="F17" s="1045">
        <v>8467</v>
      </c>
      <c r="G17" s="590"/>
      <c r="H17" s="590"/>
      <c r="I17" s="590"/>
      <c r="J17" s="590"/>
      <c r="K17" s="590"/>
      <c r="L17" s="1045">
        <v>21236</v>
      </c>
      <c r="M17" s="1045">
        <v>359478</v>
      </c>
      <c r="N17" s="1372">
        <v>266939</v>
      </c>
      <c r="O17" s="243">
        <f>SUM(F17:M17)</f>
        <v>389181</v>
      </c>
    </row>
    <row r="18" spans="1:15" s="595" customFormat="1" ht="18" customHeight="1">
      <c r="A18" s="35">
        <v>10</v>
      </c>
      <c r="B18" s="586"/>
      <c r="C18" s="587"/>
      <c r="D18" s="588"/>
      <c r="E18" s="1092" t="s">
        <v>892</v>
      </c>
      <c r="F18" s="116">
        <v>3608</v>
      </c>
      <c r="G18" s="590"/>
      <c r="H18" s="590"/>
      <c r="I18" s="590"/>
      <c r="J18" s="590"/>
      <c r="K18" s="590"/>
      <c r="L18" s="116">
        <v>21236</v>
      </c>
      <c r="M18" s="116">
        <v>162664</v>
      </c>
      <c r="N18" s="116">
        <v>138615</v>
      </c>
      <c r="O18" s="864">
        <f>SUM(F18:M18)</f>
        <v>187508</v>
      </c>
    </row>
    <row r="19" spans="1:15" s="110" customFormat="1" ht="22.5" customHeight="1">
      <c r="A19" s="35">
        <v>11</v>
      </c>
      <c r="B19" s="223">
        <v>3</v>
      </c>
      <c r="C19" s="224"/>
      <c r="D19" s="1819" t="s">
        <v>247</v>
      </c>
      <c r="E19" s="1820"/>
      <c r="F19" s="232"/>
      <c r="G19" s="232"/>
      <c r="H19" s="232"/>
      <c r="I19" s="232"/>
      <c r="J19" s="232"/>
      <c r="K19" s="232"/>
      <c r="L19" s="232"/>
      <c r="M19" s="232"/>
      <c r="N19" s="233"/>
      <c r="O19" s="234"/>
    </row>
    <row r="20" spans="1:15" s="27" customFormat="1" ht="18" customHeight="1">
      <c r="A20" s="35">
        <v>12</v>
      </c>
      <c r="B20" s="225"/>
      <c r="C20" s="224"/>
      <c r="D20" s="1821" t="s">
        <v>138</v>
      </c>
      <c r="E20" s="1822"/>
      <c r="F20" s="235"/>
      <c r="G20" s="235"/>
      <c r="H20" s="235"/>
      <c r="I20" s="235"/>
      <c r="J20" s="235"/>
      <c r="K20" s="235"/>
      <c r="L20" s="235"/>
      <c r="M20" s="235"/>
      <c r="N20" s="236"/>
      <c r="O20" s="247"/>
    </row>
    <row r="21" spans="1:16" s="594" customFormat="1" ht="18" customHeight="1">
      <c r="A21" s="35">
        <v>13</v>
      </c>
      <c r="B21" s="586"/>
      <c r="C21" s="587"/>
      <c r="D21" s="588"/>
      <c r="E21" s="629" t="s">
        <v>283</v>
      </c>
      <c r="F21" s="590">
        <v>12371</v>
      </c>
      <c r="G21" s="590"/>
      <c r="H21" s="590"/>
      <c r="I21" s="590"/>
      <c r="J21" s="590"/>
      <c r="K21" s="590"/>
      <c r="L21" s="590">
        <v>24423</v>
      </c>
      <c r="M21" s="590">
        <v>393657</v>
      </c>
      <c r="N21" s="591">
        <v>302420</v>
      </c>
      <c r="O21" s="592">
        <f>SUM(F21:M21)</f>
        <v>430451</v>
      </c>
      <c r="P21" s="593"/>
    </row>
    <row r="22" spans="1:16" s="594" customFormat="1" ht="18" customHeight="1">
      <c r="A22" s="35">
        <v>14</v>
      </c>
      <c r="B22" s="586"/>
      <c r="C22" s="587"/>
      <c r="D22" s="588"/>
      <c r="E22" s="260" t="s">
        <v>757</v>
      </c>
      <c r="F22" s="1045">
        <v>12371</v>
      </c>
      <c r="G22" s="1045"/>
      <c r="H22" s="1045"/>
      <c r="I22" s="1045"/>
      <c r="J22" s="1045"/>
      <c r="K22" s="1045"/>
      <c r="L22" s="1045">
        <v>37354</v>
      </c>
      <c r="M22" s="1045">
        <v>394221</v>
      </c>
      <c r="N22" s="1372">
        <v>313061</v>
      </c>
      <c r="O22" s="243">
        <f>SUM(F22:M22)</f>
        <v>443946</v>
      </c>
      <c r="P22" s="593"/>
    </row>
    <row r="23" spans="1:16" s="594" customFormat="1" ht="18" customHeight="1">
      <c r="A23" s="35">
        <v>15</v>
      </c>
      <c r="B23" s="586"/>
      <c r="C23" s="587"/>
      <c r="D23" s="588"/>
      <c r="E23" s="1092" t="s">
        <v>892</v>
      </c>
      <c r="F23" s="116">
        <v>4963</v>
      </c>
      <c r="G23" s="590"/>
      <c r="H23" s="590"/>
      <c r="I23" s="590"/>
      <c r="J23" s="590"/>
      <c r="K23" s="590"/>
      <c r="L23" s="116">
        <v>37354</v>
      </c>
      <c r="M23" s="116">
        <v>141213</v>
      </c>
      <c r="N23" s="116">
        <v>162566</v>
      </c>
      <c r="O23" s="864">
        <f>SUM(F23:M23)</f>
        <v>183530</v>
      </c>
      <c r="P23" s="593"/>
    </row>
    <row r="24" spans="1:15" s="111" customFormat="1" ht="22.5" customHeight="1">
      <c r="A24" s="35">
        <v>16</v>
      </c>
      <c r="B24" s="223">
        <v>4</v>
      </c>
      <c r="C24" s="224"/>
      <c r="D24" s="1819" t="s">
        <v>248</v>
      </c>
      <c r="E24" s="1820"/>
      <c r="F24" s="232"/>
      <c r="G24" s="232"/>
      <c r="H24" s="232"/>
      <c r="I24" s="232"/>
      <c r="J24" s="232"/>
      <c r="K24" s="232"/>
      <c r="L24" s="232"/>
      <c r="M24" s="232"/>
      <c r="N24" s="233"/>
      <c r="O24" s="234"/>
    </row>
    <row r="25" spans="1:15" s="110" customFormat="1" ht="18" customHeight="1">
      <c r="A25" s="35">
        <v>17</v>
      </c>
      <c r="B25" s="225"/>
      <c r="C25" s="224"/>
      <c r="D25" s="1821" t="s">
        <v>139</v>
      </c>
      <c r="E25" s="1822"/>
      <c r="F25" s="235"/>
      <c r="G25" s="235"/>
      <c r="H25" s="235"/>
      <c r="I25" s="235"/>
      <c r="J25" s="235"/>
      <c r="K25" s="235"/>
      <c r="L25" s="235"/>
      <c r="M25" s="235"/>
      <c r="N25" s="236"/>
      <c r="O25" s="247"/>
    </row>
    <row r="26" spans="1:15" s="596" customFormat="1" ht="18" customHeight="1">
      <c r="A26" s="35">
        <v>18</v>
      </c>
      <c r="B26" s="586"/>
      <c r="C26" s="587"/>
      <c r="D26" s="588"/>
      <c r="E26" s="629" t="s">
        <v>283</v>
      </c>
      <c r="F26" s="590">
        <v>12382</v>
      </c>
      <c r="G26" s="590"/>
      <c r="H26" s="590"/>
      <c r="I26" s="590"/>
      <c r="J26" s="590"/>
      <c r="K26" s="590"/>
      <c r="L26" s="590">
        <v>8718</v>
      </c>
      <c r="M26" s="590">
        <v>319580</v>
      </c>
      <c r="N26" s="591">
        <v>244034</v>
      </c>
      <c r="O26" s="592">
        <f>SUM(F26:M26)</f>
        <v>340680</v>
      </c>
    </row>
    <row r="27" spans="1:15" s="596" customFormat="1" ht="18" customHeight="1">
      <c r="A27" s="35">
        <v>19</v>
      </c>
      <c r="B27" s="586"/>
      <c r="C27" s="587"/>
      <c r="D27" s="588"/>
      <c r="E27" s="260" t="s">
        <v>757</v>
      </c>
      <c r="F27" s="1045">
        <v>12961</v>
      </c>
      <c r="G27" s="1045"/>
      <c r="H27" s="1045"/>
      <c r="I27" s="1045"/>
      <c r="J27" s="1045"/>
      <c r="K27" s="1045"/>
      <c r="L27" s="1045">
        <v>18834</v>
      </c>
      <c r="M27" s="1045">
        <v>319580</v>
      </c>
      <c r="N27" s="1372">
        <v>251829</v>
      </c>
      <c r="O27" s="243">
        <f>SUM(F27:M27)</f>
        <v>351375</v>
      </c>
    </row>
    <row r="28" spans="1:15" s="596" customFormat="1" ht="18" customHeight="1">
      <c r="A28" s="35">
        <v>20</v>
      </c>
      <c r="B28" s="586"/>
      <c r="C28" s="587"/>
      <c r="D28" s="588"/>
      <c r="E28" s="1092" t="s">
        <v>892</v>
      </c>
      <c r="F28" s="116">
        <v>7153</v>
      </c>
      <c r="G28" s="590"/>
      <c r="H28" s="590"/>
      <c r="I28" s="590"/>
      <c r="J28" s="590"/>
      <c r="K28" s="590"/>
      <c r="L28" s="116">
        <v>18834</v>
      </c>
      <c r="M28" s="116">
        <v>134826</v>
      </c>
      <c r="N28" s="116">
        <v>130767</v>
      </c>
      <c r="O28" s="864">
        <f>SUM(F28:M28)</f>
        <v>160813</v>
      </c>
    </row>
    <row r="29" spans="1:15" s="30" customFormat="1" ht="22.5" customHeight="1">
      <c r="A29" s="35">
        <v>21</v>
      </c>
      <c r="B29" s="223">
        <v>5</v>
      </c>
      <c r="C29" s="224"/>
      <c r="D29" s="1819" t="s">
        <v>249</v>
      </c>
      <c r="E29" s="1820"/>
      <c r="F29" s="232"/>
      <c r="G29" s="232"/>
      <c r="H29" s="232"/>
      <c r="I29" s="232"/>
      <c r="J29" s="232"/>
      <c r="K29" s="232"/>
      <c r="L29" s="232"/>
      <c r="M29" s="232"/>
      <c r="N29" s="233"/>
      <c r="O29" s="234"/>
    </row>
    <row r="30" spans="1:15" s="111" customFormat="1" ht="18" customHeight="1">
      <c r="A30" s="35">
        <v>22</v>
      </c>
      <c r="B30" s="225"/>
      <c r="C30" s="224"/>
      <c r="D30" s="1821" t="s">
        <v>140</v>
      </c>
      <c r="E30" s="1822"/>
      <c r="F30" s="235"/>
      <c r="G30" s="235"/>
      <c r="H30" s="235"/>
      <c r="I30" s="235"/>
      <c r="J30" s="235"/>
      <c r="K30" s="235"/>
      <c r="L30" s="235"/>
      <c r="M30" s="235"/>
      <c r="N30" s="236"/>
      <c r="O30" s="247"/>
    </row>
    <row r="31" spans="1:15" s="595" customFormat="1" ht="18" customHeight="1">
      <c r="A31" s="35">
        <v>23</v>
      </c>
      <c r="B31" s="586"/>
      <c r="C31" s="587"/>
      <c r="D31" s="588"/>
      <c r="E31" s="629" t="s">
        <v>283</v>
      </c>
      <c r="F31" s="590">
        <v>17622</v>
      </c>
      <c r="G31" s="590"/>
      <c r="H31" s="590"/>
      <c r="I31" s="590"/>
      <c r="J31" s="590"/>
      <c r="K31" s="590"/>
      <c r="L31" s="590">
        <v>11563</v>
      </c>
      <c r="M31" s="590">
        <v>333644</v>
      </c>
      <c r="N31" s="591">
        <v>276219</v>
      </c>
      <c r="O31" s="592">
        <f>SUM(F31:M31)</f>
        <v>362829</v>
      </c>
    </row>
    <row r="32" spans="1:15" s="595" customFormat="1" ht="18" customHeight="1">
      <c r="A32" s="35">
        <v>24</v>
      </c>
      <c r="B32" s="586"/>
      <c r="C32" s="587"/>
      <c r="D32" s="588"/>
      <c r="E32" s="260" t="s">
        <v>757</v>
      </c>
      <c r="F32" s="1045">
        <v>17622</v>
      </c>
      <c r="G32" s="1045"/>
      <c r="H32" s="1045"/>
      <c r="I32" s="1045"/>
      <c r="J32" s="1045"/>
      <c r="K32" s="1045"/>
      <c r="L32" s="1045">
        <v>22325</v>
      </c>
      <c r="M32" s="1045">
        <v>333644</v>
      </c>
      <c r="N32" s="1372">
        <v>285665</v>
      </c>
      <c r="O32" s="243">
        <f>SUM(F32:M32)</f>
        <v>373591</v>
      </c>
    </row>
    <row r="33" spans="1:15" s="595" customFormat="1" ht="18" customHeight="1">
      <c r="A33" s="35">
        <v>25</v>
      </c>
      <c r="B33" s="586"/>
      <c r="C33" s="587"/>
      <c r="D33" s="588"/>
      <c r="E33" s="1092" t="s">
        <v>892</v>
      </c>
      <c r="F33" s="116">
        <v>8139</v>
      </c>
      <c r="G33" s="590"/>
      <c r="H33" s="590"/>
      <c r="I33" s="590"/>
      <c r="J33" s="590"/>
      <c r="K33" s="590"/>
      <c r="L33" s="116">
        <v>22325</v>
      </c>
      <c r="M33" s="116">
        <v>129844</v>
      </c>
      <c r="N33" s="116">
        <v>148342</v>
      </c>
      <c r="O33" s="864">
        <f>SUM(F33:M33)</f>
        <v>160308</v>
      </c>
    </row>
    <row r="34" spans="1:15" s="30" customFormat="1" ht="22.5" customHeight="1">
      <c r="A34" s="35">
        <v>26</v>
      </c>
      <c r="B34" s="223">
        <v>6</v>
      </c>
      <c r="C34" s="224"/>
      <c r="D34" s="1819" t="s">
        <v>250</v>
      </c>
      <c r="E34" s="1820"/>
      <c r="F34" s="232"/>
      <c r="G34" s="232"/>
      <c r="H34" s="232"/>
      <c r="I34" s="232"/>
      <c r="J34" s="232"/>
      <c r="K34" s="232"/>
      <c r="L34" s="232"/>
      <c r="M34" s="232"/>
      <c r="N34" s="233"/>
      <c r="O34" s="234"/>
    </row>
    <row r="35" spans="1:15" s="30" customFormat="1" ht="18" customHeight="1">
      <c r="A35" s="35">
        <v>27</v>
      </c>
      <c r="B35" s="225"/>
      <c r="C35" s="224"/>
      <c r="D35" s="1821" t="s">
        <v>141</v>
      </c>
      <c r="E35" s="1822"/>
      <c r="F35" s="235"/>
      <c r="G35" s="235"/>
      <c r="H35" s="235"/>
      <c r="I35" s="235"/>
      <c r="J35" s="235"/>
      <c r="K35" s="235"/>
      <c r="L35" s="235"/>
      <c r="M35" s="235"/>
      <c r="N35" s="236"/>
      <c r="O35" s="247"/>
    </row>
    <row r="36" spans="1:15" s="597" customFormat="1" ht="18" customHeight="1">
      <c r="A36" s="35">
        <v>28</v>
      </c>
      <c r="B36" s="586"/>
      <c r="C36" s="587"/>
      <c r="D36" s="588"/>
      <c r="E36" s="629" t="s">
        <v>283</v>
      </c>
      <c r="F36" s="590">
        <v>5471</v>
      </c>
      <c r="G36" s="590"/>
      <c r="H36" s="590"/>
      <c r="I36" s="590"/>
      <c r="J36" s="590"/>
      <c r="K36" s="590"/>
      <c r="L36" s="590">
        <v>15705</v>
      </c>
      <c r="M36" s="590">
        <v>184907</v>
      </c>
      <c r="N36" s="591">
        <v>126960</v>
      </c>
      <c r="O36" s="592">
        <f>SUM(F36:M36)</f>
        <v>206083</v>
      </c>
    </row>
    <row r="37" spans="1:15" s="597" customFormat="1" ht="18" customHeight="1">
      <c r="A37" s="35">
        <v>29</v>
      </c>
      <c r="B37" s="586"/>
      <c r="C37" s="587"/>
      <c r="D37" s="588"/>
      <c r="E37" s="260" t="s">
        <v>757</v>
      </c>
      <c r="F37" s="1093">
        <v>5471</v>
      </c>
      <c r="G37" s="1093"/>
      <c r="H37" s="1093"/>
      <c r="I37" s="1093"/>
      <c r="J37" s="1093"/>
      <c r="K37" s="1093"/>
      <c r="L37" s="1093">
        <v>18111</v>
      </c>
      <c r="M37" s="1093">
        <v>185666</v>
      </c>
      <c r="N37" s="1373">
        <v>131057</v>
      </c>
      <c r="O37" s="243">
        <f>SUM(F37:M37)</f>
        <v>209248</v>
      </c>
    </row>
    <row r="38" spans="1:15" s="597" customFormat="1" ht="18" customHeight="1" thickBot="1">
      <c r="A38" s="35">
        <v>30</v>
      </c>
      <c r="B38" s="586"/>
      <c r="C38" s="587"/>
      <c r="D38" s="1305"/>
      <c r="E38" s="1092" t="s">
        <v>892</v>
      </c>
      <c r="F38" s="250">
        <v>2999</v>
      </c>
      <c r="G38" s="1088"/>
      <c r="H38" s="1088"/>
      <c r="I38" s="1088"/>
      <c r="J38" s="1088"/>
      <c r="K38" s="1088"/>
      <c r="L38" s="250">
        <v>18111</v>
      </c>
      <c r="M38" s="250">
        <v>72444</v>
      </c>
      <c r="N38" s="250">
        <v>68055</v>
      </c>
      <c r="O38" s="864">
        <f>SUM(F38:M38)</f>
        <v>93554</v>
      </c>
    </row>
    <row r="39" spans="1:15" s="22" customFormat="1" ht="22.5" customHeight="1" thickTop="1">
      <c r="A39" s="35">
        <v>31</v>
      </c>
      <c r="B39" s="225"/>
      <c r="C39" s="1825" t="s">
        <v>424</v>
      </c>
      <c r="D39" s="1826"/>
      <c r="E39" s="1827"/>
      <c r="F39" s="584"/>
      <c r="G39" s="584"/>
      <c r="H39" s="584"/>
      <c r="I39" s="584"/>
      <c r="J39" s="584"/>
      <c r="K39" s="584"/>
      <c r="L39" s="584"/>
      <c r="M39" s="584"/>
      <c r="N39" s="522"/>
      <c r="O39" s="585"/>
    </row>
    <row r="40" spans="1:16" s="594" customFormat="1" ht="18" customHeight="1">
      <c r="A40" s="35">
        <v>32</v>
      </c>
      <c r="B40" s="598"/>
      <c r="C40" s="599"/>
      <c r="D40" s="600"/>
      <c r="E40" s="622" t="s">
        <v>283</v>
      </c>
      <c r="F40" s="601">
        <f aca="true" t="shared" si="0" ref="F40:N40">SUM(F11,F16,F21,F26,F31,F36,)</f>
        <v>60656</v>
      </c>
      <c r="G40" s="601">
        <f t="shared" si="0"/>
        <v>0</v>
      </c>
      <c r="H40" s="601">
        <f t="shared" si="0"/>
        <v>0</v>
      </c>
      <c r="I40" s="601">
        <f t="shared" si="0"/>
        <v>0</v>
      </c>
      <c r="J40" s="601">
        <f t="shared" si="0"/>
        <v>0</v>
      </c>
      <c r="K40" s="601">
        <f t="shared" si="0"/>
        <v>0</v>
      </c>
      <c r="L40" s="601">
        <f t="shared" si="0"/>
        <v>78624</v>
      </c>
      <c r="M40" s="601">
        <f t="shared" si="0"/>
        <v>1808796</v>
      </c>
      <c r="N40" s="601">
        <f t="shared" si="0"/>
        <v>1384902</v>
      </c>
      <c r="O40" s="603">
        <f>SUM(F40:M40)</f>
        <v>1948076</v>
      </c>
      <c r="P40" s="593"/>
    </row>
    <row r="41" spans="1:16" s="594" customFormat="1" ht="18" customHeight="1">
      <c r="A41" s="35">
        <v>33</v>
      </c>
      <c r="B41" s="1091"/>
      <c r="C41" s="599"/>
      <c r="D41" s="600"/>
      <c r="E41" s="260" t="s">
        <v>757</v>
      </c>
      <c r="F41" s="1095">
        <f aca="true" t="shared" si="1" ref="F41:N41">SUM(F12,F17,F22,F27,F32,F37,)</f>
        <v>61235</v>
      </c>
      <c r="G41" s="1095">
        <f t="shared" si="1"/>
        <v>0</v>
      </c>
      <c r="H41" s="1095">
        <f t="shared" si="1"/>
        <v>0</v>
      </c>
      <c r="I41" s="1095">
        <f t="shared" si="1"/>
        <v>0</v>
      </c>
      <c r="J41" s="1095">
        <f t="shared" si="1"/>
        <v>0</v>
      </c>
      <c r="K41" s="1095">
        <f t="shared" si="1"/>
        <v>0</v>
      </c>
      <c r="L41" s="1095">
        <f t="shared" si="1"/>
        <v>133375</v>
      </c>
      <c r="M41" s="1095">
        <f t="shared" si="1"/>
        <v>1812322</v>
      </c>
      <c r="N41" s="1095">
        <f t="shared" si="1"/>
        <v>1432013</v>
      </c>
      <c r="O41" s="234">
        <f>SUM(F41:M41)</f>
        <v>2006932</v>
      </c>
      <c r="P41" s="593"/>
    </row>
    <row r="42" spans="1:16" s="594" customFormat="1" ht="18" customHeight="1" thickBot="1">
      <c r="A42" s="35">
        <v>34</v>
      </c>
      <c r="B42" s="1091"/>
      <c r="C42" s="604"/>
      <c r="D42" s="1357"/>
      <c r="E42" s="1588" t="s">
        <v>893</v>
      </c>
      <c r="F42" s="1589">
        <f aca="true" t="shared" si="2" ref="F42:N42">SUM(F13:F13,F18:F18,F23:F23,F28:F28,F33:F33,F38:F38)</f>
        <v>29214</v>
      </c>
      <c r="G42" s="1589">
        <f t="shared" si="2"/>
        <v>0</v>
      </c>
      <c r="H42" s="1589">
        <f t="shared" si="2"/>
        <v>0</v>
      </c>
      <c r="I42" s="1589">
        <f t="shared" si="2"/>
        <v>0</v>
      </c>
      <c r="J42" s="1589">
        <f t="shared" si="2"/>
        <v>0</v>
      </c>
      <c r="K42" s="1589">
        <f t="shared" si="2"/>
        <v>0</v>
      </c>
      <c r="L42" s="1589">
        <f t="shared" si="2"/>
        <v>133375</v>
      </c>
      <c r="M42" s="1589">
        <f t="shared" si="2"/>
        <v>727318</v>
      </c>
      <c r="N42" s="1589">
        <f t="shared" si="2"/>
        <v>743615</v>
      </c>
      <c r="O42" s="1590">
        <f>SUM(F42:M42)</f>
        <v>889907</v>
      </c>
      <c r="P42" s="593"/>
    </row>
    <row r="43" spans="1:15" s="27" customFormat="1" ht="22.5" customHeight="1" thickTop="1">
      <c r="A43" s="35">
        <v>35</v>
      </c>
      <c r="B43" s="237">
        <v>7</v>
      </c>
      <c r="C43" s="238"/>
      <c r="D43" s="1823" t="s">
        <v>296</v>
      </c>
      <c r="E43" s="1824"/>
      <c r="F43" s="239"/>
      <c r="G43" s="239"/>
      <c r="H43" s="239"/>
      <c r="I43" s="239"/>
      <c r="J43" s="239"/>
      <c r="K43" s="239"/>
      <c r="L43" s="239"/>
      <c r="M43" s="239"/>
      <c r="N43" s="240"/>
      <c r="O43" s="241"/>
    </row>
    <row r="44" spans="1:15" s="593" customFormat="1" ht="18" customHeight="1">
      <c r="A44" s="35">
        <v>36</v>
      </c>
      <c r="B44" s="586"/>
      <c r="C44" s="587"/>
      <c r="D44" s="588"/>
      <c r="E44" s="629" t="s">
        <v>283</v>
      </c>
      <c r="F44" s="608">
        <v>20992</v>
      </c>
      <c r="G44" s="608">
        <v>1502</v>
      </c>
      <c r="H44" s="608"/>
      <c r="I44" s="608"/>
      <c r="J44" s="608"/>
      <c r="K44" s="608"/>
      <c r="L44" s="608">
        <v>57280</v>
      </c>
      <c r="M44" s="608">
        <v>1041123</v>
      </c>
      <c r="N44" s="609">
        <v>763054</v>
      </c>
      <c r="O44" s="605">
        <f>SUM(F44:M44)</f>
        <v>1120897</v>
      </c>
    </row>
    <row r="45" spans="1:15" s="593" customFormat="1" ht="18" customHeight="1">
      <c r="A45" s="35">
        <v>37</v>
      </c>
      <c r="B45" s="586"/>
      <c r="C45" s="587"/>
      <c r="D45" s="588"/>
      <c r="E45" s="260" t="s">
        <v>757</v>
      </c>
      <c r="F45" s="1039">
        <v>20992</v>
      </c>
      <c r="G45" s="1039">
        <v>3353</v>
      </c>
      <c r="H45" s="1039"/>
      <c r="I45" s="1039"/>
      <c r="J45" s="1039"/>
      <c r="K45" s="1039"/>
      <c r="L45" s="1039">
        <v>71309</v>
      </c>
      <c r="M45" s="1039">
        <v>1056592</v>
      </c>
      <c r="N45" s="1374">
        <v>769373</v>
      </c>
      <c r="O45" s="231">
        <f>SUM(F45:M45)</f>
        <v>1152246</v>
      </c>
    </row>
    <row r="46" spans="1:15" s="593" customFormat="1" ht="18" customHeight="1">
      <c r="A46" s="35">
        <v>38</v>
      </c>
      <c r="B46" s="586"/>
      <c r="C46" s="587"/>
      <c r="D46" s="588"/>
      <c r="E46" s="1092" t="s">
        <v>892</v>
      </c>
      <c r="F46" s="230">
        <v>12318</v>
      </c>
      <c r="G46" s="230">
        <v>3715</v>
      </c>
      <c r="H46" s="230"/>
      <c r="I46" s="230"/>
      <c r="J46" s="230"/>
      <c r="K46" s="230"/>
      <c r="L46" s="230">
        <v>71309</v>
      </c>
      <c r="M46" s="1618">
        <v>472654</v>
      </c>
      <c r="N46" s="230">
        <v>417607</v>
      </c>
      <c r="O46" s="864">
        <f>SUM(F46:M46)</f>
        <v>559996</v>
      </c>
    </row>
    <row r="47" spans="1:16" s="195" customFormat="1" ht="22.5" customHeight="1">
      <c r="A47" s="35">
        <v>39</v>
      </c>
      <c r="B47" s="223">
        <v>8</v>
      </c>
      <c r="C47" s="224"/>
      <c r="D47" s="1819" t="s">
        <v>113</v>
      </c>
      <c r="E47" s="1820"/>
      <c r="F47" s="229"/>
      <c r="G47" s="229"/>
      <c r="H47" s="229"/>
      <c r="I47" s="229"/>
      <c r="J47" s="229"/>
      <c r="K47" s="229"/>
      <c r="L47" s="229"/>
      <c r="M47" s="229"/>
      <c r="N47" s="230"/>
      <c r="O47" s="231"/>
      <c r="P47" s="27"/>
    </row>
    <row r="48" spans="1:15" s="595" customFormat="1" ht="18" customHeight="1">
      <c r="A48" s="35">
        <v>40</v>
      </c>
      <c r="B48" s="586"/>
      <c r="C48" s="587"/>
      <c r="D48" s="588"/>
      <c r="E48" s="629" t="s">
        <v>283</v>
      </c>
      <c r="F48" s="608">
        <v>14100</v>
      </c>
      <c r="G48" s="608"/>
      <c r="H48" s="608"/>
      <c r="I48" s="608"/>
      <c r="J48" s="608"/>
      <c r="K48" s="608"/>
      <c r="L48" s="608">
        <v>3410</v>
      </c>
      <c r="M48" s="608">
        <v>56257</v>
      </c>
      <c r="N48" s="609">
        <v>34258</v>
      </c>
      <c r="O48" s="605">
        <f>SUM(F48:M48)</f>
        <v>73767</v>
      </c>
    </row>
    <row r="49" spans="1:15" s="595" customFormat="1" ht="18" customHeight="1">
      <c r="A49" s="35">
        <v>41</v>
      </c>
      <c r="B49" s="586"/>
      <c r="C49" s="587"/>
      <c r="D49" s="588"/>
      <c r="E49" s="260" t="s">
        <v>757</v>
      </c>
      <c r="F49" s="1039">
        <v>14100</v>
      </c>
      <c r="G49" s="1374"/>
      <c r="H49" s="1374"/>
      <c r="I49" s="1374"/>
      <c r="J49" s="1374"/>
      <c r="K49" s="1374"/>
      <c r="L49" s="1039">
        <v>18435</v>
      </c>
      <c r="M49" s="1039">
        <v>67745</v>
      </c>
      <c r="N49" s="1039">
        <v>46369</v>
      </c>
      <c r="O49" s="243">
        <f>SUM(F49:M49)</f>
        <v>100280</v>
      </c>
    </row>
    <row r="50" spans="1:15" s="595" customFormat="1" ht="18" customHeight="1">
      <c r="A50" s="35">
        <v>42</v>
      </c>
      <c r="B50" s="586"/>
      <c r="C50" s="587"/>
      <c r="D50" s="588"/>
      <c r="E50" s="1092" t="s">
        <v>892</v>
      </c>
      <c r="F50" s="230">
        <v>2967</v>
      </c>
      <c r="G50" s="230"/>
      <c r="H50" s="230"/>
      <c r="I50" s="230"/>
      <c r="J50" s="230"/>
      <c r="K50" s="230"/>
      <c r="L50" s="230">
        <v>18435</v>
      </c>
      <c r="M50" s="230">
        <v>17521</v>
      </c>
      <c r="N50" s="230">
        <v>27397</v>
      </c>
      <c r="O50" s="864">
        <f>SUM(F50:M50)</f>
        <v>38923</v>
      </c>
    </row>
    <row r="51" spans="1:16" s="195" customFormat="1" ht="22.5" customHeight="1">
      <c r="A51" s="35">
        <v>43</v>
      </c>
      <c r="B51" s="223">
        <v>9</v>
      </c>
      <c r="C51" s="224"/>
      <c r="D51" s="1819" t="s">
        <v>376</v>
      </c>
      <c r="E51" s="1820"/>
      <c r="F51" s="229"/>
      <c r="G51" s="229"/>
      <c r="H51" s="229"/>
      <c r="I51" s="229"/>
      <c r="J51" s="229"/>
      <c r="K51" s="229"/>
      <c r="L51" s="229"/>
      <c r="M51" s="229"/>
      <c r="N51" s="230"/>
      <c r="O51" s="231"/>
      <c r="P51" s="27"/>
    </row>
    <row r="52" spans="1:15" s="595" customFormat="1" ht="18" customHeight="1">
      <c r="A52" s="35">
        <v>44</v>
      </c>
      <c r="B52" s="586"/>
      <c r="C52" s="599"/>
      <c r="D52" s="600"/>
      <c r="E52" s="621" t="s">
        <v>283</v>
      </c>
      <c r="F52" s="614">
        <v>1800</v>
      </c>
      <c r="G52" s="614"/>
      <c r="H52" s="614"/>
      <c r="I52" s="614"/>
      <c r="J52" s="614"/>
      <c r="K52" s="614"/>
      <c r="L52" s="614">
        <v>32587</v>
      </c>
      <c r="M52" s="614">
        <v>228803</v>
      </c>
      <c r="N52" s="615">
        <v>159828</v>
      </c>
      <c r="O52" s="607">
        <f>SUM(F52:M52)</f>
        <v>263190</v>
      </c>
    </row>
    <row r="53" spans="1:15" s="595" customFormat="1" ht="18" customHeight="1">
      <c r="A53" s="35">
        <v>45</v>
      </c>
      <c r="B53" s="586"/>
      <c r="C53" s="599"/>
      <c r="D53" s="600"/>
      <c r="E53" s="260" t="s">
        <v>757</v>
      </c>
      <c r="F53" s="1041">
        <v>1800</v>
      </c>
      <c r="G53" s="1041"/>
      <c r="H53" s="1041"/>
      <c r="I53" s="1041"/>
      <c r="J53" s="1041"/>
      <c r="K53" s="1041"/>
      <c r="L53" s="1041">
        <v>43374</v>
      </c>
      <c r="M53" s="1041">
        <v>258303</v>
      </c>
      <c r="N53" s="1375">
        <v>193967</v>
      </c>
      <c r="O53" s="243">
        <f>SUM(F53:M53)</f>
        <v>303477</v>
      </c>
    </row>
    <row r="54" spans="1:15" s="595" customFormat="1" ht="18" customHeight="1">
      <c r="A54" s="35">
        <v>46</v>
      </c>
      <c r="B54" s="586"/>
      <c r="C54" s="587"/>
      <c r="D54" s="1305"/>
      <c r="E54" s="1092" t="s">
        <v>892</v>
      </c>
      <c r="F54" s="230">
        <v>837</v>
      </c>
      <c r="G54" s="608"/>
      <c r="H54" s="608"/>
      <c r="I54" s="608"/>
      <c r="J54" s="608"/>
      <c r="K54" s="608"/>
      <c r="L54" s="230">
        <v>43374</v>
      </c>
      <c r="M54" s="230">
        <v>105548</v>
      </c>
      <c r="N54" s="230">
        <v>121068</v>
      </c>
      <c r="O54" s="864">
        <f>SUM(F54:M54)</f>
        <v>149759</v>
      </c>
    </row>
    <row r="55" spans="1:15" s="595" customFormat="1" ht="18" customHeight="1">
      <c r="A55" s="35">
        <v>47</v>
      </c>
      <c r="B55" s="586"/>
      <c r="C55" s="224">
        <v>1</v>
      </c>
      <c r="D55" s="1699" t="s">
        <v>811</v>
      </c>
      <c r="E55" s="1698"/>
      <c r="F55" s="1461"/>
      <c r="G55" s="1461"/>
      <c r="H55" s="1039"/>
      <c r="I55" s="1039"/>
      <c r="J55" s="1039"/>
      <c r="K55" s="1039"/>
      <c r="L55" s="1039"/>
      <c r="M55" s="1039"/>
      <c r="N55" s="1039"/>
      <c r="O55" s="251"/>
    </row>
    <row r="56" spans="1:15" s="595" customFormat="1" ht="18" customHeight="1">
      <c r="A56" s="35">
        <v>48</v>
      </c>
      <c r="B56" s="586"/>
      <c r="C56" s="224"/>
      <c r="D56" s="1699"/>
      <c r="E56" s="260" t="s">
        <v>757</v>
      </c>
      <c r="F56" s="1461"/>
      <c r="G56" s="280">
        <v>14329</v>
      </c>
      <c r="H56" s="1039"/>
      <c r="I56" s="1039"/>
      <c r="J56" s="1039">
        <v>671</v>
      </c>
      <c r="K56" s="1039"/>
      <c r="L56" s="1039"/>
      <c r="M56" s="1039"/>
      <c r="N56" s="1039"/>
      <c r="O56" s="243">
        <f>SUM(F56:M56)</f>
        <v>15000</v>
      </c>
    </row>
    <row r="57" spans="1:15" s="595" customFormat="1" ht="18" customHeight="1" thickBot="1">
      <c r="A57" s="35">
        <v>49</v>
      </c>
      <c r="B57" s="586"/>
      <c r="C57" s="587"/>
      <c r="D57" s="587"/>
      <c r="E57" s="1092" t="s">
        <v>892</v>
      </c>
      <c r="F57" s="1039"/>
      <c r="G57" s="230">
        <v>3750</v>
      </c>
      <c r="H57" s="1039"/>
      <c r="I57" s="1039"/>
      <c r="J57" s="230"/>
      <c r="K57" s="1039"/>
      <c r="L57" s="1039"/>
      <c r="M57" s="1039"/>
      <c r="N57" s="1039"/>
      <c r="O57" s="864">
        <f>SUM(F57:M57)</f>
        <v>3750</v>
      </c>
    </row>
    <row r="58" spans="1:15" s="30" customFormat="1" ht="22.5" customHeight="1" thickTop="1">
      <c r="A58" s="35">
        <v>50</v>
      </c>
      <c r="B58" s="225"/>
      <c r="C58" s="1825" t="s">
        <v>425</v>
      </c>
      <c r="D58" s="1826"/>
      <c r="E58" s="1827"/>
      <c r="F58" s="1770"/>
      <c r="G58" s="584"/>
      <c r="H58" s="584"/>
      <c r="I58" s="584"/>
      <c r="J58" s="584"/>
      <c r="K58" s="584"/>
      <c r="L58" s="584"/>
      <c r="M58" s="584"/>
      <c r="N58" s="584"/>
      <c r="O58" s="585"/>
    </row>
    <row r="59" spans="1:15" s="595" customFormat="1" ht="18" customHeight="1">
      <c r="A59" s="35">
        <v>51</v>
      </c>
      <c r="B59" s="586"/>
      <c r="C59" s="599"/>
      <c r="D59" s="600"/>
      <c r="E59" s="621" t="s">
        <v>283</v>
      </c>
      <c r="F59" s="614">
        <f aca="true" t="shared" si="3" ref="F59:N59">SUM(F44,F48,F52)</f>
        <v>36892</v>
      </c>
      <c r="G59" s="614">
        <f t="shared" si="3"/>
        <v>1502</v>
      </c>
      <c r="H59" s="614">
        <f t="shared" si="3"/>
        <v>0</v>
      </c>
      <c r="I59" s="614">
        <f t="shared" si="3"/>
        <v>0</v>
      </c>
      <c r="J59" s="614">
        <f t="shared" si="3"/>
        <v>0</v>
      </c>
      <c r="K59" s="614">
        <f t="shared" si="3"/>
        <v>0</v>
      </c>
      <c r="L59" s="614">
        <f t="shared" si="3"/>
        <v>93277</v>
      </c>
      <c r="M59" s="614">
        <f t="shared" si="3"/>
        <v>1326183</v>
      </c>
      <c r="N59" s="615">
        <f t="shared" si="3"/>
        <v>957140</v>
      </c>
      <c r="O59" s="607">
        <f>SUM(F59:M59)</f>
        <v>1457854</v>
      </c>
    </row>
    <row r="60" spans="1:15" s="595" customFormat="1" ht="18" customHeight="1">
      <c r="A60" s="35">
        <v>52</v>
      </c>
      <c r="B60" s="1089"/>
      <c r="C60" s="599"/>
      <c r="D60" s="600"/>
      <c r="E60" s="260" t="s">
        <v>757</v>
      </c>
      <c r="F60" s="1041">
        <f aca="true" t="shared" si="4" ref="F60:N60">SUM(F45,F49,F53,F56)</f>
        <v>36892</v>
      </c>
      <c r="G60" s="1041">
        <f t="shared" si="4"/>
        <v>17682</v>
      </c>
      <c r="H60" s="1041">
        <f t="shared" si="4"/>
        <v>0</v>
      </c>
      <c r="I60" s="1041">
        <f t="shared" si="4"/>
        <v>0</v>
      </c>
      <c r="J60" s="1041">
        <f t="shared" si="4"/>
        <v>671</v>
      </c>
      <c r="K60" s="1041">
        <f t="shared" si="4"/>
        <v>0</v>
      </c>
      <c r="L60" s="1041">
        <f t="shared" si="4"/>
        <v>133118</v>
      </c>
      <c r="M60" s="1041">
        <f t="shared" si="4"/>
        <v>1382640</v>
      </c>
      <c r="N60" s="1041">
        <f t="shared" si="4"/>
        <v>1009709</v>
      </c>
      <c r="O60" s="231">
        <f>SUM(F60:M60)</f>
        <v>1571003</v>
      </c>
    </row>
    <row r="61" spans="1:15" s="595" customFormat="1" ht="18" customHeight="1" thickBot="1">
      <c r="A61" s="35">
        <v>53</v>
      </c>
      <c r="B61" s="1089"/>
      <c r="C61" s="604"/>
      <c r="D61" s="1357"/>
      <c r="E61" s="1588" t="s">
        <v>893</v>
      </c>
      <c r="F61" s="1589">
        <f aca="true" t="shared" si="5" ref="F61:N61">SUM(F46:F46,F50:F50,F54:F54)+F57</f>
        <v>16122</v>
      </c>
      <c r="G61" s="1589">
        <f t="shared" si="5"/>
        <v>7465</v>
      </c>
      <c r="H61" s="1589">
        <f t="shared" si="5"/>
        <v>0</v>
      </c>
      <c r="I61" s="1589">
        <f t="shared" si="5"/>
        <v>0</v>
      </c>
      <c r="J61" s="1589">
        <f t="shared" si="5"/>
        <v>0</v>
      </c>
      <c r="K61" s="1589">
        <f t="shared" si="5"/>
        <v>0</v>
      </c>
      <c r="L61" s="1589">
        <f t="shared" si="5"/>
        <v>133118</v>
      </c>
      <c r="M61" s="1589">
        <f t="shared" si="5"/>
        <v>595723</v>
      </c>
      <c r="N61" s="1589">
        <f t="shared" si="5"/>
        <v>566072</v>
      </c>
      <c r="O61" s="1591">
        <f>SUM(F61:M61)</f>
        <v>752428</v>
      </c>
    </row>
    <row r="62" spans="1:16" s="23" customFormat="1" ht="22.5" customHeight="1" thickTop="1">
      <c r="A62" s="35">
        <v>54</v>
      </c>
      <c r="B62" s="237">
        <v>10</v>
      </c>
      <c r="C62" s="238"/>
      <c r="D62" s="1823" t="s">
        <v>378</v>
      </c>
      <c r="E62" s="1824"/>
      <c r="F62" s="249"/>
      <c r="G62" s="249"/>
      <c r="H62" s="249"/>
      <c r="I62" s="249"/>
      <c r="J62" s="249"/>
      <c r="K62" s="249"/>
      <c r="L62" s="249"/>
      <c r="M62" s="249"/>
      <c r="N62" s="250"/>
      <c r="O62" s="251"/>
      <c r="P62" s="22"/>
    </row>
    <row r="63" spans="1:15" s="593" customFormat="1" ht="18" customHeight="1">
      <c r="A63" s="35">
        <v>55</v>
      </c>
      <c r="B63" s="586"/>
      <c r="C63" s="587"/>
      <c r="D63" s="588"/>
      <c r="E63" s="629" t="s">
        <v>283</v>
      </c>
      <c r="F63" s="608">
        <v>35916</v>
      </c>
      <c r="G63" s="608"/>
      <c r="H63" s="608"/>
      <c r="I63" s="608"/>
      <c r="J63" s="608"/>
      <c r="K63" s="608"/>
      <c r="L63" s="608">
        <v>8683</v>
      </c>
      <c r="M63" s="608">
        <v>195101</v>
      </c>
      <c r="N63" s="609">
        <v>4716</v>
      </c>
      <c r="O63" s="605">
        <f>SUM(F63:M63)</f>
        <v>239700</v>
      </c>
    </row>
    <row r="64" spans="1:15" s="593" customFormat="1" ht="18" customHeight="1">
      <c r="A64" s="35">
        <v>56</v>
      </c>
      <c r="B64" s="586"/>
      <c r="C64" s="587"/>
      <c r="D64" s="588"/>
      <c r="E64" s="260" t="s">
        <v>757</v>
      </c>
      <c r="F64" s="1039">
        <v>35916</v>
      </c>
      <c r="G64" s="1039">
        <v>3000</v>
      </c>
      <c r="H64" s="1039"/>
      <c r="I64" s="1039"/>
      <c r="J64" s="1039"/>
      <c r="K64" s="1039"/>
      <c r="L64" s="1039">
        <v>48913</v>
      </c>
      <c r="M64" s="1039">
        <v>197601</v>
      </c>
      <c r="N64" s="1374">
        <v>4716</v>
      </c>
      <c r="O64" s="243">
        <f>SUM(F64:M64)</f>
        <v>285430</v>
      </c>
    </row>
    <row r="65" spans="1:15" s="593" customFormat="1" ht="18" customHeight="1">
      <c r="A65" s="35">
        <v>57</v>
      </c>
      <c r="B65" s="586"/>
      <c r="C65" s="587"/>
      <c r="D65" s="588"/>
      <c r="E65" s="1092" t="s">
        <v>892</v>
      </c>
      <c r="F65" s="230">
        <v>11541</v>
      </c>
      <c r="G65" s="230">
        <v>1500</v>
      </c>
      <c r="H65" s="230">
        <v>10216</v>
      </c>
      <c r="I65" s="608"/>
      <c r="J65" s="608"/>
      <c r="K65" s="230">
        <v>800</v>
      </c>
      <c r="L65" s="230">
        <v>48913</v>
      </c>
      <c r="M65" s="230">
        <v>38188</v>
      </c>
      <c r="N65" s="230">
        <v>4716</v>
      </c>
      <c r="O65" s="864">
        <f>SUM(F65:M65)</f>
        <v>111158</v>
      </c>
    </row>
    <row r="66" spans="1:16" s="31" customFormat="1" ht="31.5" customHeight="1">
      <c r="A66" s="35">
        <v>58</v>
      </c>
      <c r="B66" s="223"/>
      <c r="C66" s="224">
        <v>1</v>
      </c>
      <c r="D66" s="1828" t="s">
        <v>419</v>
      </c>
      <c r="E66" s="1829"/>
      <c r="F66" s="94"/>
      <c r="G66" s="94"/>
      <c r="H66" s="94"/>
      <c r="I66" s="94"/>
      <c r="J66" s="94"/>
      <c r="K66" s="94"/>
      <c r="L66" s="94"/>
      <c r="M66" s="94"/>
      <c r="N66" s="116"/>
      <c r="O66" s="243"/>
      <c r="P66" s="22"/>
    </row>
    <row r="67" spans="1:15" s="593" customFormat="1" ht="18" customHeight="1">
      <c r="A67" s="35">
        <v>59</v>
      </c>
      <c r="B67" s="598"/>
      <c r="C67" s="599"/>
      <c r="D67" s="600"/>
      <c r="E67" s="622" t="s">
        <v>283</v>
      </c>
      <c r="F67" s="601"/>
      <c r="G67" s="601">
        <v>51720</v>
      </c>
      <c r="H67" s="601"/>
      <c r="I67" s="601"/>
      <c r="J67" s="601">
        <v>4050</v>
      </c>
      <c r="K67" s="601"/>
      <c r="L67" s="601">
        <v>19870</v>
      </c>
      <c r="M67" s="601"/>
      <c r="N67" s="602"/>
      <c r="O67" s="603">
        <f>SUM(F67:M67)</f>
        <v>75640</v>
      </c>
    </row>
    <row r="68" spans="1:15" s="593" customFormat="1" ht="18" customHeight="1">
      <c r="A68" s="35">
        <v>60</v>
      </c>
      <c r="B68" s="598"/>
      <c r="C68" s="599"/>
      <c r="D68" s="600"/>
      <c r="E68" s="260" t="s">
        <v>757</v>
      </c>
      <c r="F68" s="601"/>
      <c r="G68" s="1095">
        <v>51720</v>
      </c>
      <c r="H68" s="1095"/>
      <c r="I68" s="1095"/>
      <c r="J68" s="1095">
        <v>4050</v>
      </c>
      <c r="K68" s="1095"/>
      <c r="L68" s="1095">
        <v>19870</v>
      </c>
      <c r="M68" s="601"/>
      <c r="N68" s="602"/>
      <c r="O68" s="243">
        <f>SUM(F68:M68)</f>
        <v>75640</v>
      </c>
    </row>
    <row r="69" spans="1:15" s="593" customFormat="1" ht="18" customHeight="1">
      <c r="A69" s="35">
        <v>61</v>
      </c>
      <c r="B69" s="598"/>
      <c r="C69" s="599"/>
      <c r="D69" s="600"/>
      <c r="E69" s="1092" t="s">
        <v>893</v>
      </c>
      <c r="F69" s="601"/>
      <c r="G69" s="601"/>
      <c r="H69" s="601"/>
      <c r="I69" s="601"/>
      <c r="J69" s="601"/>
      <c r="K69" s="601"/>
      <c r="L69" s="1478">
        <v>19870</v>
      </c>
      <c r="M69" s="601"/>
      <c r="N69" s="602"/>
      <c r="O69" s="864">
        <f>SUM(F69:M69)</f>
        <v>19870</v>
      </c>
    </row>
    <row r="70" spans="1:15" s="593" customFormat="1" ht="35.25" customHeight="1">
      <c r="A70" s="35">
        <v>62</v>
      </c>
      <c r="B70" s="598"/>
      <c r="C70" s="1479">
        <v>2</v>
      </c>
      <c r="D70" s="1830" t="s">
        <v>836</v>
      </c>
      <c r="E70" s="1829"/>
      <c r="F70" s="1095"/>
      <c r="G70" s="1095"/>
      <c r="H70" s="1095"/>
      <c r="I70" s="1095"/>
      <c r="J70" s="1095"/>
      <c r="K70" s="1095"/>
      <c r="L70" s="1095"/>
      <c r="M70" s="1095"/>
      <c r="N70" s="1095"/>
      <c r="O70" s="243"/>
    </row>
    <row r="71" spans="1:15" s="593" customFormat="1" ht="19.5" customHeight="1">
      <c r="A71" s="35">
        <v>63</v>
      </c>
      <c r="B71" s="598"/>
      <c r="C71" s="1479"/>
      <c r="D71" s="1585"/>
      <c r="E71" s="260" t="s">
        <v>757</v>
      </c>
      <c r="F71" s="1095"/>
      <c r="G71" s="1095">
        <v>19432</v>
      </c>
      <c r="H71" s="1095"/>
      <c r="I71" s="1095"/>
      <c r="J71" s="1095">
        <v>568</v>
      </c>
      <c r="K71" s="1095"/>
      <c r="L71" s="1095"/>
      <c r="M71" s="1095"/>
      <c r="N71" s="1095"/>
      <c r="O71" s="243">
        <f>SUM(F71:M71)</f>
        <v>20000</v>
      </c>
    </row>
    <row r="72" spans="1:15" s="593" customFormat="1" ht="18" customHeight="1">
      <c r="A72" s="35">
        <v>64</v>
      </c>
      <c r="B72" s="598"/>
      <c r="C72" s="599"/>
      <c r="D72" s="600"/>
      <c r="E72" s="1092" t="s">
        <v>892</v>
      </c>
      <c r="F72" s="1095"/>
      <c r="G72" s="1478">
        <v>19432</v>
      </c>
      <c r="H72" s="1478"/>
      <c r="I72" s="1478"/>
      <c r="J72" s="1478">
        <v>568</v>
      </c>
      <c r="K72" s="1095"/>
      <c r="L72" s="1095"/>
      <c r="M72" s="1095"/>
      <c r="N72" s="1095"/>
      <c r="O72" s="864">
        <f>SUM(F72:M72)</f>
        <v>20000</v>
      </c>
    </row>
    <row r="73" spans="1:16" s="31" customFormat="1" ht="22.5" customHeight="1">
      <c r="A73" s="35">
        <v>65</v>
      </c>
      <c r="B73" s="223">
        <v>11</v>
      </c>
      <c r="C73" s="224"/>
      <c r="D73" s="1819" t="s">
        <v>370</v>
      </c>
      <c r="E73" s="1820"/>
      <c r="F73" s="229"/>
      <c r="G73" s="229"/>
      <c r="H73" s="229"/>
      <c r="I73" s="229"/>
      <c r="J73" s="229"/>
      <c r="K73" s="229"/>
      <c r="L73" s="229"/>
      <c r="M73" s="229"/>
      <c r="N73" s="230"/>
      <c r="O73" s="231"/>
      <c r="P73" s="22"/>
    </row>
    <row r="74" spans="1:15" s="593" customFormat="1" ht="18" customHeight="1">
      <c r="A74" s="35">
        <v>66</v>
      </c>
      <c r="B74" s="586"/>
      <c r="C74" s="587"/>
      <c r="D74" s="588"/>
      <c r="E74" s="629" t="s">
        <v>283</v>
      </c>
      <c r="F74" s="608">
        <v>11431</v>
      </c>
      <c r="G74" s="608">
        <v>2650</v>
      </c>
      <c r="H74" s="608"/>
      <c r="I74" s="608"/>
      <c r="J74" s="608"/>
      <c r="K74" s="608"/>
      <c r="L74" s="608">
        <v>11421</v>
      </c>
      <c r="M74" s="608">
        <v>131413</v>
      </c>
      <c r="N74" s="609">
        <v>4037</v>
      </c>
      <c r="O74" s="605">
        <f>SUM(F74:M74)</f>
        <v>156915</v>
      </c>
    </row>
    <row r="75" spans="1:15" s="593" customFormat="1" ht="18" customHeight="1">
      <c r="A75" s="35">
        <v>67</v>
      </c>
      <c r="B75" s="586"/>
      <c r="C75" s="587"/>
      <c r="D75" s="588"/>
      <c r="E75" s="260" t="s">
        <v>757</v>
      </c>
      <c r="F75" s="1039">
        <v>11431</v>
      </c>
      <c r="G75" s="1039">
        <v>3800</v>
      </c>
      <c r="H75" s="1039"/>
      <c r="I75" s="1039"/>
      <c r="J75" s="1039">
        <v>750</v>
      </c>
      <c r="K75" s="1039"/>
      <c r="L75" s="1039">
        <v>18030</v>
      </c>
      <c r="M75" s="1039">
        <v>137102</v>
      </c>
      <c r="N75" s="1374">
        <v>4037</v>
      </c>
      <c r="O75" s="243">
        <f>SUM(F75:M75)</f>
        <v>171113</v>
      </c>
    </row>
    <row r="76" spans="1:15" s="593" customFormat="1" ht="18" customHeight="1">
      <c r="A76" s="35">
        <v>68</v>
      </c>
      <c r="B76" s="586"/>
      <c r="C76" s="587"/>
      <c r="D76" s="588"/>
      <c r="E76" s="1092" t="s">
        <v>892</v>
      </c>
      <c r="F76" s="230">
        <v>3481</v>
      </c>
      <c r="G76" s="230">
        <v>3800</v>
      </c>
      <c r="H76" s="230">
        <v>1500</v>
      </c>
      <c r="I76" s="230"/>
      <c r="J76" s="230">
        <v>750</v>
      </c>
      <c r="K76" s="230"/>
      <c r="L76" s="230">
        <v>18030</v>
      </c>
      <c r="M76" s="230">
        <v>58173</v>
      </c>
      <c r="N76" s="230">
        <v>4037</v>
      </c>
      <c r="O76" s="864">
        <f>SUM(F76:M76)</f>
        <v>85734</v>
      </c>
    </row>
    <row r="77" spans="1:16" s="31" customFormat="1" ht="18" customHeight="1">
      <c r="A77" s="35">
        <v>69</v>
      </c>
      <c r="B77" s="223"/>
      <c r="C77" s="224">
        <v>1</v>
      </c>
      <c r="D77" s="1819" t="s">
        <v>537</v>
      </c>
      <c r="E77" s="1820"/>
      <c r="F77" s="94"/>
      <c r="G77" s="94"/>
      <c r="H77" s="94"/>
      <c r="I77" s="94"/>
      <c r="J77" s="94"/>
      <c r="K77" s="94"/>
      <c r="L77" s="94"/>
      <c r="M77" s="94"/>
      <c r="N77" s="116"/>
      <c r="O77" s="243"/>
      <c r="P77" s="22"/>
    </row>
    <row r="78" spans="1:15" s="593" customFormat="1" ht="18" customHeight="1">
      <c r="A78" s="35">
        <v>70</v>
      </c>
      <c r="B78" s="598"/>
      <c r="C78" s="599"/>
      <c r="D78" s="600"/>
      <c r="E78" s="622" t="s">
        <v>283</v>
      </c>
      <c r="F78" s="601"/>
      <c r="G78" s="601"/>
      <c r="H78" s="601">
        <v>470</v>
      </c>
      <c r="I78" s="601"/>
      <c r="J78" s="601"/>
      <c r="K78" s="601"/>
      <c r="L78" s="601">
        <v>1879</v>
      </c>
      <c r="M78" s="601"/>
      <c r="N78" s="602"/>
      <c r="O78" s="603">
        <f>SUM(F78:M78)</f>
        <v>2349</v>
      </c>
    </row>
    <row r="79" spans="1:15" s="593" customFormat="1" ht="18" customHeight="1">
      <c r="A79" s="35">
        <v>71</v>
      </c>
      <c r="B79" s="598"/>
      <c r="C79" s="599"/>
      <c r="D79" s="600"/>
      <c r="E79" s="260" t="s">
        <v>757</v>
      </c>
      <c r="F79" s="601"/>
      <c r="G79" s="601"/>
      <c r="H79" s="1095">
        <v>470</v>
      </c>
      <c r="I79" s="1095"/>
      <c r="J79" s="1095"/>
      <c r="K79" s="1095"/>
      <c r="L79" s="1095">
        <v>1879</v>
      </c>
      <c r="M79" s="601"/>
      <c r="N79" s="602"/>
      <c r="O79" s="243">
        <f>SUM(F79:M79)</f>
        <v>2349</v>
      </c>
    </row>
    <row r="80" spans="1:15" s="593" customFormat="1" ht="18" customHeight="1">
      <c r="A80" s="35">
        <v>72</v>
      </c>
      <c r="B80" s="598"/>
      <c r="C80" s="599"/>
      <c r="D80" s="600"/>
      <c r="E80" s="1092" t="s">
        <v>893</v>
      </c>
      <c r="F80" s="601"/>
      <c r="G80" s="601"/>
      <c r="H80" s="1095"/>
      <c r="I80" s="1095"/>
      <c r="J80" s="1095"/>
      <c r="K80" s="1095"/>
      <c r="L80" s="1478">
        <v>1879</v>
      </c>
      <c r="M80" s="601"/>
      <c r="N80" s="602"/>
      <c r="O80" s="864">
        <f>SUM(F80:M80)</f>
        <v>1879</v>
      </c>
    </row>
    <row r="81" spans="1:15" s="110" customFormat="1" ht="22.5" customHeight="1">
      <c r="A81" s="35">
        <v>73</v>
      </c>
      <c r="B81" s="223">
        <v>12</v>
      </c>
      <c r="C81" s="224"/>
      <c r="D81" s="1819" t="s">
        <v>24</v>
      </c>
      <c r="E81" s="1820"/>
      <c r="F81" s="232"/>
      <c r="G81" s="232"/>
      <c r="H81" s="232"/>
      <c r="I81" s="232"/>
      <c r="J81" s="232"/>
      <c r="K81" s="232"/>
      <c r="L81" s="232"/>
      <c r="M81" s="232"/>
      <c r="N81" s="233"/>
      <c r="O81" s="234"/>
    </row>
    <row r="82" spans="1:15" s="596" customFormat="1" ht="18" customHeight="1">
      <c r="A82" s="35">
        <v>74</v>
      </c>
      <c r="B82" s="586"/>
      <c r="C82" s="587"/>
      <c r="D82" s="588"/>
      <c r="E82" s="629" t="s">
        <v>283</v>
      </c>
      <c r="F82" s="608">
        <v>21200</v>
      </c>
      <c r="G82" s="608"/>
      <c r="H82" s="608"/>
      <c r="I82" s="608"/>
      <c r="J82" s="608"/>
      <c r="K82" s="608"/>
      <c r="L82" s="608">
        <v>2863</v>
      </c>
      <c r="M82" s="608">
        <v>434671</v>
      </c>
      <c r="N82" s="609">
        <v>299996</v>
      </c>
      <c r="O82" s="605">
        <f>SUM(F82:M82)</f>
        <v>458734</v>
      </c>
    </row>
    <row r="83" spans="1:15" s="596" customFormat="1" ht="18" customHeight="1">
      <c r="A83" s="35">
        <v>75</v>
      </c>
      <c r="B83" s="586"/>
      <c r="C83" s="587"/>
      <c r="D83" s="588"/>
      <c r="E83" s="260" t="s">
        <v>757</v>
      </c>
      <c r="F83" s="1039">
        <v>21200</v>
      </c>
      <c r="G83" s="1039"/>
      <c r="H83" s="1039"/>
      <c r="I83" s="1039"/>
      <c r="J83" s="1039"/>
      <c r="K83" s="1039"/>
      <c r="L83" s="1039">
        <v>10916</v>
      </c>
      <c r="M83" s="1039">
        <v>438135</v>
      </c>
      <c r="N83" s="1374">
        <v>302013</v>
      </c>
      <c r="O83" s="243">
        <f>SUM(F83:M83)</f>
        <v>470251</v>
      </c>
    </row>
    <row r="84" spans="1:15" s="596" customFormat="1" ht="18" customHeight="1">
      <c r="A84" s="35">
        <v>76</v>
      </c>
      <c r="B84" s="586"/>
      <c r="C84" s="587"/>
      <c r="D84" s="588"/>
      <c r="E84" s="1092" t="s">
        <v>892</v>
      </c>
      <c r="F84" s="230">
        <v>17123</v>
      </c>
      <c r="G84" s="230">
        <v>397</v>
      </c>
      <c r="H84" s="230">
        <v>280</v>
      </c>
      <c r="I84" s="230">
        <v>111</v>
      </c>
      <c r="J84" s="230"/>
      <c r="K84" s="230"/>
      <c r="L84" s="230">
        <v>10916</v>
      </c>
      <c r="M84" s="230">
        <v>215318</v>
      </c>
      <c r="N84" s="230">
        <v>162594</v>
      </c>
      <c r="O84" s="864">
        <f>SUM(F84:M84)</f>
        <v>244145</v>
      </c>
    </row>
    <row r="85" spans="1:15" s="110" customFormat="1" ht="18" customHeight="1">
      <c r="A85" s="35">
        <v>77</v>
      </c>
      <c r="B85" s="225"/>
      <c r="C85" s="224">
        <v>2</v>
      </c>
      <c r="D85" s="1821" t="s">
        <v>419</v>
      </c>
      <c r="E85" s="1822"/>
      <c r="F85" s="229"/>
      <c r="G85" s="229"/>
      <c r="H85" s="229"/>
      <c r="I85" s="229"/>
      <c r="J85" s="229"/>
      <c r="K85" s="229"/>
      <c r="L85" s="229"/>
      <c r="M85" s="229"/>
      <c r="N85" s="230"/>
      <c r="O85" s="231"/>
    </row>
    <row r="86" spans="1:16" s="594" customFormat="1" ht="18" customHeight="1">
      <c r="A86" s="35">
        <v>78</v>
      </c>
      <c r="B86" s="598"/>
      <c r="C86" s="587"/>
      <c r="D86" s="588"/>
      <c r="E86" s="1052" t="s">
        <v>283</v>
      </c>
      <c r="F86" s="610"/>
      <c r="G86" s="610">
        <v>36849</v>
      </c>
      <c r="H86" s="610"/>
      <c r="I86" s="610"/>
      <c r="J86" s="610"/>
      <c r="K86" s="610"/>
      <c r="L86" s="610">
        <v>12841</v>
      </c>
      <c r="M86" s="610"/>
      <c r="N86" s="611"/>
      <c r="O86" s="606">
        <f>SUM(F86:M86)</f>
        <v>49690</v>
      </c>
      <c r="P86" s="593"/>
    </row>
    <row r="87" spans="1:16" s="594" customFormat="1" ht="18" customHeight="1">
      <c r="A87" s="35">
        <v>79</v>
      </c>
      <c r="B87" s="598"/>
      <c r="C87" s="587"/>
      <c r="D87" s="588"/>
      <c r="E87" s="260" t="s">
        <v>757</v>
      </c>
      <c r="F87" s="610"/>
      <c r="G87" s="1094">
        <v>36849</v>
      </c>
      <c r="H87" s="1094"/>
      <c r="I87" s="1094"/>
      <c r="J87" s="1094"/>
      <c r="K87" s="1094"/>
      <c r="L87" s="1094">
        <v>12841</v>
      </c>
      <c r="M87" s="1094"/>
      <c r="N87" s="1376"/>
      <c r="O87" s="243">
        <f>SUM(F87:M87)</f>
        <v>49690</v>
      </c>
      <c r="P87" s="593"/>
    </row>
    <row r="88" spans="1:16" s="594" customFormat="1" ht="18" customHeight="1">
      <c r="A88" s="35">
        <v>80</v>
      </c>
      <c r="B88" s="598"/>
      <c r="C88" s="587"/>
      <c r="D88" s="588"/>
      <c r="E88" s="1092" t="s">
        <v>893</v>
      </c>
      <c r="F88" s="610"/>
      <c r="G88" s="610"/>
      <c r="H88" s="610"/>
      <c r="I88" s="610"/>
      <c r="J88" s="610"/>
      <c r="K88" s="610"/>
      <c r="L88" s="233">
        <v>12841</v>
      </c>
      <c r="M88" s="610"/>
      <c r="N88" s="611"/>
      <c r="O88" s="864">
        <f>SUM(F88:M88)</f>
        <v>12841</v>
      </c>
      <c r="P88" s="593"/>
    </row>
    <row r="89" spans="1:15" s="110" customFormat="1" ht="22.5" customHeight="1">
      <c r="A89" s="35">
        <v>81</v>
      </c>
      <c r="B89" s="223">
        <v>13</v>
      </c>
      <c r="C89" s="224"/>
      <c r="D89" s="1819" t="s">
        <v>31</v>
      </c>
      <c r="E89" s="1820"/>
      <c r="F89" s="232"/>
      <c r="G89" s="232"/>
      <c r="H89" s="232"/>
      <c r="I89" s="232"/>
      <c r="J89" s="232"/>
      <c r="K89" s="232"/>
      <c r="L89" s="232"/>
      <c r="M89" s="232"/>
      <c r="N89" s="233"/>
      <c r="O89" s="234"/>
    </row>
    <row r="90" spans="1:15" s="596" customFormat="1" ht="18" customHeight="1">
      <c r="A90" s="35">
        <v>82</v>
      </c>
      <c r="B90" s="586"/>
      <c r="C90" s="587"/>
      <c r="D90" s="588"/>
      <c r="E90" s="629" t="s">
        <v>283</v>
      </c>
      <c r="F90" s="608">
        <v>185069</v>
      </c>
      <c r="G90" s="608">
        <v>2500</v>
      </c>
      <c r="H90" s="608"/>
      <c r="I90" s="608"/>
      <c r="J90" s="608"/>
      <c r="K90" s="608"/>
      <c r="L90" s="608">
        <v>16981</v>
      </c>
      <c r="M90" s="608">
        <v>237734</v>
      </c>
      <c r="N90" s="609">
        <v>130450</v>
      </c>
      <c r="O90" s="605">
        <f>SUM(F90:M90)</f>
        <v>442284</v>
      </c>
    </row>
    <row r="91" spans="1:15" s="596" customFormat="1" ht="18" customHeight="1">
      <c r="A91" s="35">
        <v>83</v>
      </c>
      <c r="B91" s="586"/>
      <c r="C91" s="587"/>
      <c r="D91" s="588"/>
      <c r="E91" s="260" t="s">
        <v>757</v>
      </c>
      <c r="F91" s="1039">
        <v>158594</v>
      </c>
      <c r="G91" s="1039">
        <v>2500</v>
      </c>
      <c r="H91" s="1039">
        <v>12520</v>
      </c>
      <c r="I91" s="1039"/>
      <c r="J91" s="1039"/>
      <c r="K91" s="1039">
        <v>19048</v>
      </c>
      <c r="L91" s="1039">
        <v>38396</v>
      </c>
      <c r="M91" s="1039">
        <v>237734</v>
      </c>
      <c r="N91" s="1374">
        <v>130450</v>
      </c>
      <c r="O91" s="243">
        <f>SUM(F91:M91)</f>
        <v>468792</v>
      </c>
    </row>
    <row r="92" spans="1:15" s="596" customFormat="1" ht="19.5" customHeight="1">
      <c r="A92" s="35">
        <v>84</v>
      </c>
      <c r="B92" s="586"/>
      <c r="C92" s="587"/>
      <c r="D92" s="588"/>
      <c r="E92" s="1361" t="s">
        <v>892</v>
      </c>
      <c r="F92" s="230">
        <v>87685</v>
      </c>
      <c r="G92" s="230">
        <v>27500</v>
      </c>
      <c r="H92" s="230">
        <v>2100</v>
      </c>
      <c r="I92" s="230"/>
      <c r="J92" s="230"/>
      <c r="K92" s="230">
        <v>5813</v>
      </c>
      <c r="L92" s="230">
        <v>38396</v>
      </c>
      <c r="M92" s="230">
        <v>78474</v>
      </c>
      <c r="N92" s="230">
        <v>72623</v>
      </c>
      <c r="O92" s="864">
        <f>SUM(F92:M92)</f>
        <v>239968</v>
      </c>
    </row>
    <row r="93" spans="1:16" s="31" customFormat="1" ht="18" customHeight="1">
      <c r="A93" s="35">
        <v>85</v>
      </c>
      <c r="B93" s="223"/>
      <c r="C93" s="224">
        <v>1</v>
      </c>
      <c r="D93" s="1819" t="s">
        <v>537</v>
      </c>
      <c r="E93" s="1820"/>
      <c r="F93" s="94"/>
      <c r="G93" s="94"/>
      <c r="H93" s="94"/>
      <c r="I93" s="94"/>
      <c r="J93" s="94"/>
      <c r="K93" s="94"/>
      <c r="L93" s="94"/>
      <c r="M93" s="94"/>
      <c r="N93" s="116"/>
      <c r="O93" s="243"/>
      <c r="P93" s="22"/>
    </row>
    <row r="94" spans="1:15" s="593" customFormat="1" ht="18" customHeight="1">
      <c r="A94" s="35">
        <v>86</v>
      </c>
      <c r="B94" s="598"/>
      <c r="C94" s="599"/>
      <c r="D94" s="600"/>
      <c r="E94" s="622" t="s">
        <v>283</v>
      </c>
      <c r="F94" s="601"/>
      <c r="G94" s="601"/>
      <c r="H94" s="601"/>
      <c r="I94" s="601"/>
      <c r="J94" s="601"/>
      <c r="K94" s="601"/>
      <c r="L94" s="601">
        <v>8944</v>
      </c>
      <c r="M94" s="601"/>
      <c r="N94" s="602"/>
      <c r="O94" s="603">
        <f>SUM(F94:M94)</f>
        <v>8944</v>
      </c>
    </row>
    <row r="95" spans="1:15" s="593" customFormat="1" ht="18" customHeight="1">
      <c r="A95" s="35">
        <v>87</v>
      </c>
      <c r="B95" s="598"/>
      <c r="C95" s="599"/>
      <c r="D95" s="600"/>
      <c r="E95" s="260" t="s">
        <v>757</v>
      </c>
      <c r="F95" s="601"/>
      <c r="G95" s="601"/>
      <c r="H95" s="601"/>
      <c r="I95" s="601"/>
      <c r="J95" s="601"/>
      <c r="K95" s="601"/>
      <c r="L95" s="1377">
        <v>8944</v>
      </c>
      <c r="M95" s="601"/>
      <c r="N95" s="602"/>
      <c r="O95" s="243">
        <f>SUM(F95:M95)</f>
        <v>8944</v>
      </c>
    </row>
    <row r="96" spans="1:15" s="593" customFormat="1" ht="18" customHeight="1">
      <c r="A96" s="35">
        <v>88</v>
      </c>
      <c r="B96" s="598"/>
      <c r="C96" s="599"/>
      <c r="D96" s="600"/>
      <c r="E96" s="1092" t="s">
        <v>893</v>
      </c>
      <c r="F96" s="601"/>
      <c r="G96" s="601"/>
      <c r="H96" s="601"/>
      <c r="I96" s="601"/>
      <c r="J96" s="601"/>
      <c r="K96" s="601"/>
      <c r="L96" s="1619">
        <v>8944</v>
      </c>
      <c r="M96" s="601"/>
      <c r="N96" s="602"/>
      <c r="O96" s="864">
        <f>SUM(F96:M96)</f>
        <v>8944</v>
      </c>
    </row>
    <row r="97" spans="1:15" s="110" customFormat="1" ht="22.5" customHeight="1">
      <c r="A97" s="35">
        <v>89</v>
      </c>
      <c r="B97" s="223">
        <v>14</v>
      </c>
      <c r="C97" s="224"/>
      <c r="D97" s="1819" t="s">
        <v>371</v>
      </c>
      <c r="E97" s="1820"/>
      <c r="F97" s="232"/>
      <c r="G97" s="232"/>
      <c r="H97" s="232"/>
      <c r="I97" s="232"/>
      <c r="J97" s="232"/>
      <c r="K97" s="232"/>
      <c r="L97" s="232"/>
      <c r="M97" s="232"/>
      <c r="N97" s="233"/>
      <c r="O97" s="234"/>
    </row>
    <row r="98" spans="1:15" s="596" customFormat="1" ht="18" customHeight="1">
      <c r="A98" s="35">
        <v>90</v>
      </c>
      <c r="B98" s="586"/>
      <c r="C98" s="587"/>
      <c r="D98" s="588"/>
      <c r="E98" s="629" t="s">
        <v>283</v>
      </c>
      <c r="F98" s="608">
        <v>28366</v>
      </c>
      <c r="G98" s="608"/>
      <c r="H98" s="608"/>
      <c r="I98" s="608"/>
      <c r="J98" s="608"/>
      <c r="K98" s="608"/>
      <c r="L98" s="608">
        <v>371</v>
      </c>
      <c r="M98" s="608">
        <v>122176</v>
      </c>
      <c r="N98" s="609">
        <v>65741</v>
      </c>
      <c r="O98" s="605">
        <f>SUM(F98:M98)</f>
        <v>150913</v>
      </c>
    </row>
    <row r="99" spans="1:15" s="596" customFormat="1" ht="18" customHeight="1">
      <c r="A99" s="35">
        <v>91</v>
      </c>
      <c r="B99" s="586"/>
      <c r="C99" s="587"/>
      <c r="D99" s="588"/>
      <c r="E99" s="260" t="s">
        <v>757</v>
      </c>
      <c r="F99" s="1039">
        <v>11312</v>
      </c>
      <c r="G99" s="1039">
        <v>17054</v>
      </c>
      <c r="H99" s="1039">
        <v>5038</v>
      </c>
      <c r="I99" s="1039"/>
      <c r="J99" s="1039"/>
      <c r="K99" s="1039"/>
      <c r="L99" s="1039">
        <v>3819</v>
      </c>
      <c r="M99" s="1039">
        <v>122176</v>
      </c>
      <c r="N99" s="1374">
        <v>65741</v>
      </c>
      <c r="O99" s="243">
        <f>SUM(F99:M99)</f>
        <v>159399</v>
      </c>
    </row>
    <row r="100" spans="1:15" s="596" customFormat="1" ht="18" customHeight="1">
      <c r="A100" s="35">
        <v>92</v>
      </c>
      <c r="B100" s="586"/>
      <c r="C100" s="587"/>
      <c r="D100" s="588"/>
      <c r="E100" s="1092" t="s">
        <v>892</v>
      </c>
      <c r="F100" s="230">
        <v>3469</v>
      </c>
      <c r="G100" s="230">
        <v>17053</v>
      </c>
      <c r="H100" s="230">
        <v>4030</v>
      </c>
      <c r="I100" s="1272"/>
      <c r="J100" s="1272"/>
      <c r="K100" s="1272"/>
      <c r="L100" s="230">
        <v>3819</v>
      </c>
      <c r="M100" s="230">
        <v>43780</v>
      </c>
      <c r="N100" s="230">
        <v>43780</v>
      </c>
      <c r="O100" s="864">
        <f>SUM(F100:M100)</f>
        <v>72151</v>
      </c>
    </row>
    <row r="101" spans="1:16" s="193" customFormat="1" ht="18" customHeight="1">
      <c r="A101" s="35">
        <v>93</v>
      </c>
      <c r="B101" s="227"/>
      <c r="C101" s="224">
        <v>1</v>
      </c>
      <c r="D101" s="1821" t="s">
        <v>137</v>
      </c>
      <c r="E101" s="1822"/>
      <c r="F101" s="94"/>
      <c r="G101" s="94"/>
      <c r="H101" s="94"/>
      <c r="I101" s="94"/>
      <c r="J101" s="94"/>
      <c r="K101" s="94"/>
      <c r="L101" s="94"/>
      <c r="M101" s="94"/>
      <c r="N101" s="116"/>
      <c r="O101" s="243"/>
      <c r="P101" s="23"/>
    </row>
    <row r="102" spans="1:16" s="613" customFormat="1" ht="18" customHeight="1">
      <c r="A102" s="35">
        <v>94</v>
      </c>
      <c r="B102" s="598"/>
      <c r="C102" s="587"/>
      <c r="D102" s="588"/>
      <c r="E102" s="1052" t="s">
        <v>283</v>
      </c>
      <c r="F102" s="590"/>
      <c r="G102" s="590">
        <v>1054</v>
      </c>
      <c r="H102" s="590"/>
      <c r="I102" s="590"/>
      <c r="J102" s="590"/>
      <c r="K102" s="590"/>
      <c r="L102" s="590"/>
      <c r="M102" s="590"/>
      <c r="N102" s="591"/>
      <c r="O102" s="606">
        <f>SUM(F102:M102)</f>
        <v>1054</v>
      </c>
      <c r="P102" s="612"/>
    </row>
    <row r="103" spans="1:16" s="613" customFormat="1" ht="18" customHeight="1">
      <c r="A103" s="35">
        <v>95</v>
      </c>
      <c r="B103" s="598"/>
      <c r="C103" s="587"/>
      <c r="D103" s="588"/>
      <c r="E103" s="260" t="s">
        <v>757</v>
      </c>
      <c r="F103" s="590"/>
      <c r="G103" s="1045">
        <v>1755</v>
      </c>
      <c r="H103" s="1045"/>
      <c r="I103" s="1045"/>
      <c r="J103" s="1045"/>
      <c r="K103" s="1045"/>
      <c r="L103" s="1045"/>
      <c r="M103" s="1045"/>
      <c r="N103" s="1045"/>
      <c r="O103" s="243">
        <f>SUM(F103:M103)</f>
        <v>1755</v>
      </c>
      <c r="P103" s="612"/>
    </row>
    <row r="104" spans="1:16" s="613" customFormat="1" ht="18" customHeight="1">
      <c r="A104" s="35">
        <v>96</v>
      </c>
      <c r="B104" s="598"/>
      <c r="C104" s="587"/>
      <c r="D104" s="588"/>
      <c r="E104" s="1092" t="s">
        <v>893</v>
      </c>
      <c r="F104" s="590"/>
      <c r="G104" s="116">
        <v>1039</v>
      </c>
      <c r="H104" s="590"/>
      <c r="I104" s="590"/>
      <c r="J104" s="590"/>
      <c r="K104" s="590"/>
      <c r="L104" s="590"/>
      <c r="M104" s="590"/>
      <c r="N104" s="591"/>
      <c r="O104" s="864">
        <f>SUM(F104:M104)</f>
        <v>1039</v>
      </c>
      <c r="P104" s="612"/>
    </row>
    <row r="105" spans="1:16" s="31" customFormat="1" ht="18" customHeight="1">
      <c r="A105" s="35">
        <v>97</v>
      </c>
      <c r="B105" s="223"/>
      <c r="C105" s="224">
        <v>2</v>
      </c>
      <c r="D105" s="1819" t="s">
        <v>537</v>
      </c>
      <c r="E105" s="1820"/>
      <c r="F105" s="94"/>
      <c r="G105" s="94"/>
      <c r="H105" s="94"/>
      <c r="I105" s="94"/>
      <c r="J105" s="94"/>
      <c r="K105" s="94"/>
      <c r="L105" s="94"/>
      <c r="M105" s="94"/>
      <c r="N105" s="116"/>
      <c r="O105" s="243"/>
      <c r="P105" s="22"/>
    </row>
    <row r="106" spans="1:15" s="593" customFormat="1" ht="18" customHeight="1">
      <c r="A106" s="35">
        <v>98</v>
      </c>
      <c r="B106" s="598"/>
      <c r="C106" s="599"/>
      <c r="D106" s="600"/>
      <c r="E106" s="622" t="s">
        <v>283</v>
      </c>
      <c r="F106" s="601"/>
      <c r="G106" s="601"/>
      <c r="H106" s="601">
        <v>4099</v>
      </c>
      <c r="I106" s="601"/>
      <c r="J106" s="601"/>
      <c r="K106" s="601"/>
      <c r="L106" s="601">
        <v>2602</v>
      </c>
      <c r="M106" s="601"/>
      <c r="N106" s="602"/>
      <c r="O106" s="603">
        <f>SUM(F106:M106)</f>
        <v>6701</v>
      </c>
    </row>
    <row r="107" spans="1:15" s="593" customFormat="1" ht="18" customHeight="1">
      <c r="A107" s="35">
        <v>99</v>
      </c>
      <c r="B107" s="598"/>
      <c r="C107" s="599"/>
      <c r="D107" s="600"/>
      <c r="E107" s="260" t="s">
        <v>757</v>
      </c>
      <c r="F107" s="601"/>
      <c r="G107" s="601"/>
      <c r="H107" s="1095">
        <v>4099</v>
      </c>
      <c r="I107" s="1095"/>
      <c r="J107" s="1095"/>
      <c r="K107" s="1095"/>
      <c r="L107" s="1095">
        <v>2602</v>
      </c>
      <c r="M107" s="1095"/>
      <c r="N107" s="1378"/>
      <c r="O107" s="1379">
        <f>SUM(F107:M107)</f>
        <v>6701</v>
      </c>
    </row>
    <row r="108" spans="1:15" s="593" customFormat="1" ht="18" customHeight="1">
      <c r="A108" s="35">
        <v>100</v>
      </c>
      <c r="B108" s="598"/>
      <c r="C108" s="599"/>
      <c r="D108" s="600"/>
      <c r="E108" s="1092" t="s">
        <v>893</v>
      </c>
      <c r="F108" s="601"/>
      <c r="G108" s="601"/>
      <c r="H108" s="601"/>
      <c r="I108" s="601"/>
      <c r="J108" s="601"/>
      <c r="K108" s="601"/>
      <c r="L108" s="1478">
        <v>2602</v>
      </c>
      <c r="M108" s="601"/>
      <c r="N108" s="602"/>
      <c r="O108" s="864">
        <f>SUM(F108:M108)</f>
        <v>2602</v>
      </c>
    </row>
    <row r="109" spans="1:15" s="111" customFormat="1" ht="22.5" customHeight="1">
      <c r="A109" s="35">
        <v>101</v>
      </c>
      <c r="B109" s="223">
        <v>15</v>
      </c>
      <c r="C109" s="224"/>
      <c r="D109" s="1819" t="s">
        <v>142</v>
      </c>
      <c r="E109" s="1820"/>
      <c r="F109" s="232"/>
      <c r="G109" s="232"/>
      <c r="H109" s="232"/>
      <c r="I109" s="232"/>
      <c r="J109" s="232"/>
      <c r="K109" s="232"/>
      <c r="L109" s="232"/>
      <c r="M109" s="232"/>
      <c r="N109" s="233"/>
      <c r="O109" s="234"/>
    </row>
    <row r="110" spans="1:15" s="595" customFormat="1" ht="18" customHeight="1">
      <c r="A110" s="35">
        <v>102</v>
      </c>
      <c r="B110" s="586"/>
      <c r="C110" s="599"/>
      <c r="D110" s="600"/>
      <c r="E110" s="621" t="s">
        <v>283</v>
      </c>
      <c r="F110" s="614">
        <v>127760</v>
      </c>
      <c r="G110" s="614">
        <v>55000</v>
      </c>
      <c r="H110" s="614"/>
      <c r="I110" s="614"/>
      <c r="J110" s="614"/>
      <c r="K110" s="614"/>
      <c r="L110" s="614">
        <v>15204</v>
      </c>
      <c r="M110" s="614">
        <v>549188</v>
      </c>
      <c r="N110" s="615">
        <v>375129</v>
      </c>
      <c r="O110" s="607">
        <f>SUM(F110:M110)</f>
        <v>747152</v>
      </c>
    </row>
    <row r="111" spans="1:15" s="595" customFormat="1" ht="18" customHeight="1">
      <c r="A111" s="35">
        <v>103</v>
      </c>
      <c r="B111" s="586"/>
      <c r="C111" s="599"/>
      <c r="D111" s="600"/>
      <c r="E111" s="260" t="s">
        <v>757</v>
      </c>
      <c r="F111" s="1041">
        <v>127760</v>
      </c>
      <c r="G111" s="1041">
        <v>141364</v>
      </c>
      <c r="H111" s="1041"/>
      <c r="I111" s="1041"/>
      <c r="J111" s="1041"/>
      <c r="K111" s="1041"/>
      <c r="L111" s="1041">
        <v>132781</v>
      </c>
      <c r="M111" s="1041">
        <v>549188</v>
      </c>
      <c r="N111" s="1375">
        <v>375129</v>
      </c>
      <c r="O111" s="1380">
        <f>SUM(F111:M111)</f>
        <v>951093</v>
      </c>
    </row>
    <row r="112" spans="1:15" s="595" customFormat="1" ht="18" customHeight="1" thickBot="1">
      <c r="A112" s="35">
        <v>104</v>
      </c>
      <c r="B112" s="586"/>
      <c r="C112" s="587"/>
      <c r="D112" s="1305"/>
      <c r="E112" s="1092" t="s">
        <v>892</v>
      </c>
      <c r="F112" s="230">
        <v>26186</v>
      </c>
      <c r="G112" s="230">
        <v>87116</v>
      </c>
      <c r="H112" s="608"/>
      <c r="I112" s="608"/>
      <c r="J112" s="608"/>
      <c r="K112" s="608"/>
      <c r="L112" s="230">
        <v>132781</v>
      </c>
      <c r="M112" s="230">
        <v>244554</v>
      </c>
      <c r="N112" s="230">
        <v>244554</v>
      </c>
      <c r="O112" s="864">
        <f>SUM(F112:M112)</f>
        <v>490637</v>
      </c>
    </row>
    <row r="113" spans="1:15" s="111" customFormat="1" ht="22.5" customHeight="1" thickTop="1">
      <c r="A113" s="35">
        <v>105</v>
      </c>
      <c r="B113" s="225"/>
      <c r="C113" s="1825" t="s">
        <v>426</v>
      </c>
      <c r="D113" s="1826"/>
      <c r="E113" s="1827"/>
      <c r="F113" s="1770"/>
      <c r="G113" s="584"/>
      <c r="H113" s="584"/>
      <c r="I113" s="584"/>
      <c r="J113" s="584"/>
      <c r="K113" s="584"/>
      <c r="L113" s="584"/>
      <c r="M113" s="584"/>
      <c r="N113" s="584"/>
      <c r="O113" s="585"/>
    </row>
    <row r="114" spans="1:15" s="595" customFormat="1" ht="18" customHeight="1">
      <c r="A114" s="35">
        <v>106</v>
      </c>
      <c r="B114" s="586"/>
      <c r="C114" s="599"/>
      <c r="D114" s="600"/>
      <c r="E114" s="621" t="s">
        <v>283</v>
      </c>
      <c r="F114" s="614">
        <f aca="true" t="shared" si="6" ref="F114:N114">SUM(F63,F67,F74,F82,F86,F90,F98,F102,F110,F78,F94,F106)</f>
        <v>409742</v>
      </c>
      <c r="G114" s="614">
        <f t="shared" si="6"/>
        <v>149773</v>
      </c>
      <c r="H114" s="614">
        <f t="shared" si="6"/>
        <v>4569</v>
      </c>
      <c r="I114" s="614">
        <f t="shared" si="6"/>
        <v>0</v>
      </c>
      <c r="J114" s="614">
        <f t="shared" si="6"/>
        <v>4050</v>
      </c>
      <c r="K114" s="614">
        <f t="shared" si="6"/>
        <v>0</v>
      </c>
      <c r="L114" s="614">
        <f t="shared" si="6"/>
        <v>101659</v>
      </c>
      <c r="M114" s="614">
        <f t="shared" si="6"/>
        <v>1670283</v>
      </c>
      <c r="N114" s="614">
        <f t="shared" si="6"/>
        <v>880069</v>
      </c>
      <c r="O114" s="607">
        <f>SUM(F114:M114)</f>
        <v>2340076</v>
      </c>
    </row>
    <row r="115" spans="1:15" s="595" customFormat="1" ht="18" customHeight="1">
      <c r="A115" s="35">
        <v>107</v>
      </c>
      <c r="B115" s="1089"/>
      <c r="C115" s="599"/>
      <c r="D115" s="600"/>
      <c r="E115" s="260" t="s">
        <v>757</v>
      </c>
      <c r="F115" s="1041">
        <f aca="true" t="shared" si="7" ref="F115:N115">SUM(F64,F68,F75,F83,F87,F91,F99,F103,F111,F79,F95,F107,F71)</f>
        <v>366213</v>
      </c>
      <c r="G115" s="1041">
        <f t="shared" si="7"/>
        <v>277474</v>
      </c>
      <c r="H115" s="1041">
        <f t="shared" si="7"/>
        <v>22127</v>
      </c>
      <c r="I115" s="1041">
        <f t="shared" si="7"/>
        <v>0</v>
      </c>
      <c r="J115" s="1041">
        <f t="shared" si="7"/>
        <v>5368</v>
      </c>
      <c r="K115" s="1041">
        <f t="shared" si="7"/>
        <v>19048</v>
      </c>
      <c r="L115" s="1041">
        <f t="shared" si="7"/>
        <v>298991</v>
      </c>
      <c r="M115" s="1041">
        <f t="shared" si="7"/>
        <v>1681936</v>
      </c>
      <c r="N115" s="1041">
        <f t="shared" si="7"/>
        <v>882086</v>
      </c>
      <c r="O115" s="1380">
        <f>SUM(F115:M115)</f>
        <v>2671157</v>
      </c>
    </row>
    <row r="116" spans="1:15" s="595" customFormat="1" ht="18" customHeight="1" thickBot="1">
      <c r="A116" s="35">
        <v>108</v>
      </c>
      <c r="B116" s="1089"/>
      <c r="C116" s="604"/>
      <c r="D116" s="1357"/>
      <c r="E116" s="1588" t="s">
        <v>893</v>
      </c>
      <c r="F116" s="1589">
        <f aca="true" t="shared" si="8" ref="F116:N116">SUM(F65:F65,F69,F76:F76,F80,F84:F84,F88,F92:F92,F96,F100:F100,F104,F108,F112:F112)+F72</f>
        <v>149485</v>
      </c>
      <c r="G116" s="1589">
        <f t="shared" si="8"/>
        <v>157837</v>
      </c>
      <c r="H116" s="1589">
        <f t="shared" si="8"/>
        <v>18126</v>
      </c>
      <c r="I116" s="1589">
        <f t="shared" si="8"/>
        <v>111</v>
      </c>
      <c r="J116" s="1589">
        <f t="shared" si="8"/>
        <v>1318</v>
      </c>
      <c r="K116" s="1589">
        <f t="shared" si="8"/>
        <v>6613</v>
      </c>
      <c r="L116" s="1589">
        <f t="shared" si="8"/>
        <v>298991</v>
      </c>
      <c r="M116" s="1589">
        <f t="shared" si="8"/>
        <v>678487</v>
      </c>
      <c r="N116" s="1589">
        <f t="shared" si="8"/>
        <v>532304</v>
      </c>
      <c r="O116" s="1592">
        <f>SUM(F116:M116)</f>
        <v>1310968</v>
      </c>
    </row>
    <row r="117" spans="1:16" ht="22.5" customHeight="1" thickTop="1">
      <c r="A117" s="35">
        <v>109</v>
      </c>
      <c r="B117" s="237">
        <v>16</v>
      </c>
      <c r="C117" s="238"/>
      <c r="D117" s="1823" t="s">
        <v>251</v>
      </c>
      <c r="E117" s="1824"/>
      <c r="F117" s="1771"/>
      <c r="G117" s="249"/>
      <c r="H117" s="249"/>
      <c r="I117" s="249"/>
      <c r="J117" s="249"/>
      <c r="K117" s="249"/>
      <c r="L117" s="249"/>
      <c r="M117" s="249"/>
      <c r="N117" s="250"/>
      <c r="O117" s="251"/>
      <c r="P117" s="22"/>
    </row>
    <row r="118" spans="1:16" s="613" customFormat="1" ht="18" customHeight="1">
      <c r="A118" s="35">
        <v>110</v>
      </c>
      <c r="B118" s="620"/>
      <c r="C118" s="599"/>
      <c r="D118" s="600"/>
      <c r="E118" s="621" t="s">
        <v>283</v>
      </c>
      <c r="F118" s="614">
        <v>346280</v>
      </c>
      <c r="G118" s="614"/>
      <c r="H118" s="614"/>
      <c r="I118" s="614"/>
      <c r="J118" s="614"/>
      <c r="K118" s="614"/>
      <c r="L118" s="614">
        <v>58857</v>
      </c>
      <c r="M118" s="614">
        <v>794675</v>
      </c>
      <c r="N118" s="615">
        <v>336855</v>
      </c>
      <c r="O118" s="607">
        <f>SUM(F118:M118)</f>
        <v>1199812</v>
      </c>
      <c r="P118" s="612"/>
    </row>
    <row r="119" spans="1:16" s="613" customFormat="1" ht="18" customHeight="1">
      <c r="A119" s="35">
        <v>111</v>
      </c>
      <c r="B119" s="620"/>
      <c r="C119" s="599"/>
      <c r="D119" s="600"/>
      <c r="E119" s="260" t="s">
        <v>757</v>
      </c>
      <c r="F119" s="1041">
        <v>346280</v>
      </c>
      <c r="G119" s="1041"/>
      <c r="H119" s="1041"/>
      <c r="I119" s="1041"/>
      <c r="J119" s="1041"/>
      <c r="K119" s="1041"/>
      <c r="L119" s="1041">
        <v>192291</v>
      </c>
      <c r="M119" s="1041">
        <v>794675</v>
      </c>
      <c r="N119" s="1375">
        <v>340863</v>
      </c>
      <c r="O119" s="607">
        <f>SUM(F119:M119)</f>
        <v>1333246</v>
      </c>
      <c r="P119" s="612"/>
    </row>
    <row r="120" spans="1:16" s="613" customFormat="1" ht="18" customHeight="1" thickBot="1">
      <c r="A120" s="35">
        <v>112</v>
      </c>
      <c r="B120" s="586"/>
      <c r="C120" s="587"/>
      <c r="D120" s="1305"/>
      <c r="E120" s="1092" t="s">
        <v>892</v>
      </c>
      <c r="F120" s="230">
        <v>127517</v>
      </c>
      <c r="G120" s="608"/>
      <c r="H120" s="608"/>
      <c r="I120" s="608"/>
      <c r="J120" s="608"/>
      <c r="K120" s="608"/>
      <c r="L120" s="230">
        <v>192291</v>
      </c>
      <c r="M120" s="230">
        <v>98496</v>
      </c>
      <c r="N120" s="230">
        <v>177249</v>
      </c>
      <c r="O120" s="864">
        <f>SUM(F120:M120)</f>
        <v>418304</v>
      </c>
      <c r="P120" s="612"/>
    </row>
    <row r="121" spans="1:16" s="193" customFormat="1" ht="36" customHeight="1">
      <c r="A121" s="35">
        <v>113</v>
      </c>
      <c r="B121" s="1816" t="s">
        <v>143</v>
      </c>
      <c r="C121" s="1817"/>
      <c r="D121" s="1817"/>
      <c r="E121" s="1818"/>
      <c r="F121" s="616"/>
      <c r="G121" s="616"/>
      <c r="H121" s="616"/>
      <c r="I121" s="616"/>
      <c r="J121" s="616"/>
      <c r="K121" s="616"/>
      <c r="L121" s="616"/>
      <c r="M121" s="616"/>
      <c r="N121" s="617"/>
      <c r="O121" s="618"/>
      <c r="P121" s="23"/>
    </row>
    <row r="122" spans="1:16" s="613" customFormat="1" ht="18" customHeight="1">
      <c r="A122" s="35">
        <v>114</v>
      </c>
      <c r="B122" s="620"/>
      <c r="C122" s="599"/>
      <c r="D122" s="600"/>
      <c r="E122" s="621" t="s">
        <v>283</v>
      </c>
      <c r="F122" s="614">
        <f aca="true" t="shared" si="9" ref="F122:N122">SUM(F118,F114,F59,F40)</f>
        <v>853570</v>
      </c>
      <c r="G122" s="614">
        <f t="shared" si="9"/>
        <v>151275</v>
      </c>
      <c r="H122" s="614">
        <f t="shared" si="9"/>
        <v>4569</v>
      </c>
      <c r="I122" s="614">
        <f t="shared" si="9"/>
        <v>0</v>
      </c>
      <c r="J122" s="614">
        <f t="shared" si="9"/>
        <v>4050</v>
      </c>
      <c r="K122" s="614">
        <f t="shared" si="9"/>
        <v>0</v>
      </c>
      <c r="L122" s="614">
        <f t="shared" si="9"/>
        <v>332417</v>
      </c>
      <c r="M122" s="614">
        <f t="shared" si="9"/>
        <v>5599937</v>
      </c>
      <c r="N122" s="615">
        <f t="shared" si="9"/>
        <v>3558966</v>
      </c>
      <c r="O122" s="607">
        <f>SUM(F122:M122)</f>
        <v>6945818</v>
      </c>
      <c r="P122" s="612"/>
    </row>
    <row r="123" spans="1:16" s="613" customFormat="1" ht="18" customHeight="1">
      <c r="A123" s="35">
        <v>115</v>
      </c>
      <c r="B123" s="620"/>
      <c r="C123" s="599"/>
      <c r="D123" s="600"/>
      <c r="E123" s="260" t="s">
        <v>757</v>
      </c>
      <c r="F123" s="1041">
        <f aca="true" t="shared" si="10" ref="F123:N123">SUM(F119,F115,F60,F41)</f>
        <v>810620</v>
      </c>
      <c r="G123" s="1041">
        <f t="shared" si="10"/>
        <v>295156</v>
      </c>
      <c r="H123" s="1041">
        <f t="shared" si="10"/>
        <v>22127</v>
      </c>
      <c r="I123" s="1041">
        <f t="shared" si="10"/>
        <v>0</v>
      </c>
      <c r="J123" s="1041">
        <f t="shared" si="10"/>
        <v>6039</v>
      </c>
      <c r="K123" s="1041">
        <f t="shared" si="10"/>
        <v>19048</v>
      </c>
      <c r="L123" s="1041">
        <f t="shared" si="10"/>
        <v>757775</v>
      </c>
      <c r="M123" s="1041">
        <f t="shared" si="10"/>
        <v>5671573</v>
      </c>
      <c r="N123" s="1041">
        <f t="shared" si="10"/>
        <v>3664671</v>
      </c>
      <c r="O123" s="607">
        <f>SUM(F123:M123)</f>
        <v>7582338</v>
      </c>
      <c r="P123" s="612"/>
    </row>
    <row r="124" spans="1:16" s="613" customFormat="1" ht="18" customHeight="1" thickBot="1">
      <c r="A124" s="35">
        <v>116</v>
      </c>
      <c r="B124" s="586"/>
      <c r="C124" s="587"/>
      <c r="D124" s="1305"/>
      <c r="E124" s="1092" t="s">
        <v>893</v>
      </c>
      <c r="F124" s="230">
        <f aca="true" t="shared" si="11" ref="F124:N124">F120+F116+F61+F42</f>
        <v>322338</v>
      </c>
      <c r="G124" s="230">
        <f t="shared" si="11"/>
        <v>165302</v>
      </c>
      <c r="H124" s="230">
        <f t="shared" si="11"/>
        <v>18126</v>
      </c>
      <c r="I124" s="230">
        <f t="shared" si="11"/>
        <v>111</v>
      </c>
      <c r="J124" s="230">
        <f t="shared" si="11"/>
        <v>1318</v>
      </c>
      <c r="K124" s="230">
        <f t="shared" si="11"/>
        <v>6613</v>
      </c>
      <c r="L124" s="230">
        <f t="shared" si="11"/>
        <v>757775</v>
      </c>
      <c r="M124" s="230">
        <f t="shared" si="11"/>
        <v>2100024</v>
      </c>
      <c r="N124" s="230">
        <f t="shared" si="11"/>
        <v>2019240</v>
      </c>
      <c r="O124" s="864">
        <f>SUM(F124:M124)</f>
        <v>3371607</v>
      </c>
      <c r="P124" s="612"/>
    </row>
    <row r="125" spans="1:16" ht="22.5" customHeight="1">
      <c r="A125" s="35">
        <v>117</v>
      </c>
      <c r="B125" s="219">
        <v>17</v>
      </c>
      <c r="C125" s="220"/>
      <c r="D125" s="1703" t="s">
        <v>144</v>
      </c>
      <c r="E125" s="1359"/>
      <c r="F125" s="1360"/>
      <c r="G125" s="481"/>
      <c r="H125" s="221"/>
      <c r="I125" s="221"/>
      <c r="J125" s="221"/>
      <c r="K125" s="221"/>
      <c r="L125" s="221"/>
      <c r="M125" s="221"/>
      <c r="N125" s="222"/>
      <c r="O125" s="246"/>
      <c r="P125" s="22"/>
    </row>
    <row r="126" spans="1:16" s="613" customFormat="1" ht="18" customHeight="1">
      <c r="A126" s="35">
        <v>118</v>
      </c>
      <c r="B126" s="620"/>
      <c r="C126" s="599"/>
      <c r="D126" s="1358"/>
      <c r="E126" s="621" t="s">
        <v>283</v>
      </c>
      <c r="F126" s="614">
        <v>4445</v>
      </c>
      <c r="G126" s="614">
        <v>16195</v>
      </c>
      <c r="H126" s="614"/>
      <c r="I126" s="614"/>
      <c r="J126" s="614"/>
      <c r="K126" s="614"/>
      <c r="L126" s="614">
        <v>81050</v>
      </c>
      <c r="M126" s="614">
        <f>1800194-12700</f>
        <v>1787494</v>
      </c>
      <c r="N126" s="615">
        <v>776793</v>
      </c>
      <c r="O126" s="607">
        <f>SUM(F126:M126)</f>
        <v>1889184</v>
      </c>
      <c r="P126" s="612"/>
    </row>
    <row r="127" spans="1:16" s="613" customFormat="1" ht="18" customHeight="1">
      <c r="A127" s="35">
        <v>119</v>
      </c>
      <c r="B127" s="620"/>
      <c r="C127" s="599"/>
      <c r="D127" s="1358"/>
      <c r="E127" s="260" t="s">
        <v>757</v>
      </c>
      <c r="F127" s="1041">
        <v>4445</v>
      </c>
      <c r="G127" s="1041">
        <v>0</v>
      </c>
      <c r="H127" s="1041"/>
      <c r="I127" s="1041"/>
      <c r="J127" s="1041"/>
      <c r="K127" s="1041"/>
      <c r="L127" s="1041">
        <v>457982</v>
      </c>
      <c r="M127" s="1041">
        <v>1835073</v>
      </c>
      <c r="N127" s="1375">
        <v>779205</v>
      </c>
      <c r="O127" s="1380">
        <f>SUM(F127:M127)</f>
        <v>2297500</v>
      </c>
      <c r="P127" s="612"/>
    </row>
    <row r="128" spans="1:16" s="613" customFormat="1" ht="18" customHeight="1" thickBot="1">
      <c r="A128" s="35">
        <v>120</v>
      </c>
      <c r="B128" s="620"/>
      <c r="C128" s="599"/>
      <c r="D128" s="1358"/>
      <c r="E128" s="1092" t="s">
        <v>892</v>
      </c>
      <c r="F128" s="1314">
        <f>4270</f>
        <v>4270</v>
      </c>
      <c r="G128" s="1772"/>
      <c r="H128" s="614"/>
      <c r="I128" s="614"/>
      <c r="J128" s="614"/>
      <c r="K128" s="614"/>
      <c r="L128" s="1314">
        <v>457982</v>
      </c>
      <c r="M128" s="1314">
        <v>381094</v>
      </c>
      <c r="N128" s="1314">
        <v>405187</v>
      </c>
      <c r="O128" s="864">
        <f>SUM(F128:M128)</f>
        <v>843346</v>
      </c>
      <c r="P128" s="612"/>
    </row>
    <row r="129" spans="1:16" s="193" customFormat="1" ht="36" customHeight="1">
      <c r="A129" s="35">
        <v>121</v>
      </c>
      <c r="B129" s="1838" t="s">
        <v>13</v>
      </c>
      <c r="C129" s="1839"/>
      <c r="D129" s="1839"/>
      <c r="E129" s="1840"/>
      <c r="F129" s="356"/>
      <c r="G129" s="356"/>
      <c r="H129" s="356"/>
      <c r="I129" s="356"/>
      <c r="J129" s="356"/>
      <c r="K129" s="356"/>
      <c r="L129" s="356"/>
      <c r="M129" s="356"/>
      <c r="N129" s="619"/>
      <c r="O129" s="618"/>
      <c r="P129" s="23"/>
    </row>
    <row r="130" spans="1:16" s="613" customFormat="1" ht="18" customHeight="1">
      <c r="A130" s="35">
        <v>122</v>
      </c>
      <c r="B130" s="620"/>
      <c r="C130" s="599"/>
      <c r="D130" s="1358"/>
      <c r="E130" s="622" t="s">
        <v>283</v>
      </c>
      <c r="F130" s="614">
        <f aca="true" t="shared" si="12" ref="F130:N130">SUM(F122,F126)</f>
        <v>858015</v>
      </c>
      <c r="G130" s="614">
        <f t="shared" si="12"/>
        <v>167470</v>
      </c>
      <c r="H130" s="614">
        <f t="shared" si="12"/>
        <v>4569</v>
      </c>
      <c r="I130" s="614">
        <f t="shared" si="12"/>
        <v>0</v>
      </c>
      <c r="J130" s="614">
        <f t="shared" si="12"/>
        <v>4050</v>
      </c>
      <c r="K130" s="614">
        <f t="shared" si="12"/>
        <v>0</v>
      </c>
      <c r="L130" s="614">
        <f t="shared" si="12"/>
        <v>413467</v>
      </c>
      <c r="M130" s="614">
        <f t="shared" si="12"/>
        <v>7387431</v>
      </c>
      <c r="N130" s="615">
        <f t="shared" si="12"/>
        <v>4335759</v>
      </c>
      <c r="O130" s="607">
        <f>SUM(F130:M130)</f>
        <v>8835002</v>
      </c>
      <c r="P130" s="612"/>
    </row>
    <row r="131" spans="1:16" s="613" customFormat="1" ht="18" customHeight="1">
      <c r="A131" s="35">
        <v>123</v>
      </c>
      <c r="B131" s="620"/>
      <c r="C131" s="599"/>
      <c r="D131" s="1358"/>
      <c r="E131" s="260" t="s">
        <v>757</v>
      </c>
      <c r="F131" s="1041">
        <f aca="true" t="shared" si="13" ref="F131:N131">SUM(F123,F127)</f>
        <v>815065</v>
      </c>
      <c r="G131" s="1041">
        <f t="shared" si="13"/>
        <v>295156</v>
      </c>
      <c r="H131" s="1041">
        <f t="shared" si="13"/>
        <v>22127</v>
      </c>
      <c r="I131" s="1041">
        <f t="shared" si="13"/>
        <v>0</v>
      </c>
      <c r="J131" s="1041">
        <f t="shared" si="13"/>
        <v>6039</v>
      </c>
      <c r="K131" s="1041">
        <f t="shared" si="13"/>
        <v>19048</v>
      </c>
      <c r="L131" s="1041">
        <f t="shared" si="13"/>
        <v>1215757</v>
      </c>
      <c r="M131" s="1041">
        <f t="shared" si="13"/>
        <v>7506646</v>
      </c>
      <c r="N131" s="1041">
        <f t="shared" si="13"/>
        <v>4443876</v>
      </c>
      <c r="O131" s="1380">
        <f>SUM(F131:M131)</f>
        <v>9879838</v>
      </c>
      <c r="P131" s="612"/>
    </row>
    <row r="132" spans="1:16" s="613" customFormat="1" ht="18" customHeight="1" thickBot="1">
      <c r="A132" s="35">
        <v>124</v>
      </c>
      <c r="B132" s="1746"/>
      <c r="C132" s="1747"/>
      <c r="D132" s="1748"/>
      <c r="E132" s="1613" t="s">
        <v>893</v>
      </c>
      <c r="F132" s="1749">
        <f>+F124+F128</f>
        <v>326608</v>
      </c>
      <c r="G132" s="1749">
        <f aca="true" t="shared" si="14" ref="G132:N132">+G124+G128</f>
        <v>165302</v>
      </c>
      <c r="H132" s="1749">
        <f t="shared" si="14"/>
        <v>18126</v>
      </c>
      <c r="I132" s="1749">
        <f t="shared" si="14"/>
        <v>111</v>
      </c>
      <c r="J132" s="1749">
        <f t="shared" si="14"/>
        <v>1318</v>
      </c>
      <c r="K132" s="1749">
        <f t="shared" si="14"/>
        <v>6613</v>
      </c>
      <c r="L132" s="1749">
        <f t="shared" si="14"/>
        <v>1215757</v>
      </c>
      <c r="M132" s="1749">
        <f t="shared" si="14"/>
        <v>2481118</v>
      </c>
      <c r="N132" s="1749">
        <f t="shared" si="14"/>
        <v>2424427</v>
      </c>
      <c r="O132" s="1750">
        <f>SUM(F132:M132)</f>
        <v>4214953</v>
      </c>
      <c r="P132" s="612"/>
    </row>
  </sheetData>
  <sheetProtection/>
  <mergeCells count="47">
    <mergeCell ref="B129:E129"/>
    <mergeCell ref="L7:L8"/>
    <mergeCell ref="B7:B8"/>
    <mergeCell ref="C39:E39"/>
    <mergeCell ref="C58:E58"/>
    <mergeCell ref="C7:C8"/>
    <mergeCell ref="D7:E8"/>
    <mergeCell ref="F7:H7"/>
    <mergeCell ref="D10:E10"/>
    <mergeCell ref="D14:E14"/>
    <mergeCell ref="D15:E15"/>
    <mergeCell ref="D19:E19"/>
    <mergeCell ref="D20:E20"/>
    <mergeCell ref="D24:E24"/>
    <mergeCell ref="D25:E25"/>
    <mergeCell ref="D29:E29"/>
    <mergeCell ref="B1:M1"/>
    <mergeCell ref="M7:N7"/>
    <mergeCell ref="O7:O8"/>
    <mergeCell ref="I7:K7"/>
    <mergeCell ref="B2:E2"/>
    <mergeCell ref="B3:O3"/>
    <mergeCell ref="B4:O4"/>
    <mergeCell ref="N5:O5"/>
    <mergeCell ref="D6:E6"/>
    <mergeCell ref="D30:E30"/>
    <mergeCell ref="D34:E34"/>
    <mergeCell ref="D35:E35"/>
    <mergeCell ref="D43:E43"/>
    <mergeCell ref="D47:E47"/>
    <mergeCell ref="D51:E51"/>
    <mergeCell ref="D62:E62"/>
    <mergeCell ref="D66:E66"/>
    <mergeCell ref="D73:E73"/>
    <mergeCell ref="D70:E70"/>
    <mergeCell ref="B121:E121"/>
    <mergeCell ref="D77:E77"/>
    <mergeCell ref="D81:E81"/>
    <mergeCell ref="D85:E85"/>
    <mergeCell ref="D89:E89"/>
    <mergeCell ref="D117:E117"/>
    <mergeCell ref="D93:E93"/>
    <mergeCell ref="D97:E97"/>
    <mergeCell ref="D101:E101"/>
    <mergeCell ref="D105:E105"/>
    <mergeCell ref="D109:E109"/>
    <mergeCell ref="C113:E113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74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SheetLayoutView="100" zoomScalePageLayoutView="0" workbookViewId="0" topLeftCell="A1">
      <selection activeCell="B2" sqref="B2:D2"/>
    </sheetView>
  </sheetViews>
  <sheetFormatPr defaultColWidth="9.125" defaultRowHeight="12.75"/>
  <cols>
    <col min="1" max="1" width="3.75390625" style="103" customWidth="1"/>
    <col min="2" max="3" width="5.75390625" style="192" customWidth="1"/>
    <col min="4" max="4" width="58.75390625" style="192" customWidth="1"/>
    <col min="5" max="7" width="10.75390625" style="192" customWidth="1"/>
    <col min="8" max="8" width="13.75390625" style="192" customWidth="1"/>
    <col min="9" max="16384" width="9.125" style="192" customWidth="1"/>
  </cols>
  <sheetData>
    <row r="1" spans="2:13" ht="38.25" customHeight="1">
      <c r="B1" s="1851" t="s">
        <v>720</v>
      </c>
      <c r="C1" s="1851"/>
      <c r="D1" s="1851"/>
      <c r="E1" s="1851"/>
      <c r="F1" s="1851"/>
      <c r="G1" s="1851"/>
      <c r="H1" s="1851"/>
      <c r="I1" s="1303"/>
      <c r="J1" s="1303"/>
      <c r="K1" s="1303"/>
      <c r="L1" s="1303"/>
      <c r="M1" s="1303"/>
    </row>
    <row r="2" spans="1:8" s="205" customFormat="1" ht="18" customHeight="1">
      <c r="A2" s="196"/>
      <c r="B2" s="1834" t="s">
        <v>721</v>
      </c>
      <c r="C2" s="1834"/>
      <c r="D2" s="1834"/>
      <c r="E2" s="498"/>
      <c r="F2" s="498"/>
      <c r="G2" s="498"/>
      <c r="H2" s="347"/>
    </row>
    <row r="3" spans="1:8" s="205" customFormat="1" ht="24.75" customHeight="1">
      <c r="A3" s="35"/>
      <c r="B3" s="1835" t="s">
        <v>127</v>
      </c>
      <c r="C3" s="1835"/>
      <c r="D3" s="1835"/>
      <c r="E3" s="1835"/>
      <c r="F3" s="1835"/>
      <c r="G3" s="1835"/>
      <c r="H3" s="1835"/>
    </row>
    <row r="4" spans="1:8" s="205" customFormat="1" ht="24.75" customHeight="1">
      <c r="A4" s="35"/>
      <c r="B4" s="1835" t="s">
        <v>538</v>
      </c>
      <c r="C4" s="1835"/>
      <c r="D4" s="1835"/>
      <c r="E4" s="1835"/>
      <c r="F4" s="1835"/>
      <c r="G4" s="1835"/>
      <c r="H4" s="1835"/>
    </row>
    <row r="5" spans="1:8" ht="18" customHeight="1">
      <c r="A5" s="35"/>
      <c r="B5" s="24"/>
      <c r="C5" s="22"/>
      <c r="D5" s="22"/>
      <c r="E5" s="22"/>
      <c r="F5" s="22"/>
      <c r="G5" s="22"/>
      <c r="H5" s="790" t="s">
        <v>0</v>
      </c>
    </row>
    <row r="6" spans="2:8" s="35" customFormat="1" ht="18" customHeight="1" thickBot="1">
      <c r="B6" s="35" t="s">
        <v>1</v>
      </c>
      <c r="C6" s="35" t="s">
        <v>3</v>
      </c>
      <c r="D6" s="35" t="s">
        <v>2</v>
      </c>
      <c r="E6" s="35" t="s">
        <v>4</v>
      </c>
      <c r="F6" s="35" t="s">
        <v>5</v>
      </c>
      <c r="G6" s="35" t="s">
        <v>15</v>
      </c>
      <c r="H6" s="35" t="s">
        <v>16</v>
      </c>
    </row>
    <row r="7" spans="1:8" s="24" customFormat="1" ht="30" customHeight="1">
      <c r="A7" s="35"/>
      <c r="B7" s="1842" t="s">
        <v>18</v>
      </c>
      <c r="C7" s="1860" t="s">
        <v>19</v>
      </c>
      <c r="D7" s="1862" t="s">
        <v>6</v>
      </c>
      <c r="E7" s="1852" t="s">
        <v>539</v>
      </c>
      <c r="F7" s="1864" t="s">
        <v>535</v>
      </c>
      <c r="G7" s="1852" t="s">
        <v>613</v>
      </c>
      <c r="H7" s="1832" t="s">
        <v>540</v>
      </c>
    </row>
    <row r="8" spans="1:8" ht="60.75" customHeight="1" thickBot="1">
      <c r="A8" s="35"/>
      <c r="B8" s="1843"/>
      <c r="C8" s="1861"/>
      <c r="D8" s="1863"/>
      <c r="E8" s="1853"/>
      <c r="F8" s="1865"/>
      <c r="G8" s="1853"/>
      <c r="H8" s="1833"/>
    </row>
    <row r="9" spans="1:8" ht="29.25" customHeight="1">
      <c r="A9" s="35">
        <v>1</v>
      </c>
      <c r="B9" s="486">
        <v>1</v>
      </c>
      <c r="C9" s="255"/>
      <c r="D9" s="623" t="s">
        <v>311</v>
      </c>
      <c r="E9" s="239">
        <v>4440</v>
      </c>
      <c r="F9" s="239">
        <v>4940</v>
      </c>
      <c r="G9" s="239">
        <v>3634</v>
      </c>
      <c r="H9" s="248">
        <v>4343</v>
      </c>
    </row>
    <row r="10" spans="1:8" ht="30" customHeight="1">
      <c r="A10" s="35">
        <v>2</v>
      </c>
      <c r="B10" s="482">
        <v>2</v>
      </c>
      <c r="C10" s="226"/>
      <c r="D10" s="623" t="s">
        <v>409</v>
      </c>
      <c r="E10" s="229">
        <v>8462</v>
      </c>
      <c r="F10" s="229">
        <v>9516</v>
      </c>
      <c r="G10" s="229">
        <v>6016</v>
      </c>
      <c r="H10" s="242">
        <v>8467</v>
      </c>
    </row>
    <row r="11" spans="1:8" ht="30" customHeight="1">
      <c r="A11" s="35">
        <v>3</v>
      </c>
      <c r="B11" s="482">
        <v>3</v>
      </c>
      <c r="C11" s="226"/>
      <c r="D11" s="623" t="s">
        <v>410</v>
      </c>
      <c r="E11" s="229">
        <v>15398</v>
      </c>
      <c r="F11" s="229">
        <v>17581</v>
      </c>
      <c r="G11" s="229">
        <v>9514</v>
      </c>
      <c r="H11" s="242">
        <v>12371</v>
      </c>
    </row>
    <row r="12" spans="1:8" ht="30" customHeight="1">
      <c r="A12" s="35">
        <v>4</v>
      </c>
      <c r="B12" s="482">
        <v>4</v>
      </c>
      <c r="C12" s="226"/>
      <c r="D12" s="623" t="s">
        <v>411</v>
      </c>
      <c r="E12" s="229">
        <v>10994</v>
      </c>
      <c r="F12" s="229">
        <v>10020</v>
      </c>
      <c r="G12" s="229">
        <v>8264</v>
      </c>
      <c r="H12" s="242">
        <v>12961</v>
      </c>
    </row>
    <row r="13" spans="1:8" ht="30" customHeight="1">
      <c r="A13" s="35">
        <v>5</v>
      </c>
      <c r="B13" s="482">
        <v>5</v>
      </c>
      <c r="C13" s="226"/>
      <c r="D13" s="623" t="s">
        <v>412</v>
      </c>
      <c r="E13" s="229">
        <v>17279</v>
      </c>
      <c r="F13" s="229">
        <v>18635</v>
      </c>
      <c r="G13" s="229">
        <v>14426</v>
      </c>
      <c r="H13" s="242">
        <v>17622</v>
      </c>
    </row>
    <row r="14" spans="1:8" ht="30" customHeight="1" thickBot="1">
      <c r="A14" s="35">
        <v>6</v>
      </c>
      <c r="B14" s="482">
        <v>6</v>
      </c>
      <c r="C14" s="252"/>
      <c r="D14" s="624" t="s">
        <v>312</v>
      </c>
      <c r="E14" s="253">
        <v>4464</v>
      </c>
      <c r="F14" s="253">
        <v>5441</v>
      </c>
      <c r="G14" s="253">
        <v>5191</v>
      </c>
      <c r="H14" s="254">
        <v>5471</v>
      </c>
    </row>
    <row r="15" spans="1:8" s="245" customFormat="1" ht="30" customHeight="1" thickBot="1">
      <c r="A15" s="35">
        <v>7</v>
      </c>
      <c r="B15" s="483"/>
      <c r="C15" s="341"/>
      <c r="D15" s="626" t="s">
        <v>424</v>
      </c>
      <c r="E15" s="341">
        <f>SUM(E9:E14)</f>
        <v>61037</v>
      </c>
      <c r="F15" s="341">
        <f>SUM(F9:F14)</f>
        <v>66133</v>
      </c>
      <c r="G15" s="341">
        <f>SUM(G9:G14)</f>
        <v>47045</v>
      </c>
      <c r="H15" s="497">
        <f>SUM(H9:H14)</f>
        <v>61235</v>
      </c>
    </row>
    <row r="16" spans="1:8" ht="30" customHeight="1">
      <c r="A16" s="35">
        <v>8</v>
      </c>
      <c r="B16" s="482">
        <v>7</v>
      </c>
      <c r="C16" s="255"/>
      <c r="D16" s="625" t="s">
        <v>296</v>
      </c>
      <c r="E16" s="239">
        <v>23407</v>
      </c>
      <c r="F16" s="239">
        <v>21777</v>
      </c>
      <c r="G16" s="239">
        <v>21493</v>
      </c>
      <c r="H16" s="248">
        <v>20992</v>
      </c>
    </row>
    <row r="17" spans="1:8" ht="30" customHeight="1">
      <c r="A17" s="35">
        <v>9</v>
      </c>
      <c r="B17" s="482">
        <v>8</v>
      </c>
      <c r="C17" s="252"/>
      <c r="D17" s="623" t="s">
        <v>113</v>
      </c>
      <c r="E17" s="253">
        <v>15109</v>
      </c>
      <c r="F17" s="253">
        <v>13800</v>
      </c>
      <c r="G17" s="253">
        <v>9656</v>
      </c>
      <c r="H17" s="254">
        <v>14100</v>
      </c>
    </row>
    <row r="18" spans="1:8" ht="30" customHeight="1" thickBot="1">
      <c r="A18" s="35">
        <v>10</v>
      </c>
      <c r="B18" s="482">
        <v>9</v>
      </c>
      <c r="C18" s="252"/>
      <c r="D18" s="624" t="s">
        <v>376</v>
      </c>
      <c r="E18" s="253">
        <v>2909</v>
      </c>
      <c r="F18" s="253">
        <v>1800</v>
      </c>
      <c r="G18" s="253">
        <v>2937</v>
      </c>
      <c r="H18" s="254">
        <v>1800</v>
      </c>
    </row>
    <row r="19" spans="1:8" s="245" customFormat="1" ht="30" customHeight="1" thickBot="1">
      <c r="A19" s="35">
        <v>11</v>
      </c>
      <c r="B19" s="483"/>
      <c r="C19" s="341"/>
      <c r="D19" s="626" t="s">
        <v>425</v>
      </c>
      <c r="E19" s="341">
        <f>SUM(E16:E18)</f>
        <v>41425</v>
      </c>
      <c r="F19" s="341">
        <f>SUM(F16:F18)</f>
        <v>37377</v>
      </c>
      <c r="G19" s="341">
        <f>SUM(G16:G18)</f>
        <v>34086</v>
      </c>
      <c r="H19" s="497">
        <f>SUM(H16:H18)</f>
        <v>36892</v>
      </c>
    </row>
    <row r="20" spans="1:8" ht="30" customHeight="1">
      <c r="A20" s="35">
        <v>12</v>
      </c>
      <c r="B20" s="482">
        <v>10</v>
      </c>
      <c r="C20" s="255"/>
      <c r="D20" s="577" t="s">
        <v>378</v>
      </c>
      <c r="E20" s="239">
        <v>43824</v>
      </c>
      <c r="F20" s="239">
        <v>39412</v>
      </c>
      <c r="G20" s="239">
        <v>24647</v>
      </c>
      <c r="H20" s="248">
        <v>35916</v>
      </c>
    </row>
    <row r="21" spans="1:8" ht="30" customHeight="1">
      <c r="A21" s="35">
        <v>13</v>
      </c>
      <c r="B21" s="484">
        <v>11</v>
      </c>
      <c r="C21" s="226"/>
      <c r="D21" s="574" t="s">
        <v>370</v>
      </c>
      <c r="E21" s="229">
        <v>8889</v>
      </c>
      <c r="F21" s="229">
        <v>9529</v>
      </c>
      <c r="G21" s="229">
        <v>5799</v>
      </c>
      <c r="H21" s="242">
        <v>11431</v>
      </c>
    </row>
    <row r="22" spans="1:8" ht="30" customHeight="1">
      <c r="A22" s="35">
        <v>14</v>
      </c>
      <c r="B22" s="482">
        <v>12</v>
      </c>
      <c r="C22" s="226"/>
      <c r="D22" s="576" t="s">
        <v>24</v>
      </c>
      <c r="E22" s="229">
        <v>31157</v>
      </c>
      <c r="F22" s="229">
        <v>21200</v>
      </c>
      <c r="G22" s="229">
        <v>29249</v>
      </c>
      <c r="H22" s="242">
        <v>21200</v>
      </c>
    </row>
    <row r="23" spans="1:8" ht="30" customHeight="1">
      <c r="A23" s="35">
        <v>15</v>
      </c>
      <c r="B23" s="482">
        <v>13</v>
      </c>
      <c r="C23" s="226"/>
      <c r="D23" s="576" t="s">
        <v>31</v>
      </c>
      <c r="E23" s="229">
        <v>200194</v>
      </c>
      <c r="F23" s="229">
        <v>209389</v>
      </c>
      <c r="G23" s="229">
        <v>185069</v>
      </c>
      <c r="H23" s="242">
        <v>158594</v>
      </c>
    </row>
    <row r="24" spans="1:8" ht="30" customHeight="1">
      <c r="A24" s="35">
        <v>16</v>
      </c>
      <c r="B24" s="482">
        <v>14</v>
      </c>
      <c r="C24" s="228"/>
      <c r="D24" s="574" t="s">
        <v>371</v>
      </c>
      <c r="E24" s="229">
        <v>25393</v>
      </c>
      <c r="F24" s="229">
        <f>30270</f>
        <v>30270</v>
      </c>
      <c r="G24" s="229">
        <f>9171+228</f>
        <v>9399</v>
      </c>
      <c r="H24" s="242">
        <v>11312</v>
      </c>
    </row>
    <row r="25" spans="1:8" ht="30" customHeight="1" thickBot="1">
      <c r="A25" s="35">
        <v>17</v>
      </c>
      <c r="B25" s="482">
        <v>15</v>
      </c>
      <c r="C25" s="252"/>
      <c r="D25" s="575" t="s">
        <v>142</v>
      </c>
      <c r="E25" s="253">
        <v>303830</v>
      </c>
      <c r="F25" s="253">
        <v>205000</v>
      </c>
      <c r="G25" s="253">
        <v>122522</v>
      </c>
      <c r="H25" s="254">
        <v>127760</v>
      </c>
    </row>
    <row r="26" spans="1:8" s="245" customFormat="1" ht="30" customHeight="1" thickBot="1">
      <c r="A26" s="35">
        <v>18</v>
      </c>
      <c r="B26" s="483"/>
      <c r="C26" s="341"/>
      <c r="D26" s="626" t="s">
        <v>426</v>
      </c>
      <c r="E26" s="341">
        <f>SUM(E20:E25)</f>
        <v>613287</v>
      </c>
      <c r="F26" s="341">
        <f>SUM(F20:F25)</f>
        <v>514800</v>
      </c>
      <c r="G26" s="341">
        <f>SUM(G20:G25)</f>
        <v>376685</v>
      </c>
      <c r="H26" s="497">
        <f>SUM(H20:H25)</f>
        <v>366213</v>
      </c>
    </row>
    <row r="27" spans="1:8" s="31" customFormat="1" ht="30" customHeight="1" thickBot="1">
      <c r="A27" s="35">
        <v>19</v>
      </c>
      <c r="B27" s="487">
        <v>16</v>
      </c>
      <c r="C27" s="485"/>
      <c r="D27" s="627" t="s">
        <v>251</v>
      </c>
      <c r="E27" s="502">
        <v>386604</v>
      </c>
      <c r="F27" s="502">
        <v>410302</v>
      </c>
      <c r="G27" s="502">
        <v>289834</v>
      </c>
      <c r="H27" s="256">
        <v>346280</v>
      </c>
    </row>
    <row r="28" spans="1:10" ht="33" customHeight="1" thickBot="1">
      <c r="A28" s="35">
        <v>20</v>
      </c>
      <c r="B28" s="1854" t="s">
        <v>143</v>
      </c>
      <c r="C28" s="1855"/>
      <c r="D28" s="1856"/>
      <c r="E28" s="340">
        <f>SUM(E15,E19,E26,E27)</f>
        <v>1102353</v>
      </c>
      <c r="F28" s="340">
        <f>SUM(F15,F19,F26,F27)</f>
        <v>1028612</v>
      </c>
      <c r="G28" s="340">
        <f>SUM(G15,G19,G26,G27)</f>
        <v>747650</v>
      </c>
      <c r="H28" s="257">
        <f>SUM(H15,H19,H26,H27)</f>
        <v>810620</v>
      </c>
      <c r="I28" s="22"/>
      <c r="J28" s="22"/>
    </row>
    <row r="29" spans="1:10" ht="33" customHeight="1" thickBot="1">
      <c r="A29" s="35">
        <v>21</v>
      </c>
      <c r="B29" s="258">
        <v>17</v>
      </c>
      <c r="C29" s="488"/>
      <c r="D29" s="488" t="s">
        <v>144</v>
      </c>
      <c r="E29" s="502">
        <v>9526</v>
      </c>
      <c r="F29" s="502"/>
      <c r="G29" s="502">
        <v>7335</v>
      </c>
      <c r="H29" s="256">
        <v>4445</v>
      </c>
      <c r="I29" s="22"/>
      <c r="J29" s="22"/>
    </row>
    <row r="30" spans="1:10" ht="33" customHeight="1" thickBot="1" thickTop="1">
      <c r="A30" s="35">
        <v>22</v>
      </c>
      <c r="B30" s="1857" t="s">
        <v>13</v>
      </c>
      <c r="C30" s="1858"/>
      <c r="D30" s="1859"/>
      <c r="E30" s="503">
        <f>SUM(E28,E29)</f>
        <v>1111879</v>
      </c>
      <c r="F30" s="503">
        <f>SUM(F28,F29)</f>
        <v>1028612</v>
      </c>
      <c r="G30" s="503">
        <f>SUM(G28,G29)</f>
        <v>754985</v>
      </c>
      <c r="H30" s="259">
        <f>SUM(H28,H29)</f>
        <v>815065</v>
      </c>
      <c r="I30" s="22"/>
      <c r="J30" s="22"/>
    </row>
    <row r="31" spans="5:8" ht="12.75">
      <c r="E31" s="458">
        <f>+E30-'1.Onbe'!G32</f>
        <v>0</v>
      </c>
      <c r="F31" s="458">
        <f>+F30-'1.Onbe'!H32</f>
        <v>0</v>
      </c>
      <c r="G31" s="458">
        <f>+G30-'1.Onbe'!I32</f>
        <v>0</v>
      </c>
      <c r="H31" s="458" t="e">
        <f>+H30-'1.Onbe'!#REF!</f>
        <v>#REF!</v>
      </c>
    </row>
  </sheetData>
  <sheetProtection/>
  <mergeCells count="13">
    <mergeCell ref="B1:H1"/>
    <mergeCell ref="G7:G8"/>
    <mergeCell ref="H7:H8"/>
    <mergeCell ref="B28:D28"/>
    <mergeCell ref="B30:D30"/>
    <mergeCell ref="B2:D2"/>
    <mergeCell ref="B3:H3"/>
    <mergeCell ref="B4:H4"/>
    <mergeCell ref="B7:B8"/>
    <mergeCell ref="C7:C8"/>
    <mergeCell ref="D7:D8"/>
    <mergeCell ref="E7:E8"/>
    <mergeCell ref="F7:F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84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4"/>
  <sheetViews>
    <sheetView view="pageBreakPreview" zoomScaleSheetLayoutView="100" zoomScalePageLayoutView="0" workbookViewId="0" topLeftCell="G1">
      <selection activeCell="U240" sqref="U240"/>
    </sheetView>
  </sheetViews>
  <sheetFormatPr defaultColWidth="9.125" defaultRowHeight="12.75"/>
  <cols>
    <col min="1" max="1" width="3.75390625" style="35" customWidth="1"/>
    <col min="2" max="2" width="5.625" style="36" customWidth="1"/>
    <col min="3" max="3" width="5.75390625" style="36" customWidth="1"/>
    <col min="4" max="4" width="4.75390625" style="36" customWidth="1"/>
    <col min="5" max="5" width="60.75390625" style="27" customWidth="1"/>
    <col min="6" max="6" width="6.75390625" style="198" customWidth="1"/>
    <col min="7" max="9" width="10.75390625" style="199" customWidth="1"/>
    <col min="10" max="10" width="13.75390625" style="114" customWidth="1"/>
    <col min="11" max="18" width="14.75390625" style="199" customWidth="1"/>
    <col min="19" max="19" width="9.625" style="199" bestFit="1" customWidth="1"/>
    <col min="20" max="31" width="9.125" style="199" customWidth="1"/>
    <col min="32" max="16384" width="9.125" style="200" customWidth="1"/>
  </cols>
  <sheetData>
    <row r="1" spans="2:13" ht="17.25">
      <c r="B1" s="1877" t="s">
        <v>956</v>
      </c>
      <c r="C1" s="1877"/>
      <c r="D1" s="1877"/>
      <c r="E1" s="1877"/>
      <c r="F1" s="1877"/>
      <c r="G1" s="1877"/>
      <c r="H1" s="1877"/>
      <c r="I1" s="1877"/>
      <c r="J1" s="1877"/>
      <c r="K1" s="1877"/>
      <c r="L1" s="1877"/>
      <c r="M1" s="1877"/>
    </row>
    <row r="2" spans="1:31" s="498" customFormat="1" ht="18" customHeight="1">
      <c r="A2" s="35"/>
      <c r="B2" s="1834"/>
      <c r="C2" s="1834"/>
      <c r="D2" s="1834"/>
      <c r="E2" s="1834"/>
      <c r="F2" s="1834"/>
      <c r="G2" s="1834"/>
      <c r="H2" s="347"/>
      <c r="I2" s="347"/>
      <c r="J2" s="348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</row>
    <row r="3" spans="1:31" s="498" customFormat="1" ht="24.75" customHeight="1">
      <c r="A3" s="35"/>
      <c r="B3" s="1835" t="s">
        <v>127</v>
      </c>
      <c r="C3" s="1835"/>
      <c r="D3" s="1835"/>
      <c r="E3" s="1835"/>
      <c r="F3" s="1835"/>
      <c r="G3" s="1835"/>
      <c r="H3" s="1835"/>
      <c r="I3" s="1835"/>
      <c r="J3" s="1835"/>
      <c r="K3" s="1835"/>
      <c r="L3" s="1835"/>
      <c r="M3" s="1835"/>
      <c r="N3" s="1835"/>
      <c r="O3" s="1835"/>
      <c r="P3" s="1835"/>
      <c r="Q3" s="1835"/>
      <c r="R3" s="1835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</row>
    <row r="4" spans="1:31" s="498" customFormat="1" ht="24.75" customHeight="1">
      <c r="A4" s="35"/>
      <c r="B4" s="1835" t="s">
        <v>895</v>
      </c>
      <c r="C4" s="1835"/>
      <c r="D4" s="1835"/>
      <c r="E4" s="1835"/>
      <c r="F4" s="1835"/>
      <c r="G4" s="1835"/>
      <c r="H4" s="1835"/>
      <c r="I4" s="1835"/>
      <c r="J4" s="1835"/>
      <c r="K4" s="1835"/>
      <c r="L4" s="1835"/>
      <c r="M4" s="1835"/>
      <c r="N4" s="1835"/>
      <c r="O4" s="1835"/>
      <c r="P4" s="1835"/>
      <c r="Q4" s="1835"/>
      <c r="R4" s="1835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</row>
    <row r="5" spans="17:18" ht="18" customHeight="1">
      <c r="Q5" s="1896" t="s">
        <v>0</v>
      </c>
      <c r="R5" s="1896"/>
    </row>
    <row r="6" spans="2:18" s="35" customFormat="1" ht="18" customHeight="1" thickBot="1">
      <c r="B6" s="35" t="s">
        <v>1</v>
      </c>
      <c r="C6" s="35" t="s">
        <v>3</v>
      </c>
      <c r="D6" s="1837" t="s">
        <v>2</v>
      </c>
      <c r="E6" s="1837"/>
      <c r="F6" s="35" t="s">
        <v>4</v>
      </c>
      <c r="G6" s="35" t="s">
        <v>5</v>
      </c>
      <c r="H6" s="35" t="s">
        <v>15</v>
      </c>
      <c r="I6" s="35" t="s">
        <v>16</v>
      </c>
      <c r="J6" s="35" t="s">
        <v>17</v>
      </c>
      <c r="K6" s="35" t="s">
        <v>33</v>
      </c>
      <c r="L6" s="35" t="s">
        <v>29</v>
      </c>
      <c r="M6" s="35" t="s">
        <v>22</v>
      </c>
      <c r="N6" s="35" t="s">
        <v>34</v>
      </c>
      <c r="O6" s="35" t="s">
        <v>35</v>
      </c>
      <c r="P6" s="35" t="s">
        <v>145</v>
      </c>
      <c r="Q6" s="35" t="s">
        <v>146</v>
      </c>
      <c r="R6" s="35" t="s">
        <v>147</v>
      </c>
    </row>
    <row r="7" spans="1:18" s="198" customFormat="1" ht="30" customHeight="1">
      <c r="A7" s="35"/>
      <c r="B7" s="1842" t="s">
        <v>18</v>
      </c>
      <c r="C7" s="1860" t="s">
        <v>19</v>
      </c>
      <c r="D7" s="1846" t="s">
        <v>6</v>
      </c>
      <c r="E7" s="1898"/>
      <c r="F7" s="1900" t="s">
        <v>20</v>
      </c>
      <c r="G7" s="1852" t="s">
        <v>513</v>
      </c>
      <c r="H7" s="1852" t="s">
        <v>535</v>
      </c>
      <c r="I7" s="1902" t="s">
        <v>613</v>
      </c>
      <c r="J7" s="1904" t="s">
        <v>542</v>
      </c>
      <c r="K7" s="1907" t="s">
        <v>36</v>
      </c>
      <c r="L7" s="1908"/>
      <c r="M7" s="1908"/>
      <c r="N7" s="1908"/>
      <c r="O7" s="1909"/>
      <c r="P7" s="1897" t="s">
        <v>148</v>
      </c>
      <c r="Q7" s="1897"/>
      <c r="R7" s="1897"/>
    </row>
    <row r="8" spans="1:18" s="198" customFormat="1" ht="60.75" customHeight="1" thickBot="1">
      <c r="A8" s="35"/>
      <c r="B8" s="1843"/>
      <c r="C8" s="1906"/>
      <c r="D8" s="1848"/>
      <c r="E8" s="1899"/>
      <c r="F8" s="1901"/>
      <c r="G8" s="1853"/>
      <c r="H8" s="1853"/>
      <c r="I8" s="1903"/>
      <c r="J8" s="1905"/>
      <c r="K8" s="1697" t="s">
        <v>37</v>
      </c>
      <c r="L8" s="1697" t="s">
        <v>38</v>
      </c>
      <c r="M8" s="1697" t="s">
        <v>39</v>
      </c>
      <c r="N8" s="1697" t="s">
        <v>205</v>
      </c>
      <c r="O8" s="1697" t="s">
        <v>40</v>
      </c>
      <c r="P8" s="37" t="s">
        <v>213</v>
      </c>
      <c r="Q8" s="1697" t="s">
        <v>214</v>
      </c>
      <c r="R8" s="1697" t="s">
        <v>149</v>
      </c>
    </row>
    <row r="9" spans="1:31" s="28" customFormat="1" ht="22.5" customHeight="1">
      <c r="A9" s="98">
        <v>1</v>
      </c>
      <c r="B9" s="237">
        <v>1</v>
      </c>
      <c r="C9" s="492"/>
      <c r="D9" s="1910" t="s">
        <v>286</v>
      </c>
      <c r="E9" s="1911"/>
      <c r="F9" s="351" t="s">
        <v>22</v>
      </c>
      <c r="G9" s="249">
        <v>212753</v>
      </c>
      <c r="H9" s="249">
        <v>213625</v>
      </c>
      <c r="I9" s="352">
        <v>204045</v>
      </c>
      <c r="J9" s="493"/>
      <c r="K9" s="249"/>
      <c r="L9" s="249"/>
      <c r="M9" s="249"/>
      <c r="N9" s="249"/>
      <c r="O9" s="249"/>
      <c r="P9" s="249"/>
      <c r="Q9" s="249"/>
      <c r="R9" s="272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s="28" customFormat="1" ht="18" customHeight="1">
      <c r="A10" s="98">
        <v>2</v>
      </c>
      <c r="B10" s="223"/>
      <c r="C10" s="490"/>
      <c r="D10" s="1821" t="s">
        <v>294</v>
      </c>
      <c r="E10" s="1822"/>
      <c r="F10" s="94"/>
      <c r="G10" s="94"/>
      <c r="H10" s="94"/>
      <c r="I10" s="266"/>
      <c r="J10" s="269"/>
      <c r="K10" s="94"/>
      <c r="L10" s="94"/>
      <c r="M10" s="94"/>
      <c r="N10" s="94"/>
      <c r="O10" s="94"/>
      <c r="P10" s="94"/>
      <c r="Q10" s="94"/>
      <c r="R10" s="102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s="635" customFormat="1" ht="18" customHeight="1">
      <c r="A11" s="98">
        <v>3</v>
      </c>
      <c r="B11" s="586"/>
      <c r="C11" s="628"/>
      <c r="D11" s="628"/>
      <c r="E11" s="629" t="s">
        <v>283</v>
      </c>
      <c r="F11" s="608"/>
      <c r="G11" s="608"/>
      <c r="H11" s="608"/>
      <c r="I11" s="630"/>
      <c r="J11" s="631">
        <f>SUM(K11:R11)</f>
        <v>228773</v>
      </c>
      <c r="K11" s="632">
        <v>145314</v>
      </c>
      <c r="L11" s="632">
        <v>25560</v>
      </c>
      <c r="M11" s="632">
        <v>52787</v>
      </c>
      <c r="N11" s="632"/>
      <c r="O11" s="632"/>
      <c r="P11" s="632">
        <v>5112</v>
      </c>
      <c r="Q11" s="632"/>
      <c r="R11" s="633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</row>
    <row r="12" spans="1:31" s="635" customFormat="1" ht="18" customHeight="1">
      <c r="A12" s="98">
        <v>4</v>
      </c>
      <c r="B12" s="586"/>
      <c r="C12" s="628"/>
      <c r="D12" s="628"/>
      <c r="E12" s="478" t="s">
        <v>757</v>
      </c>
      <c r="F12" s="608"/>
      <c r="G12" s="608"/>
      <c r="H12" s="608"/>
      <c r="I12" s="630"/>
      <c r="J12" s="269">
        <f>SUM(K12:R12)</f>
        <v>239591</v>
      </c>
      <c r="K12" s="1114">
        <v>147314</v>
      </c>
      <c r="L12" s="1114">
        <v>26175</v>
      </c>
      <c r="M12" s="1114">
        <v>59752</v>
      </c>
      <c r="N12" s="1114"/>
      <c r="O12" s="1114"/>
      <c r="P12" s="1114">
        <v>6350</v>
      </c>
      <c r="Q12" s="632"/>
      <c r="R12" s="633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</row>
    <row r="13" spans="1:31" s="635" customFormat="1" ht="18" customHeight="1">
      <c r="A13" s="98">
        <v>5</v>
      </c>
      <c r="B13" s="586"/>
      <c r="C13" s="628"/>
      <c r="D13" s="628"/>
      <c r="E13" s="1090" t="s">
        <v>892</v>
      </c>
      <c r="F13" s="608"/>
      <c r="G13" s="608"/>
      <c r="H13" s="608"/>
      <c r="I13" s="630"/>
      <c r="J13" s="1111">
        <f>SUM(K13:R13)</f>
        <v>102516</v>
      </c>
      <c r="K13" s="273">
        <v>63427</v>
      </c>
      <c r="L13" s="273">
        <v>11865</v>
      </c>
      <c r="M13" s="273">
        <v>25415</v>
      </c>
      <c r="N13" s="273"/>
      <c r="O13" s="273"/>
      <c r="P13" s="273">
        <v>1809</v>
      </c>
      <c r="Q13" s="1112"/>
      <c r="R13" s="1113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</row>
    <row r="14" spans="1:31" s="32" customFormat="1" ht="22.5" customHeight="1">
      <c r="A14" s="98">
        <v>6</v>
      </c>
      <c r="B14" s="223">
        <v>2</v>
      </c>
      <c r="C14" s="490"/>
      <c r="D14" s="1819" t="s">
        <v>285</v>
      </c>
      <c r="E14" s="1820"/>
      <c r="F14" s="350" t="s">
        <v>22</v>
      </c>
      <c r="G14" s="94">
        <v>358902</v>
      </c>
      <c r="H14" s="94">
        <v>367090</v>
      </c>
      <c r="I14" s="266">
        <v>376590</v>
      </c>
      <c r="J14" s="269"/>
      <c r="K14" s="94"/>
      <c r="L14" s="94"/>
      <c r="M14" s="94"/>
      <c r="N14" s="94"/>
      <c r="O14" s="94"/>
      <c r="P14" s="94"/>
      <c r="Q14" s="94"/>
      <c r="R14" s="102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</row>
    <row r="15" spans="1:31" s="28" customFormat="1" ht="18" customHeight="1">
      <c r="A15" s="98">
        <v>7</v>
      </c>
      <c r="B15" s="223"/>
      <c r="C15" s="490"/>
      <c r="D15" s="1821" t="s">
        <v>284</v>
      </c>
      <c r="E15" s="1822"/>
      <c r="F15" s="94"/>
      <c r="G15" s="94"/>
      <c r="H15" s="94"/>
      <c r="I15" s="266"/>
      <c r="J15" s="269"/>
      <c r="K15" s="94"/>
      <c r="L15" s="94"/>
      <c r="M15" s="94"/>
      <c r="N15" s="94"/>
      <c r="O15" s="94"/>
      <c r="P15" s="94"/>
      <c r="Q15" s="94"/>
      <c r="R15" s="102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s="637" customFormat="1" ht="18" customHeight="1">
      <c r="A16" s="98">
        <v>8</v>
      </c>
      <c r="B16" s="586"/>
      <c r="C16" s="628"/>
      <c r="D16" s="628"/>
      <c r="E16" s="629" t="s">
        <v>283</v>
      </c>
      <c r="F16" s="608"/>
      <c r="G16" s="608"/>
      <c r="H16" s="608"/>
      <c r="I16" s="630"/>
      <c r="J16" s="631">
        <f>SUM(K16:R16)</f>
        <v>379260</v>
      </c>
      <c r="K16" s="632">
        <v>251787</v>
      </c>
      <c r="L16" s="632">
        <v>44952</v>
      </c>
      <c r="M16" s="632">
        <v>77711</v>
      </c>
      <c r="N16" s="632"/>
      <c r="O16" s="632"/>
      <c r="P16" s="632">
        <v>4810</v>
      </c>
      <c r="Q16" s="632"/>
      <c r="R16" s="633"/>
      <c r="S16" s="636"/>
      <c r="T16" s="636"/>
      <c r="U16" s="636"/>
      <c r="V16" s="636"/>
      <c r="W16" s="636"/>
      <c r="X16" s="636"/>
      <c r="Y16" s="636"/>
      <c r="Z16" s="636"/>
      <c r="AA16" s="636"/>
      <c r="AB16" s="636"/>
      <c r="AC16" s="636"/>
      <c r="AD16" s="636"/>
      <c r="AE16" s="636"/>
    </row>
    <row r="17" spans="1:31" s="637" customFormat="1" ht="18" customHeight="1">
      <c r="A17" s="98">
        <v>9</v>
      </c>
      <c r="B17" s="586"/>
      <c r="C17" s="628"/>
      <c r="D17" s="628"/>
      <c r="E17" s="478" t="s">
        <v>757</v>
      </c>
      <c r="F17" s="608"/>
      <c r="G17" s="608"/>
      <c r="H17" s="608"/>
      <c r="I17" s="630"/>
      <c r="J17" s="269">
        <f>SUM(K17:R17)</f>
        <v>389181</v>
      </c>
      <c r="K17" s="1114">
        <v>255244</v>
      </c>
      <c r="L17" s="1114">
        <v>45417</v>
      </c>
      <c r="M17" s="1114">
        <v>79490</v>
      </c>
      <c r="N17" s="1114"/>
      <c r="O17" s="1114"/>
      <c r="P17" s="1114">
        <v>9030</v>
      </c>
      <c r="Q17" s="632"/>
      <c r="R17" s="633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</row>
    <row r="18" spans="1:31" s="637" customFormat="1" ht="18" customHeight="1">
      <c r="A18" s="98">
        <v>10</v>
      </c>
      <c r="B18" s="586"/>
      <c r="C18" s="628"/>
      <c r="D18" s="628"/>
      <c r="E18" s="1090" t="s">
        <v>892</v>
      </c>
      <c r="F18" s="608"/>
      <c r="G18" s="608"/>
      <c r="H18" s="608"/>
      <c r="I18" s="630"/>
      <c r="J18" s="1111">
        <f>SUM(K18:R18)</f>
        <v>186937</v>
      </c>
      <c r="K18" s="273">
        <v>126241</v>
      </c>
      <c r="L18" s="273">
        <v>22004</v>
      </c>
      <c r="M18" s="273">
        <v>36063</v>
      </c>
      <c r="N18" s="273"/>
      <c r="O18" s="273"/>
      <c r="P18" s="273">
        <v>2629</v>
      </c>
      <c r="Q18" s="1114"/>
      <c r="R18" s="1131"/>
      <c r="S18" s="636"/>
      <c r="T18" s="636"/>
      <c r="U18" s="636"/>
      <c r="V18" s="636"/>
      <c r="W18" s="636"/>
      <c r="X18" s="636"/>
      <c r="Y18" s="636"/>
      <c r="Z18" s="636"/>
      <c r="AA18" s="636"/>
      <c r="AB18" s="636"/>
      <c r="AC18" s="636"/>
      <c r="AD18" s="636"/>
      <c r="AE18" s="636"/>
    </row>
    <row r="19" spans="1:31" s="28" customFormat="1" ht="22.5" customHeight="1">
      <c r="A19" s="98">
        <v>11</v>
      </c>
      <c r="B19" s="223">
        <v>3</v>
      </c>
      <c r="C19" s="490"/>
      <c r="D19" s="1819" t="s">
        <v>247</v>
      </c>
      <c r="E19" s="1820"/>
      <c r="F19" s="350" t="s">
        <v>22</v>
      </c>
      <c r="G19" s="94">
        <v>431030</v>
      </c>
      <c r="H19" s="94">
        <v>428960</v>
      </c>
      <c r="I19" s="266">
        <v>410352</v>
      </c>
      <c r="J19" s="269"/>
      <c r="K19" s="94"/>
      <c r="L19" s="94"/>
      <c r="M19" s="94"/>
      <c r="N19" s="94"/>
      <c r="O19" s="94"/>
      <c r="P19" s="94"/>
      <c r="Q19" s="94"/>
      <c r="R19" s="102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</row>
    <row r="20" spans="1:31" s="25" customFormat="1" ht="18" customHeight="1">
      <c r="A20" s="98">
        <v>12</v>
      </c>
      <c r="B20" s="223"/>
      <c r="C20" s="490"/>
      <c r="D20" s="1821" t="s">
        <v>138</v>
      </c>
      <c r="E20" s="1822"/>
      <c r="F20" s="94"/>
      <c r="G20" s="94"/>
      <c r="H20" s="94"/>
      <c r="I20" s="266"/>
      <c r="J20" s="269"/>
      <c r="K20" s="94"/>
      <c r="L20" s="94"/>
      <c r="M20" s="94"/>
      <c r="N20" s="94"/>
      <c r="O20" s="94"/>
      <c r="P20" s="94"/>
      <c r="Q20" s="94"/>
      <c r="R20" s="10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635" customFormat="1" ht="18" customHeight="1">
      <c r="A21" s="98">
        <v>13</v>
      </c>
      <c r="B21" s="586"/>
      <c r="C21" s="628"/>
      <c r="D21" s="628"/>
      <c r="E21" s="629" t="s">
        <v>283</v>
      </c>
      <c r="F21" s="608"/>
      <c r="G21" s="608"/>
      <c r="H21" s="608"/>
      <c r="I21" s="630"/>
      <c r="J21" s="631">
        <f>SUM(K21:R21)</f>
        <v>430451</v>
      </c>
      <c r="K21" s="632">
        <v>292892</v>
      </c>
      <c r="L21" s="632">
        <v>52138</v>
      </c>
      <c r="M21" s="632">
        <v>81928</v>
      </c>
      <c r="N21" s="632"/>
      <c r="O21" s="632"/>
      <c r="P21" s="632">
        <v>3493</v>
      </c>
      <c r="Q21" s="632"/>
      <c r="R21" s="633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</row>
    <row r="22" spans="1:31" s="635" customFormat="1" ht="18" customHeight="1">
      <c r="A22" s="98">
        <v>14</v>
      </c>
      <c r="B22" s="586"/>
      <c r="C22" s="628"/>
      <c r="D22" s="628"/>
      <c r="E22" s="478" t="s">
        <v>757</v>
      </c>
      <c r="F22" s="608"/>
      <c r="G22" s="608"/>
      <c r="H22" s="608"/>
      <c r="I22" s="630"/>
      <c r="J22" s="269">
        <f>SUM(K22:R22)</f>
        <v>443946</v>
      </c>
      <c r="K22" s="1114">
        <v>298580</v>
      </c>
      <c r="L22" s="1114">
        <v>53014</v>
      </c>
      <c r="M22" s="1114">
        <v>88859</v>
      </c>
      <c r="N22" s="1114"/>
      <c r="O22" s="1114"/>
      <c r="P22" s="1114">
        <v>3493</v>
      </c>
      <c r="Q22" s="632"/>
      <c r="R22" s="633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</row>
    <row r="23" spans="1:31" s="635" customFormat="1" ht="18" customHeight="1">
      <c r="A23" s="98">
        <v>15</v>
      </c>
      <c r="B23" s="586"/>
      <c r="C23" s="628"/>
      <c r="D23" s="628"/>
      <c r="E23" s="1090" t="s">
        <v>892</v>
      </c>
      <c r="F23" s="608"/>
      <c r="G23" s="608"/>
      <c r="H23" s="608"/>
      <c r="I23" s="630"/>
      <c r="J23" s="1111">
        <f>SUM(K23:R23)</f>
        <v>177643</v>
      </c>
      <c r="K23" s="273">
        <v>127845</v>
      </c>
      <c r="L23" s="273">
        <v>22632</v>
      </c>
      <c r="M23" s="273">
        <v>27166</v>
      </c>
      <c r="N23" s="632"/>
      <c r="O23" s="632"/>
      <c r="P23" s="632"/>
      <c r="Q23" s="632"/>
      <c r="R23" s="633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</row>
    <row r="24" spans="1:31" s="28" customFormat="1" ht="22.5" customHeight="1">
      <c r="A24" s="98">
        <v>16</v>
      </c>
      <c r="B24" s="223">
        <v>4</v>
      </c>
      <c r="C24" s="490"/>
      <c r="D24" s="1819" t="s">
        <v>248</v>
      </c>
      <c r="E24" s="1820"/>
      <c r="F24" s="350" t="s">
        <v>22</v>
      </c>
      <c r="G24" s="94">
        <v>318994</v>
      </c>
      <c r="H24" s="94">
        <v>319512</v>
      </c>
      <c r="I24" s="266">
        <v>314958</v>
      </c>
      <c r="J24" s="269"/>
      <c r="K24" s="94"/>
      <c r="L24" s="94"/>
      <c r="M24" s="94"/>
      <c r="N24" s="94"/>
      <c r="O24" s="94"/>
      <c r="P24" s="94"/>
      <c r="Q24" s="94"/>
      <c r="R24" s="102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</row>
    <row r="25" spans="1:31" s="28" customFormat="1" ht="18" customHeight="1">
      <c r="A25" s="98">
        <v>17</v>
      </c>
      <c r="B25" s="223"/>
      <c r="C25" s="490"/>
      <c r="D25" s="1821" t="s">
        <v>139</v>
      </c>
      <c r="E25" s="1822"/>
      <c r="F25" s="94"/>
      <c r="G25" s="94"/>
      <c r="H25" s="94"/>
      <c r="I25" s="266"/>
      <c r="J25" s="269"/>
      <c r="K25" s="94"/>
      <c r="L25" s="94"/>
      <c r="M25" s="94"/>
      <c r="N25" s="94"/>
      <c r="O25" s="94"/>
      <c r="P25" s="94"/>
      <c r="Q25" s="94"/>
      <c r="R25" s="102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635" customFormat="1" ht="18" customHeight="1">
      <c r="A26" s="98">
        <v>18</v>
      </c>
      <c r="B26" s="586"/>
      <c r="C26" s="628"/>
      <c r="D26" s="628"/>
      <c r="E26" s="629" t="s">
        <v>283</v>
      </c>
      <c r="F26" s="608"/>
      <c r="G26" s="608"/>
      <c r="H26" s="608"/>
      <c r="I26" s="630"/>
      <c r="J26" s="631">
        <f>SUM(K26:R26)</f>
        <v>340680</v>
      </c>
      <c r="K26" s="632">
        <v>231028</v>
      </c>
      <c r="L26" s="632">
        <v>41094</v>
      </c>
      <c r="M26" s="632">
        <v>65297</v>
      </c>
      <c r="N26" s="632"/>
      <c r="O26" s="632"/>
      <c r="P26" s="632">
        <v>3261</v>
      </c>
      <c r="Q26" s="632"/>
      <c r="R26" s="633"/>
      <c r="S26" s="634"/>
      <c r="T26" s="634"/>
      <c r="U26" s="634"/>
      <c r="V26" s="634"/>
      <c r="W26" s="634"/>
      <c r="X26" s="634"/>
      <c r="Y26" s="634"/>
      <c r="Z26" s="634"/>
      <c r="AA26" s="634"/>
      <c r="AB26" s="634"/>
      <c r="AC26" s="634"/>
      <c r="AD26" s="634"/>
      <c r="AE26" s="634"/>
    </row>
    <row r="27" spans="1:31" s="635" customFormat="1" ht="18" customHeight="1">
      <c r="A27" s="98">
        <v>19</v>
      </c>
      <c r="B27" s="586"/>
      <c r="C27" s="628"/>
      <c r="D27" s="628"/>
      <c r="E27" s="478" t="s">
        <v>757</v>
      </c>
      <c r="F27" s="608"/>
      <c r="G27" s="608"/>
      <c r="H27" s="608"/>
      <c r="I27" s="630"/>
      <c r="J27" s="269">
        <f>SUM(K27:R27)</f>
        <v>351375</v>
      </c>
      <c r="K27" s="1114">
        <v>233448</v>
      </c>
      <c r="L27" s="1114">
        <v>41913</v>
      </c>
      <c r="M27" s="1114">
        <v>72423</v>
      </c>
      <c r="N27" s="1114"/>
      <c r="O27" s="1114"/>
      <c r="P27" s="1114">
        <v>3591</v>
      </c>
      <c r="Q27" s="632"/>
      <c r="R27" s="633"/>
      <c r="S27" s="634"/>
      <c r="T27" s="634"/>
      <c r="U27" s="634"/>
      <c r="V27" s="634"/>
      <c r="W27" s="634"/>
      <c r="X27" s="634"/>
      <c r="Y27" s="634"/>
      <c r="Z27" s="634"/>
      <c r="AA27" s="634"/>
      <c r="AB27" s="634"/>
      <c r="AC27" s="634"/>
      <c r="AD27" s="634"/>
      <c r="AE27" s="634"/>
    </row>
    <row r="28" spans="1:31" s="635" customFormat="1" ht="18" customHeight="1">
      <c r="A28" s="98">
        <v>20</v>
      </c>
      <c r="B28" s="586"/>
      <c r="C28" s="628"/>
      <c r="D28" s="628"/>
      <c r="E28" s="1090" t="s">
        <v>892</v>
      </c>
      <c r="F28" s="608"/>
      <c r="G28" s="608"/>
      <c r="H28" s="608"/>
      <c r="I28" s="630"/>
      <c r="J28" s="1111">
        <f>SUM(K28:R28)</f>
        <v>153532</v>
      </c>
      <c r="K28" s="273">
        <v>108526</v>
      </c>
      <c r="L28" s="273">
        <v>19640</v>
      </c>
      <c r="M28" s="273">
        <v>25279</v>
      </c>
      <c r="N28" s="632"/>
      <c r="O28" s="632"/>
      <c r="P28" s="273">
        <v>87</v>
      </c>
      <c r="Q28" s="632"/>
      <c r="R28" s="633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</row>
    <row r="29" spans="1:31" s="32" customFormat="1" ht="22.5" customHeight="1">
      <c r="A29" s="98">
        <v>21</v>
      </c>
      <c r="B29" s="223">
        <v>5</v>
      </c>
      <c r="C29" s="490"/>
      <c r="D29" s="1819" t="s">
        <v>249</v>
      </c>
      <c r="E29" s="1820"/>
      <c r="F29" s="350" t="s">
        <v>22</v>
      </c>
      <c r="G29" s="94">
        <v>350092</v>
      </c>
      <c r="H29" s="94">
        <v>341538</v>
      </c>
      <c r="I29" s="266">
        <v>343526</v>
      </c>
      <c r="J29" s="269"/>
      <c r="K29" s="94"/>
      <c r="L29" s="94"/>
      <c r="M29" s="94"/>
      <c r="N29" s="261"/>
      <c r="O29" s="261"/>
      <c r="P29" s="261"/>
      <c r="Q29" s="261"/>
      <c r="R29" s="262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</row>
    <row r="30" spans="1:31" s="28" customFormat="1" ht="18" customHeight="1">
      <c r="A30" s="98">
        <v>22</v>
      </c>
      <c r="B30" s="223"/>
      <c r="C30" s="490"/>
      <c r="D30" s="1821" t="s">
        <v>140</v>
      </c>
      <c r="E30" s="1822"/>
      <c r="F30" s="94"/>
      <c r="G30" s="94"/>
      <c r="H30" s="94"/>
      <c r="I30" s="266"/>
      <c r="J30" s="269"/>
      <c r="K30" s="94"/>
      <c r="L30" s="94"/>
      <c r="M30" s="94"/>
      <c r="N30" s="261"/>
      <c r="O30" s="261"/>
      <c r="P30" s="261"/>
      <c r="Q30" s="261"/>
      <c r="R30" s="262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</row>
    <row r="31" spans="1:31" s="637" customFormat="1" ht="18" customHeight="1">
      <c r="A31" s="98">
        <v>23</v>
      </c>
      <c r="B31" s="586"/>
      <c r="C31" s="628"/>
      <c r="D31" s="628"/>
      <c r="E31" s="629" t="s">
        <v>283</v>
      </c>
      <c r="F31" s="608"/>
      <c r="G31" s="608"/>
      <c r="H31" s="608"/>
      <c r="I31" s="630"/>
      <c r="J31" s="631">
        <f>SUM(K31:R31)</f>
        <v>362829</v>
      </c>
      <c r="K31" s="632">
        <v>226356</v>
      </c>
      <c r="L31" s="632">
        <v>40179</v>
      </c>
      <c r="M31" s="632">
        <v>88800</v>
      </c>
      <c r="N31" s="632"/>
      <c r="O31" s="632"/>
      <c r="P31" s="632">
        <v>7494</v>
      </c>
      <c r="Q31" s="632"/>
      <c r="R31" s="633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36"/>
    </row>
    <row r="32" spans="1:31" s="637" customFormat="1" ht="18" customHeight="1">
      <c r="A32" s="98">
        <v>24</v>
      </c>
      <c r="B32" s="586"/>
      <c r="C32" s="628"/>
      <c r="D32" s="628"/>
      <c r="E32" s="478" t="s">
        <v>757</v>
      </c>
      <c r="F32" s="608"/>
      <c r="G32" s="608"/>
      <c r="H32" s="608"/>
      <c r="I32" s="630"/>
      <c r="J32" s="269">
        <f>SUM(K32:R32)</f>
        <v>373591</v>
      </c>
      <c r="K32" s="1114">
        <v>229357</v>
      </c>
      <c r="L32" s="1114">
        <v>40894</v>
      </c>
      <c r="M32" s="1114">
        <v>93846</v>
      </c>
      <c r="N32" s="1114"/>
      <c r="O32" s="1114"/>
      <c r="P32" s="1114">
        <v>9494</v>
      </c>
      <c r="Q32" s="632"/>
      <c r="R32" s="633"/>
      <c r="S32" s="636"/>
      <c r="T32" s="636"/>
      <c r="U32" s="636"/>
      <c r="V32" s="636"/>
      <c r="W32" s="636"/>
      <c r="X32" s="636"/>
      <c r="Y32" s="636"/>
      <c r="Z32" s="636"/>
      <c r="AA32" s="636"/>
      <c r="AB32" s="636"/>
      <c r="AC32" s="636"/>
      <c r="AD32" s="636"/>
      <c r="AE32" s="636"/>
    </row>
    <row r="33" spans="1:31" s="637" customFormat="1" ht="18" customHeight="1">
      <c r="A33" s="98">
        <v>25</v>
      </c>
      <c r="B33" s="586"/>
      <c r="C33" s="628"/>
      <c r="D33" s="628"/>
      <c r="E33" s="1090" t="s">
        <v>892</v>
      </c>
      <c r="F33" s="608"/>
      <c r="G33" s="608"/>
      <c r="H33" s="608"/>
      <c r="I33" s="630"/>
      <c r="J33" s="1111">
        <f>SUM(K33:R33)</f>
        <v>153621</v>
      </c>
      <c r="K33" s="273">
        <v>100632</v>
      </c>
      <c r="L33" s="273">
        <v>17878</v>
      </c>
      <c r="M33" s="273">
        <v>34045</v>
      </c>
      <c r="N33" s="273"/>
      <c r="O33" s="273"/>
      <c r="P33" s="273">
        <v>1066</v>
      </c>
      <c r="Q33" s="632"/>
      <c r="R33" s="633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</row>
    <row r="34" spans="1:31" s="29" customFormat="1" ht="22.5" customHeight="1">
      <c r="A34" s="98">
        <v>26</v>
      </c>
      <c r="B34" s="223">
        <v>6</v>
      </c>
      <c r="C34" s="490"/>
      <c r="D34" s="1819" t="s">
        <v>250</v>
      </c>
      <c r="E34" s="1820"/>
      <c r="F34" s="350" t="s">
        <v>22</v>
      </c>
      <c r="G34" s="94">
        <v>168688</v>
      </c>
      <c r="H34" s="94">
        <v>172406</v>
      </c>
      <c r="I34" s="266">
        <v>171451</v>
      </c>
      <c r="J34" s="269"/>
      <c r="K34" s="94"/>
      <c r="L34" s="94"/>
      <c r="M34" s="94"/>
      <c r="N34" s="261"/>
      <c r="O34" s="261"/>
      <c r="P34" s="261"/>
      <c r="Q34" s="261"/>
      <c r="R34" s="262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</row>
    <row r="35" spans="1:31" s="32" customFormat="1" ht="18" customHeight="1">
      <c r="A35" s="98">
        <v>27</v>
      </c>
      <c r="B35" s="223"/>
      <c r="C35" s="490"/>
      <c r="D35" s="1821" t="s">
        <v>141</v>
      </c>
      <c r="E35" s="1822"/>
      <c r="F35" s="94"/>
      <c r="G35" s="94"/>
      <c r="H35" s="94"/>
      <c r="I35" s="266"/>
      <c r="J35" s="269"/>
      <c r="K35" s="94"/>
      <c r="L35" s="94"/>
      <c r="M35" s="94"/>
      <c r="N35" s="261"/>
      <c r="O35" s="261"/>
      <c r="P35" s="261"/>
      <c r="Q35" s="261"/>
      <c r="R35" s="262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</row>
    <row r="36" spans="1:31" s="637" customFormat="1" ht="18" customHeight="1">
      <c r="A36" s="98">
        <v>28</v>
      </c>
      <c r="B36" s="586"/>
      <c r="C36" s="628"/>
      <c r="D36" s="628"/>
      <c r="E36" s="629" t="s">
        <v>283</v>
      </c>
      <c r="F36" s="608"/>
      <c r="G36" s="608"/>
      <c r="H36" s="608"/>
      <c r="I36" s="630"/>
      <c r="J36" s="631">
        <f>SUM(K36:R36)</f>
        <v>206083</v>
      </c>
      <c r="K36" s="632">
        <v>130459</v>
      </c>
      <c r="L36" s="632">
        <v>23235</v>
      </c>
      <c r="M36" s="632">
        <v>39256</v>
      </c>
      <c r="N36" s="632"/>
      <c r="O36" s="632"/>
      <c r="P36" s="632">
        <v>13133</v>
      </c>
      <c r="Q36" s="632"/>
      <c r="R36" s="633"/>
      <c r="S36" s="636"/>
      <c r="T36" s="636"/>
      <c r="U36" s="636"/>
      <c r="V36" s="636"/>
      <c r="W36" s="636"/>
      <c r="X36" s="636"/>
      <c r="Y36" s="636"/>
      <c r="Z36" s="636"/>
      <c r="AA36" s="636"/>
      <c r="AB36" s="636"/>
      <c r="AC36" s="636"/>
      <c r="AD36" s="636"/>
      <c r="AE36" s="636"/>
    </row>
    <row r="37" spans="1:31" s="637" customFormat="1" ht="18" customHeight="1">
      <c r="A37" s="98">
        <v>29</v>
      </c>
      <c r="B37" s="586"/>
      <c r="C37" s="628"/>
      <c r="D37" s="1103"/>
      <c r="E37" s="478" t="s">
        <v>757</v>
      </c>
      <c r="F37" s="608"/>
      <c r="G37" s="608"/>
      <c r="H37" s="608"/>
      <c r="I37" s="630"/>
      <c r="J37" s="269">
        <f>SUM(K37:R37)</f>
        <v>209248</v>
      </c>
      <c r="K37" s="1114">
        <v>131116</v>
      </c>
      <c r="L37" s="1114">
        <v>23337</v>
      </c>
      <c r="M37" s="1114">
        <v>41662</v>
      </c>
      <c r="N37" s="1114"/>
      <c r="O37" s="1114"/>
      <c r="P37" s="1114">
        <v>13133</v>
      </c>
      <c r="Q37" s="632"/>
      <c r="R37" s="633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</row>
    <row r="38" spans="1:31" s="637" customFormat="1" ht="18" customHeight="1">
      <c r="A38" s="98">
        <v>30</v>
      </c>
      <c r="B38" s="586"/>
      <c r="C38" s="628"/>
      <c r="D38" s="1103"/>
      <c r="E38" s="1090" t="s">
        <v>893</v>
      </c>
      <c r="F38" s="608"/>
      <c r="G38" s="608"/>
      <c r="H38" s="608"/>
      <c r="I38" s="630"/>
      <c r="J38" s="1111">
        <f>SUM(K38:R38)</f>
        <v>90315</v>
      </c>
      <c r="K38" s="273">
        <v>62676</v>
      </c>
      <c r="L38" s="273">
        <v>11412</v>
      </c>
      <c r="M38" s="273">
        <v>15238</v>
      </c>
      <c r="N38" s="632"/>
      <c r="O38" s="632"/>
      <c r="P38" s="273">
        <v>989</v>
      </c>
      <c r="Q38" s="632"/>
      <c r="R38" s="633"/>
      <c r="S38" s="636"/>
      <c r="T38" s="636"/>
      <c r="U38" s="636"/>
      <c r="V38" s="636"/>
      <c r="W38" s="636"/>
      <c r="X38" s="636"/>
      <c r="Y38" s="636"/>
      <c r="Z38" s="636"/>
      <c r="AA38" s="636"/>
      <c r="AB38" s="636"/>
      <c r="AC38" s="636"/>
      <c r="AD38" s="636"/>
      <c r="AE38" s="636"/>
    </row>
    <row r="39" spans="1:31" s="29" customFormat="1" ht="18" customHeight="1">
      <c r="A39" s="98">
        <v>31</v>
      </c>
      <c r="B39" s="227"/>
      <c r="C39" s="490">
        <v>1</v>
      </c>
      <c r="D39" s="1821" t="s">
        <v>137</v>
      </c>
      <c r="E39" s="1822"/>
      <c r="F39" s="350"/>
      <c r="G39" s="94">
        <v>179</v>
      </c>
      <c r="H39" s="94">
        <v>2225</v>
      </c>
      <c r="I39" s="266">
        <v>0</v>
      </c>
      <c r="J39" s="268"/>
      <c r="K39" s="265"/>
      <c r="L39" s="265"/>
      <c r="M39" s="263"/>
      <c r="N39" s="263"/>
      <c r="O39" s="263"/>
      <c r="P39" s="263"/>
      <c r="Q39" s="263"/>
      <c r="R39" s="264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</row>
    <row r="40" spans="1:31" s="635" customFormat="1" ht="18" customHeight="1" thickBot="1">
      <c r="A40" s="98">
        <v>32</v>
      </c>
      <c r="B40" s="620"/>
      <c r="C40" s="638"/>
      <c r="D40" s="638"/>
      <c r="E40" s="622" t="s">
        <v>283</v>
      </c>
      <c r="F40" s="614"/>
      <c r="G40" s="614"/>
      <c r="H40" s="614"/>
      <c r="I40" s="639"/>
      <c r="J40" s="640">
        <f>SUM(K40:R40)</f>
        <v>0</v>
      </c>
      <c r="K40" s="641"/>
      <c r="L40" s="641"/>
      <c r="M40" s="641"/>
      <c r="N40" s="641"/>
      <c r="O40" s="641"/>
      <c r="P40" s="641"/>
      <c r="Q40" s="641"/>
      <c r="R40" s="642"/>
      <c r="S40" s="634"/>
      <c r="T40" s="634"/>
      <c r="U40" s="634"/>
      <c r="V40" s="634"/>
      <c r="W40" s="634"/>
      <c r="X40" s="634"/>
      <c r="Y40" s="634"/>
      <c r="Z40" s="634"/>
      <c r="AA40" s="634"/>
      <c r="AB40" s="634"/>
      <c r="AC40" s="634"/>
      <c r="AD40" s="634"/>
      <c r="AE40" s="634"/>
    </row>
    <row r="41" spans="1:31" s="33" customFormat="1" ht="22.5" customHeight="1" thickTop="1">
      <c r="A41" s="98">
        <v>33</v>
      </c>
      <c r="B41" s="270"/>
      <c r="C41" s="1825" t="s">
        <v>424</v>
      </c>
      <c r="D41" s="1826"/>
      <c r="E41" s="1827"/>
      <c r="F41" s="522"/>
      <c r="G41" s="522">
        <f>SUM(G9:G40)</f>
        <v>1840638</v>
      </c>
      <c r="H41" s="522">
        <f>SUM(H9:H40)</f>
        <v>1845356</v>
      </c>
      <c r="I41" s="524">
        <f>SUM(I9:I40)</f>
        <v>1820922</v>
      </c>
      <c r="J41" s="525"/>
      <c r="K41" s="522"/>
      <c r="L41" s="522"/>
      <c r="M41" s="522"/>
      <c r="N41" s="522"/>
      <c r="O41" s="522"/>
      <c r="P41" s="522"/>
      <c r="Q41" s="522"/>
      <c r="R41" s="523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</row>
    <row r="42" spans="1:31" s="635" customFormat="1" ht="18" customHeight="1">
      <c r="A42" s="98">
        <v>34</v>
      </c>
      <c r="B42" s="620"/>
      <c r="C42" s="1115"/>
      <c r="D42" s="638"/>
      <c r="E42" s="622" t="s">
        <v>283</v>
      </c>
      <c r="F42" s="614"/>
      <c r="G42" s="614"/>
      <c r="H42" s="614"/>
      <c r="I42" s="639"/>
      <c r="J42" s="640">
        <f>SUM(K42:R42)</f>
        <v>1948076</v>
      </c>
      <c r="K42" s="641">
        <f aca="true" t="shared" si="0" ref="K42:R43">SUM(K11,K16,K21,K26,K31,K36,K40)</f>
        <v>1277836</v>
      </c>
      <c r="L42" s="641">
        <f t="shared" si="0"/>
        <v>227158</v>
      </c>
      <c r="M42" s="641">
        <f t="shared" si="0"/>
        <v>405779</v>
      </c>
      <c r="N42" s="641">
        <f t="shared" si="0"/>
        <v>0</v>
      </c>
      <c r="O42" s="641">
        <f t="shared" si="0"/>
        <v>0</v>
      </c>
      <c r="P42" s="641">
        <f t="shared" si="0"/>
        <v>37303</v>
      </c>
      <c r="Q42" s="641">
        <f t="shared" si="0"/>
        <v>0</v>
      </c>
      <c r="R42" s="642">
        <f t="shared" si="0"/>
        <v>0</v>
      </c>
      <c r="S42" s="634"/>
      <c r="T42" s="634"/>
      <c r="U42" s="634"/>
      <c r="V42" s="634"/>
      <c r="W42" s="634"/>
      <c r="X42" s="634"/>
      <c r="Y42" s="634"/>
      <c r="Z42" s="634"/>
      <c r="AA42" s="634"/>
      <c r="AB42" s="634"/>
      <c r="AC42" s="634"/>
      <c r="AD42" s="634"/>
      <c r="AE42" s="634"/>
    </row>
    <row r="43" spans="1:31" s="635" customFormat="1" ht="18" customHeight="1">
      <c r="A43" s="98">
        <v>35</v>
      </c>
      <c r="B43" s="620"/>
      <c r="C43" s="638"/>
      <c r="D43" s="638"/>
      <c r="E43" s="478" t="s">
        <v>757</v>
      </c>
      <c r="F43" s="614"/>
      <c r="G43" s="614"/>
      <c r="H43" s="614"/>
      <c r="I43" s="639"/>
      <c r="J43" s="1424">
        <f>SUM(K43:R43)</f>
        <v>2006932</v>
      </c>
      <c r="K43" s="1116">
        <f t="shared" si="0"/>
        <v>1295059</v>
      </c>
      <c r="L43" s="1116">
        <f t="shared" si="0"/>
        <v>230750</v>
      </c>
      <c r="M43" s="1116">
        <f t="shared" si="0"/>
        <v>436032</v>
      </c>
      <c r="N43" s="1116">
        <f t="shared" si="0"/>
        <v>0</v>
      </c>
      <c r="O43" s="1116">
        <f t="shared" si="0"/>
        <v>0</v>
      </c>
      <c r="P43" s="1116">
        <f t="shared" si="0"/>
        <v>45091</v>
      </c>
      <c r="Q43" s="1116">
        <f t="shared" si="0"/>
        <v>0</v>
      </c>
      <c r="R43" s="1432">
        <f t="shared" si="0"/>
        <v>0</v>
      </c>
      <c r="S43" s="634"/>
      <c r="T43" s="634"/>
      <c r="U43" s="634"/>
      <c r="V43" s="634"/>
      <c r="W43" s="634"/>
      <c r="X43" s="634"/>
      <c r="Y43" s="634"/>
      <c r="Z43" s="634"/>
      <c r="AA43" s="634"/>
      <c r="AB43" s="634"/>
      <c r="AC43" s="634"/>
      <c r="AD43" s="634"/>
      <c r="AE43" s="634"/>
    </row>
    <row r="44" spans="1:31" s="635" customFormat="1" ht="18" customHeight="1" thickBot="1">
      <c r="A44" s="98">
        <v>36</v>
      </c>
      <c r="B44" s="586"/>
      <c r="C44" s="1593"/>
      <c r="D44" s="1594"/>
      <c r="E44" s="1595" t="s">
        <v>893</v>
      </c>
      <c r="F44" s="1596"/>
      <c r="G44" s="1596"/>
      <c r="H44" s="1596"/>
      <c r="I44" s="1597"/>
      <c r="J44" s="1598">
        <f>SUM(K44:R44)</f>
        <v>864564</v>
      </c>
      <c r="K44" s="1599">
        <f aca="true" t="shared" si="1" ref="K44:R44">SUM(K13:K13,K18:K18,K23:K23,K28:K28,K33:K33,K38:K38)</f>
        <v>589347</v>
      </c>
      <c r="L44" s="1599">
        <f t="shared" si="1"/>
        <v>105431</v>
      </c>
      <c r="M44" s="1599">
        <f t="shared" si="1"/>
        <v>163206</v>
      </c>
      <c r="N44" s="1599">
        <f t="shared" si="1"/>
        <v>0</v>
      </c>
      <c r="O44" s="1599">
        <f t="shared" si="1"/>
        <v>0</v>
      </c>
      <c r="P44" s="1599">
        <f t="shared" si="1"/>
        <v>6580</v>
      </c>
      <c r="Q44" s="1599">
        <f t="shared" si="1"/>
        <v>0</v>
      </c>
      <c r="R44" s="1600">
        <f t="shared" si="1"/>
        <v>0</v>
      </c>
      <c r="S44" s="634"/>
      <c r="T44" s="634"/>
      <c r="U44" s="634"/>
      <c r="V44" s="634"/>
      <c r="W44" s="634"/>
      <c r="X44" s="634"/>
      <c r="Y44" s="634"/>
      <c r="Z44" s="634"/>
      <c r="AA44" s="634"/>
      <c r="AB44" s="634"/>
      <c r="AC44" s="634"/>
      <c r="AD44" s="634"/>
      <c r="AE44" s="634"/>
    </row>
    <row r="45" spans="1:31" s="29" customFormat="1" ht="22.5" customHeight="1" thickTop="1">
      <c r="A45" s="98">
        <v>37</v>
      </c>
      <c r="B45" s="237">
        <v>7</v>
      </c>
      <c r="C45" s="492"/>
      <c r="D45" s="1823" t="s">
        <v>296</v>
      </c>
      <c r="E45" s="1824"/>
      <c r="F45" s="351" t="s">
        <v>22</v>
      </c>
      <c r="G45" s="249">
        <v>946591</v>
      </c>
      <c r="H45" s="249">
        <v>996977</v>
      </c>
      <c r="I45" s="352">
        <v>1026913</v>
      </c>
      <c r="J45" s="342"/>
      <c r="K45" s="249"/>
      <c r="L45" s="249"/>
      <c r="M45" s="249"/>
      <c r="N45" s="249"/>
      <c r="O45" s="249"/>
      <c r="P45" s="249"/>
      <c r="Q45" s="249"/>
      <c r="R45" s="272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</row>
    <row r="46" spans="1:31" s="635" customFormat="1" ht="18" customHeight="1">
      <c r="A46" s="98">
        <v>38</v>
      </c>
      <c r="B46" s="586"/>
      <c r="C46" s="628"/>
      <c r="D46" s="628"/>
      <c r="E46" s="629" t="s">
        <v>283</v>
      </c>
      <c r="F46" s="608"/>
      <c r="G46" s="608"/>
      <c r="H46" s="608"/>
      <c r="I46" s="630"/>
      <c r="J46" s="631">
        <f>SUM(K46:R46)</f>
        <v>1120897</v>
      </c>
      <c r="K46" s="632">
        <v>831821</v>
      </c>
      <c r="L46" s="632">
        <v>145633</v>
      </c>
      <c r="M46" s="632">
        <v>139995</v>
      </c>
      <c r="N46" s="632"/>
      <c r="O46" s="632"/>
      <c r="P46" s="632">
        <v>3448</v>
      </c>
      <c r="Q46" s="632"/>
      <c r="R46" s="633"/>
      <c r="S46" s="634"/>
      <c r="T46" s="634"/>
      <c r="U46" s="634"/>
      <c r="V46" s="634"/>
      <c r="W46" s="634"/>
      <c r="X46" s="634"/>
      <c r="Y46" s="634"/>
      <c r="Z46" s="634"/>
      <c r="AA46" s="634"/>
      <c r="AB46" s="634"/>
      <c r="AC46" s="634"/>
      <c r="AD46" s="634"/>
      <c r="AE46" s="634"/>
    </row>
    <row r="47" spans="1:31" s="635" customFormat="1" ht="18" customHeight="1">
      <c r="A47" s="98">
        <v>39</v>
      </c>
      <c r="B47" s="586"/>
      <c r="C47" s="628"/>
      <c r="D47" s="628"/>
      <c r="E47" s="478" t="s">
        <v>757</v>
      </c>
      <c r="F47" s="608"/>
      <c r="G47" s="608"/>
      <c r="H47" s="608"/>
      <c r="I47" s="630"/>
      <c r="J47" s="269">
        <f>SUM(K47:R47)</f>
        <v>1152246</v>
      </c>
      <c r="K47" s="1114">
        <v>852305</v>
      </c>
      <c r="L47" s="1114">
        <v>148699</v>
      </c>
      <c r="M47" s="1114">
        <v>139995</v>
      </c>
      <c r="N47" s="1114"/>
      <c r="O47" s="1114"/>
      <c r="P47" s="1114">
        <v>11247</v>
      </c>
      <c r="Q47" s="632"/>
      <c r="R47" s="633"/>
      <c r="S47" s="634"/>
      <c r="T47" s="634"/>
      <c r="U47" s="634"/>
      <c r="V47" s="634"/>
      <c r="W47" s="634"/>
      <c r="X47" s="634"/>
      <c r="Y47" s="634"/>
      <c r="Z47" s="634"/>
      <c r="AA47" s="634"/>
      <c r="AB47" s="634"/>
      <c r="AC47" s="634"/>
      <c r="AD47" s="634"/>
      <c r="AE47" s="634"/>
    </row>
    <row r="48" spans="1:31" s="635" customFormat="1" ht="18" customHeight="1">
      <c r="A48" s="98">
        <v>40</v>
      </c>
      <c r="B48" s="586"/>
      <c r="C48" s="628"/>
      <c r="D48" s="628"/>
      <c r="E48" s="1092" t="s">
        <v>892</v>
      </c>
      <c r="F48" s="608"/>
      <c r="G48" s="608"/>
      <c r="H48" s="608"/>
      <c r="I48" s="630"/>
      <c r="J48" s="1111">
        <f>SUM(K48:R48)</f>
        <v>533974</v>
      </c>
      <c r="K48" s="273">
        <v>393275</v>
      </c>
      <c r="L48" s="273">
        <v>69015</v>
      </c>
      <c r="M48" s="273">
        <v>69545</v>
      </c>
      <c r="N48" s="1112"/>
      <c r="O48" s="1112"/>
      <c r="P48" s="1112">
        <v>2139</v>
      </c>
      <c r="Q48" s="632"/>
      <c r="R48" s="633"/>
      <c r="S48" s="634"/>
      <c r="T48" s="634"/>
      <c r="U48" s="634"/>
      <c r="V48" s="634"/>
      <c r="W48" s="634"/>
      <c r="X48" s="634"/>
      <c r="Y48" s="634"/>
      <c r="Z48" s="634"/>
      <c r="AA48" s="634"/>
      <c r="AB48" s="634"/>
      <c r="AC48" s="634"/>
      <c r="AD48" s="634"/>
      <c r="AE48" s="634"/>
    </row>
    <row r="49" spans="1:31" s="32" customFormat="1" ht="18" customHeight="1">
      <c r="A49" s="98">
        <v>41</v>
      </c>
      <c r="B49" s="227"/>
      <c r="C49" s="490">
        <v>1</v>
      </c>
      <c r="D49" s="1821" t="s">
        <v>659</v>
      </c>
      <c r="E49" s="1822"/>
      <c r="F49" s="353"/>
      <c r="G49" s="94">
        <v>10041</v>
      </c>
      <c r="H49" s="94"/>
      <c r="I49" s="266"/>
      <c r="J49" s="277"/>
      <c r="K49" s="261"/>
      <c r="L49" s="261"/>
      <c r="M49" s="261"/>
      <c r="N49" s="273"/>
      <c r="O49" s="273"/>
      <c r="P49" s="273"/>
      <c r="Q49" s="273"/>
      <c r="R49" s="274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</row>
    <row r="50" spans="1:31" s="32" customFormat="1" ht="22.5" customHeight="1">
      <c r="A50" s="98">
        <v>42</v>
      </c>
      <c r="B50" s="223">
        <v>8</v>
      </c>
      <c r="C50" s="490"/>
      <c r="D50" s="1819" t="s">
        <v>113</v>
      </c>
      <c r="E50" s="1820"/>
      <c r="F50" s="350" t="s">
        <v>22</v>
      </c>
      <c r="G50" s="94">
        <v>85870</v>
      </c>
      <c r="H50" s="94">
        <v>69250</v>
      </c>
      <c r="I50" s="266">
        <v>85741</v>
      </c>
      <c r="J50" s="277"/>
      <c r="K50" s="94"/>
      <c r="L50" s="94"/>
      <c r="M50" s="94"/>
      <c r="N50" s="94"/>
      <c r="O50" s="94"/>
      <c r="P50" s="94"/>
      <c r="Q50" s="94"/>
      <c r="R50" s="102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</row>
    <row r="51" spans="1:31" s="596" customFormat="1" ht="18" customHeight="1">
      <c r="A51" s="98">
        <v>43</v>
      </c>
      <c r="B51" s="359"/>
      <c r="C51" s="1038"/>
      <c r="D51" s="1038"/>
      <c r="E51" s="629" t="s">
        <v>283</v>
      </c>
      <c r="F51" s="1039"/>
      <c r="G51" s="1039"/>
      <c r="H51" s="1039"/>
      <c r="I51" s="630"/>
      <c r="J51" s="631">
        <f>SUM(K51:R51)</f>
        <v>73767</v>
      </c>
      <c r="K51" s="632">
        <v>43210</v>
      </c>
      <c r="L51" s="632">
        <v>6845</v>
      </c>
      <c r="M51" s="632">
        <v>23371</v>
      </c>
      <c r="N51" s="632"/>
      <c r="O51" s="632"/>
      <c r="P51" s="632">
        <v>341</v>
      </c>
      <c r="Q51" s="632"/>
      <c r="R51" s="633"/>
      <c r="S51" s="643"/>
      <c r="T51" s="643"/>
      <c r="U51" s="643"/>
      <c r="V51" s="643"/>
      <c r="W51" s="643"/>
      <c r="X51" s="643"/>
      <c r="Y51" s="643"/>
      <c r="Z51" s="643"/>
      <c r="AA51" s="643"/>
      <c r="AB51" s="643"/>
      <c r="AC51" s="643"/>
      <c r="AD51" s="643"/>
      <c r="AE51" s="643"/>
    </row>
    <row r="52" spans="1:31" s="596" customFormat="1" ht="18" customHeight="1">
      <c r="A52" s="98">
        <v>44</v>
      </c>
      <c r="B52" s="359"/>
      <c r="C52" s="1038"/>
      <c r="D52" s="1038"/>
      <c r="E52" s="478" t="s">
        <v>757</v>
      </c>
      <c r="F52" s="1039"/>
      <c r="G52" s="1039"/>
      <c r="H52" s="1039"/>
      <c r="I52" s="630"/>
      <c r="J52" s="269">
        <f>SUM(K52:R52)</f>
        <v>100280</v>
      </c>
      <c r="K52" s="1114">
        <v>58250</v>
      </c>
      <c r="L52" s="1114">
        <v>8296</v>
      </c>
      <c r="M52" s="1114">
        <v>32893</v>
      </c>
      <c r="N52" s="1114"/>
      <c r="O52" s="1114"/>
      <c r="P52" s="1114">
        <v>841</v>
      </c>
      <c r="Q52" s="632"/>
      <c r="R52" s="63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</row>
    <row r="53" spans="1:31" s="596" customFormat="1" ht="18" customHeight="1">
      <c r="A53" s="98">
        <v>45</v>
      </c>
      <c r="B53" s="359"/>
      <c r="C53" s="1038"/>
      <c r="D53" s="1038"/>
      <c r="E53" s="1092" t="s">
        <v>892</v>
      </c>
      <c r="F53" s="1039"/>
      <c r="G53" s="1039"/>
      <c r="H53" s="1039"/>
      <c r="I53" s="630"/>
      <c r="J53" s="1111">
        <f>SUM(K53:R53)</f>
        <v>38539</v>
      </c>
      <c r="K53" s="273">
        <v>26814</v>
      </c>
      <c r="L53" s="273">
        <v>4111</v>
      </c>
      <c r="M53" s="273">
        <v>7522</v>
      </c>
      <c r="N53" s="632"/>
      <c r="O53" s="632"/>
      <c r="P53" s="273">
        <v>92</v>
      </c>
      <c r="Q53" s="632"/>
      <c r="R53" s="633"/>
      <c r="S53" s="643"/>
      <c r="T53" s="643"/>
      <c r="U53" s="643"/>
      <c r="V53" s="643"/>
      <c r="W53" s="643"/>
      <c r="X53" s="643"/>
      <c r="Y53" s="643"/>
      <c r="Z53" s="643"/>
      <c r="AA53" s="643"/>
      <c r="AB53" s="643"/>
      <c r="AC53" s="643"/>
      <c r="AD53" s="643"/>
      <c r="AE53" s="643"/>
    </row>
    <row r="54" spans="1:31" s="32" customFormat="1" ht="22.5" customHeight="1">
      <c r="A54" s="98">
        <v>46</v>
      </c>
      <c r="B54" s="223">
        <v>9</v>
      </c>
      <c r="C54" s="490"/>
      <c r="D54" s="1819" t="s">
        <v>376</v>
      </c>
      <c r="E54" s="1820"/>
      <c r="F54" s="350" t="s">
        <v>22</v>
      </c>
      <c r="G54" s="94">
        <v>274833</v>
      </c>
      <c r="H54" s="94">
        <v>243642</v>
      </c>
      <c r="I54" s="266">
        <v>300491</v>
      </c>
      <c r="J54" s="277"/>
      <c r="K54" s="94"/>
      <c r="L54" s="94"/>
      <c r="M54" s="94"/>
      <c r="N54" s="94"/>
      <c r="O54" s="94"/>
      <c r="P54" s="94"/>
      <c r="Q54" s="94"/>
      <c r="R54" s="102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</row>
    <row r="55" spans="1:31" s="596" customFormat="1" ht="18" customHeight="1">
      <c r="A55" s="98">
        <v>47</v>
      </c>
      <c r="B55" s="359"/>
      <c r="C55" s="1040"/>
      <c r="D55" s="1040"/>
      <c r="E55" s="629" t="s">
        <v>283</v>
      </c>
      <c r="F55" s="1041"/>
      <c r="G55" s="1041"/>
      <c r="H55" s="1041"/>
      <c r="I55" s="639"/>
      <c r="J55" s="640">
        <f>SUM(K55:R55)</f>
        <v>263190</v>
      </c>
      <c r="K55" s="641">
        <v>187374</v>
      </c>
      <c r="L55" s="641">
        <v>34010</v>
      </c>
      <c r="M55" s="641">
        <v>32676</v>
      </c>
      <c r="N55" s="641"/>
      <c r="O55" s="641"/>
      <c r="P55" s="641">
        <v>9130</v>
      </c>
      <c r="Q55" s="641"/>
      <c r="R55" s="642"/>
      <c r="S55" s="643"/>
      <c r="T55" s="643"/>
      <c r="U55" s="643"/>
      <c r="V55" s="643"/>
      <c r="W55" s="643"/>
      <c r="X55" s="643"/>
      <c r="Y55" s="643"/>
      <c r="Z55" s="643"/>
      <c r="AA55" s="643"/>
      <c r="AB55" s="643"/>
      <c r="AC55" s="643"/>
      <c r="AD55" s="643"/>
      <c r="AE55" s="643"/>
    </row>
    <row r="56" spans="1:31" s="596" customFormat="1" ht="18" customHeight="1">
      <c r="A56" s="98">
        <v>48</v>
      </c>
      <c r="B56" s="359"/>
      <c r="C56" s="1040"/>
      <c r="D56" s="1040"/>
      <c r="E56" s="478" t="s">
        <v>757</v>
      </c>
      <c r="F56" s="1041"/>
      <c r="G56" s="1041"/>
      <c r="H56" s="1041"/>
      <c r="I56" s="639"/>
      <c r="J56" s="1424">
        <f>SUM(K56:R56)</f>
        <v>303477</v>
      </c>
      <c r="K56" s="1116">
        <v>219915</v>
      </c>
      <c r="L56" s="1116">
        <v>39669</v>
      </c>
      <c r="M56" s="1116">
        <v>34763</v>
      </c>
      <c r="N56" s="1116"/>
      <c r="O56" s="1116"/>
      <c r="P56" s="1116">
        <v>9130</v>
      </c>
      <c r="Q56" s="641"/>
      <c r="R56" s="642"/>
      <c r="S56" s="643"/>
      <c r="T56" s="643"/>
      <c r="U56" s="643"/>
      <c r="V56" s="643"/>
      <c r="W56" s="643"/>
      <c r="X56" s="643"/>
      <c r="Y56" s="643"/>
      <c r="Z56" s="643"/>
      <c r="AA56" s="643"/>
      <c r="AB56" s="643"/>
      <c r="AC56" s="643"/>
      <c r="AD56" s="643"/>
      <c r="AE56" s="643"/>
    </row>
    <row r="57" spans="1:31" s="596" customFormat="1" ht="18" customHeight="1">
      <c r="A57" s="98">
        <v>49</v>
      </c>
      <c r="B57" s="359"/>
      <c r="C57" s="1040"/>
      <c r="D57" s="1040"/>
      <c r="E57" s="1092" t="s">
        <v>889</v>
      </c>
      <c r="F57" s="1041"/>
      <c r="G57" s="1041"/>
      <c r="H57" s="1041"/>
      <c r="I57" s="639"/>
      <c r="J57" s="1111">
        <f>SUM(K57:R57)</f>
        <v>149105</v>
      </c>
      <c r="K57" s="1273">
        <v>112890</v>
      </c>
      <c r="L57" s="1273">
        <v>17987</v>
      </c>
      <c r="M57" s="1273">
        <f>14171-874</f>
        <v>13297</v>
      </c>
      <c r="N57" s="641"/>
      <c r="O57" s="641"/>
      <c r="P57" s="1273">
        <f>5117-186</f>
        <v>4931</v>
      </c>
      <c r="Q57" s="641"/>
      <c r="R57" s="642"/>
      <c r="S57" s="643"/>
      <c r="T57" s="643"/>
      <c r="U57" s="643"/>
      <c r="V57" s="643"/>
      <c r="W57" s="643"/>
      <c r="X57" s="643"/>
      <c r="Y57" s="643"/>
      <c r="Z57" s="643"/>
      <c r="AA57" s="643"/>
      <c r="AB57" s="643"/>
      <c r="AC57" s="643"/>
      <c r="AD57" s="643"/>
      <c r="AE57" s="643"/>
    </row>
    <row r="58" spans="1:31" s="596" customFormat="1" ht="18" customHeight="1">
      <c r="A58" s="98">
        <v>50</v>
      </c>
      <c r="B58" s="359"/>
      <c r="C58" s="1462">
        <v>1</v>
      </c>
      <c r="D58" s="1699" t="s">
        <v>811</v>
      </c>
      <c r="E58" s="1698"/>
      <c r="F58" s="1041"/>
      <c r="G58" s="1041"/>
      <c r="H58" s="1041"/>
      <c r="I58" s="639"/>
      <c r="J58" s="269"/>
      <c r="K58" s="1116"/>
      <c r="L58" s="1116"/>
      <c r="M58" s="1116"/>
      <c r="N58" s="1116"/>
      <c r="O58" s="1116"/>
      <c r="P58" s="1116"/>
      <c r="Q58" s="641"/>
      <c r="R58" s="642"/>
      <c r="S58" s="643"/>
      <c r="T58" s="643"/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43"/>
    </row>
    <row r="59" spans="1:31" s="596" customFormat="1" ht="18" customHeight="1">
      <c r="A59" s="98">
        <v>51</v>
      </c>
      <c r="B59" s="359"/>
      <c r="C59" s="1462"/>
      <c r="D59" s="1699"/>
      <c r="E59" s="260" t="s">
        <v>757</v>
      </c>
      <c r="F59" s="1041"/>
      <c r="G59" s="1041"/>
      <c r="H59" s="1041"/>
      <c r="I59" s="639"/>
      <c r="J59" s="269">
        <f>SUM(K59:R59)</f>
        <v>15000</v>
      </c>
      <c r="K59" s="1116">
        <v>1062</v>
      </c>
      <c r="L59" s="1116">
        <v>164</v>
      </c>
      <c r="M59" s="1116">
        <v>13103</v>
      </c>
      <c r="N59" s="1116"/>
      <c r="O59" s="1116"/>
      <c r="P59" s="1116">
        <v>671</v>
      </c>
      <c r="Q59" s="641"/>
      <c r="R59" s="642"/>
      <c r="S59" s="643"/>
      <c r="T59" s="643"/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3"/>
    </row>
    <row r="60" spans="1:31" s="596" customFormat="1" ht="18" customHeight="1">
      <c r="A60" s="98">
        <v>52</v>
      </c>
      <c r="B60" s="359"/>
      <c r="C60" s="1040"/>
      <c r="D60" s="587"/>
      <c r="E60" s="1092" t="s">
        <v>892</v>
      </c>
      <c r="F60" s="1041"/>
      <c r="G60" s="1041"/>
      <c r="H60" s="1041"/>
      <c r="I60" s="639"/>
      <c r="J60" s="1111">
        <f>SUM(K60:R60)</f>
        <v>1060</v>
      </c>
      <c r="K60" s="1273"/>
      <c r="L60" s="1273"/>
      <c r="M60" s="1273">
        <v>874</v>
      </c>
      <c r="N60" s="1273"/>
      <c r="O60" s="1273"/>
      <c r="P60" s="1273">
        <v>186</v>
      </c>
      <c r="Q60" s="641"/>
      <c r="R60" s="642"/>
      <c r="S60" s="643"/>
      <c r="T60" s="643"/>
      <c r="U60" s="643"/>
      <c r="V60" s="643"/>
      <c r="W60" s="643"/>
      <c r="X60" s="643"/>
      <c r="Y60" s="643"/>
      <c r="Z60" s="643"/>
      <c r="AA60" s="643"/>
      <c r="AB60" s="643"/>
      <c r="AC60" s="643"/>
      <c r="AD60" s="643"/>
      <c r="AE60" s="643"/>
    </row>
    <row r="61" spans="1:31" s="32" customFormat="1" ht="18" customHeight="1" thickBot="1">
      <c r="A61" s="98">
        <v>53</v>
      </c>
      <c r="B61" s="227"/>
      <c r="C61" s="491">
        <v>2</v>
      </c>
      <c r="D61" s="1875" t="s">
        <v>137</v>
      </c>
      <c r="E61" s="1867"/>
      <c r="F61" s="353"/>
      <c r="G61" s="94">
        <v>180</v>
      </c>
      <c r="H61" s="94"/>
      <c r="I61" s="266"/>
      <c r="J61" s="277"/>
      <c r="K61" s="261"/>
      <c r="L61" s="261"/>
      <c r="M61" s="261"/>
      <c r="N61" s="273"/>
      <c r="O61" s="273"/>
      <c r="P61" s="273"/>
      <c r="Q61" s="273"/>
      <c r="R61" s="274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</row>
    <row r="62" spans="1:31" s="154" customFormat="1" ht="22.5" customHeight="1" thickTop="1">
      <c r="A62" s="98">
        <v>54</v>
      </c>
      <c r="B62" s="270"/>
      <c r="C62" s="1825" t="s">
        <v>425</v>
      </c>
      <c r="D62" s="1826"/>
      <c r="E62" s="1827"/>
      <c r="F62" s="526"/>
      <c r="G62" s="522">
        <f>SUM(G45:G61)</f>
        <v>1317515</v>
      </c>
      <c r="H62" s="522">
        <f>SUM(H45:H61)</f>
        <v>1309869</v>
      </c>
      <c r="I62" s="524">
        <f>SUM(I45:I61)</f>
        <v>1413145</v>
      </c>
      <c r="J62" s="525"/>
      <c r="K62" s="527"/>
      <c r="L62" s="527"/>
      <c r="M62" s="527"/>
      <c r="N62" s="527"/>
      <c r="O62" s="527"/>
      <c r="P62" s="527"/>
      <c r="Q62" s="527"/>
      <c r="R62" s="528"/>
      <c r="S62" s="271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</row>
    <row r="63" spans="1:31" s="596" customFormat="1" ht="18" customHeight="1">
      <c r="A63" s="98">
        <v>55</v>
      </c>
      <c r="B63" s="359"/>
      <c r="C63" s="1108"/>
      <c r="D63" s="1040"/>
      <c r="E63" s="621" t="s">
        <v>283</v>
      </c>
      <c r="F63" s="1041"/>
      <c r="G63" s="1041"/>
      <c r="H63" s="1041"/>
      <c r="I63" s="639"/>
      <c r="J63" s="640">
        <f>SUM(K63:R63)</f>
        <v>1457854</v>
      </c>
      <c r="K63" s="641">
        <f aca="true" t="shared" si="2" ref="K63:R63">SUM(K46,K51,K55)</f>
        <v>1062405</v>
      </c>
      <c r="L63" s="641">
        <f t="shared" si="2"/>
        <v>186488</v>
      </c>
      <c r="M63" s="641">
        <f t="shared" si="2"/>
        <v>196042</v>
      </c>
      <c r="N63" s="641">
        <f t="shared" si="2"/>
        <v>0</v>
      </c>
      <c r="O63" s="641">
        <f t="shared" si="2"/>
        <v>0</v>
      </c>
      <c r="P63" s="641">
        <f t="shared" si="2"/>
        <v>12919</v>
      </c>
      <c r="Q63" s="641">
        <f t="shared" si="2"/>
        <v>0</v>
      </c>
      <c r="R63" s="642">
        <f t="shared" si="2"/>
        <v>0</v>
      </c>
      <c r="S63" s="643"/>
      <c r="T63" s="643"/>
      <c r="U63" s="643"/>
      <c r="V63" s="643"/>
      <c r="W63" s="643"/>
      <c r="X63" s="643"/>
      <c r="Y63" s="643"/>
      <c r="Z63" s="643"/>
      <c r="AA63" s="643"/>
      <c r="AB63" s="643"/>
      <c r="AC63" s="643"/>
      <c r="AD63" s="643"/>
      <c r="AE63" s="643"/>
    </row>
    <row r="64" spans="1:31" s="596" customFormat="1" ht="18" customHeight="1">
      <c r="A64" s="98">
        <v>56</v>
      </c>
      <c r="B64" s="1117"/>
      <c r="C64" s="1108"/>
      <c r="D64" s="1040"/>
      <c r="E64" s="478" t="s">
        <v>757</v>
      </c>
      <c r="F64" s="1041"/>
      <c r="G64" s="1041"/>
      <c r="H64" s="1041"/>
      <c r="I64" s="639"/>
      <c r="J64" s="1424">
        <f>SUM(K64:R64)</f>
        <v>1571003</v>
      </c>
      <c r="K64" s="1116">
        <f aca="true" t="shared" si="3" ref="K64:R64">SUM(K47,K52,K56,K59)</f>
        <v>1131532</v>
      </c>
      <c r="L64" s="1116">
        <f t="shared" si="3"/>
        <v>196828</v>
      </c>
      <c r="M64" s="1116">
        <f t="shared" si="3"/>
        <v>220754</v>
      </c>
      <c r="N64" s="1116">
        <f t="shared" si="3"/>
        <v>0</v>
      </c>
      <c r="O64" s="1116">
        <f t="shared" si="3"/>
        <v>0</v>
      </c>
      <c r="P64" s="1116">
        <f t="shared" si="3"/>
        <v>21889</v>
      </c>
      <c r="Q64" s="1116">
        <f t="shared" si="3"/>
        <v>0</v>
      </c>
      <c r="R64" s="1432">
        <f t="shared" si="3"/>
        <v>0</v>
      </c>
      <c r="S64" s="643"/>
      <c r="T64" s="643"/>
      <c r="U64" s="643"/>
      <c r="V64" s="643"/>
      <c r="W64" s="643"/>
      <c r="X64" s="643"/>
      <c r="Y64" s="643"/>
      <c r="Z64" s="643"/>
      <c r="AA64" s="643"/>
      <c r="AB64" s="643"/>
      <c r="AC64" s="643"/>
      <c r="AD64" s="643"/>
      <c r="AE64" s="643"/>
    </row>
    <row r="65" spans="1:31" s="596" customFormat="1" ht="18" customHeight="1" thickBot="1">
      <c r="A65" s="98">
        <v>57</v>
      </c>
      <c r="B65" s="1117"/>
      <c r="C65" s="1042"/>
      <c r="D65" s="1042"/>
      <c r="E65" s="1595" t="s">
        <v>893</v>
      </c>
      <c r="F65" s="1601"/>
      <c r="G65" s="1601"/>
      <c r="H65" s="1601"/>
      <c r="I65" s="1597"/>
      <c r="J65" s="1598">
        <f>SUM(K65:R65)</f>
        <v>722678</v>
      </c>
      <c r="K65" s="1599">
        <f aca="true" t="shared" si="4" ref="K65:R65">SUM(K48:K48,K53:K53,K57:K57)+K60</f>
        <v>532979</v>
      </c>
      <c r="L65" s="1599">
        <f t="shared" si="4"/>
        <v>91113</v>
      </c>
      <c r="M65" s="1599">
        <f t="shared" si="4"/>
        <v>91238</v>
      </c>
      <c r="N65" s="1599">
        <f t="shared" si="4"/>
        <v>0</v>
      </c>
      <c r="O65" s="1599">
        <f t="shared" si="4"/>
        <v>0</v>
      </c>
      <c r="P65" s="1599">
        <f t="shared" si="4"/>
        <v>7348</v>
      </c>
      <c r="Q65" s="1599">
        <f t="shared" si="4"/>
        <v>0</v>
      </c>
      <c r="R65" s="1600">
        <f t="shared" si="4"/>
        <v>0</v>
      </c>
      <c r="S65" s="643"/>
      <c r="T65" s="643"/>
      <c r="U65" s="643"/>
      <c r="V65" s="643"/>
      <c r="W65" s="643"/>
      <c r="X65" s="643"/>
      <c r="Y65" s="643"/>
      <c r="Z65" s="643"/>
      <c r="AA65" s="643"/>
      <c r="AB65" s="643"/>
      <c r="AC65" s="643"/>
      <c r="AD65" s="643"/>
      <c r="AE65" s="643"/>
    </row>
    <row r="66" spans="1:31" s="22" customFormat="1" ht="22.5" customHeight="1" thickTop="1">
      <c r="A66" s="98">
        <v>58</v>
      </c>
      <c r="B66" s="237">
        <v>10</v>
      </c>
      <c r="C66" s="492"/>
      <c r="D66" s="1823" t="s">
        <v>378</v>
      </c>
      <c r="E66" s="1824"/>
      <c r="F66" s="351" t="s">
        <v>22</v>
      </c>
      <c r="G66" s="249">
        <v>245048</v>
      </c>
      <c r="H66" s="249">
        <v>213129</v>
      </c>
      <c r="I66" s="352">
        <v>207853</v>
      </c>
      <c r="J66" s="342"/>
      <c r="K66" s="249"/>
      <c r="L66" s="249"/>
      <c r="M66" s="249"/>
      <c r="N66" s="249"/>
      <c r="O66" s="249"/>
      <c r="P66" s="249"/>
      <c r="Q66" s="249"/>
      <c r="R66" s="272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</row>
    <row r="67" spans="1:31" s="596" customFormat="1" ht="18" customHeight="1">
      <c r="A67" s="98">
        <v>59</v>
      </c>
      <c r="B67" s="359"/>
      <c r="C67" s="1038"/>
      <c r="D67" s="1038"/>
      <c r="E67" s="629" t="s">
        <v>283</v>
      </c>
      <c r="F67" s="1039"/>
      <c r="G67" s="1039"/>
      <c r="H67" s="1039"/>
      <c r="I67" s="630"/>
      <c r="J67" s="631">
        <f>SUM(K67:R67)</f>
        <v>239700</v>
      </c>
      <c r="K67" s="632">
        <v>99852</v>
      </c>
      <c r="L67" s="632">
        <v>16263</v>
      </c>
      <c r="M67" s="632">
        <v>120585</v>
      </c>
      <c r="N67" s="632"/>
      <c r="O67" s="632"/>
      <c r="P67" s="632">
        <v>3000</v>
      </c>
      <c r="Q67" s="632"/>
      <c r="R67" s="633"/>
      <c r="S67" s="643"/>
      <c r="T67" s="643"/>
      <c r="U67" s="643"/>
      <c r="V67" s="643"/>
      <c r="W67" s="643"/>
      <c r="X67" s="643"/>
      <c r="Y67" s="643"/>
      <c r="Z67" s="643"/>
      <c r="AA67" s="643"/>
      <c r="AB67" s="643"/>
      <c r="AC67" s="643"/>
      <c r="AD67" s="643"/>
      <c r="AE67" s="643"/>
    </row>
    <row r="68" spans="1:31" s="596" customFormat="1" ht="18" customHeight="1">
      <c r="A68" s="98">
        <v>60</v>
      </c>
      <c r="B68" s="359"/>
      <c r="C68" s="1038"/>
      <c r="D68" s="1038"/>
      <c r="E68" s="478" t="s">
        <v>757</v>
      </c>
      <c r="F68" s="1039"/>
      <c r="G68" s="1039"/>
      <c r="H68" s="1039"/>
      <c r="I68" s="630"/>
      <c r="J68" s="269">
        <f>SUM(K68:R68)</f>
        <v>285430</v>
      </c>
      <c r="K68" s="1114">
        <v>110852</v>
      </c>
      <c r="L68" s="1114">
        <v>17863</v>
      </c>
      <c r="M68" s="1114">
        <v>150475</v>
      </c>
      <c r="N68" s="1114"/>
      <c r="O68" s="1114"/>
      <c r="P68" s="1114">
        <v>6240</v>
      </c>
      <c r="Q68" s="632"/>
      <c r="R68" s="633"/>
      <c r="S68" s="643"/>
      <c r="T68" s="643"/>
      <c r="U68" s="643"/>
      <c r="V68" s="643"/>
      <c r="W68" s="643"/>
      <c r="X68" s="643"/>
      <c r="Y68" s="643"/>
      <c r="Z68" s="643"/>
      <c r="AA68" s="643"/>
      <c r="AB68" s="643"/>
      <c r="AC68" s="643"/>
      <c r="AD68" s="643"/>
      <c r="AE68" s="643"/>
    </row>
    <row r="69" spans="1:31" s="596" customFormat="1" ht="18" customHeight="1">
      <c r="A69" s="98">
        <v>61</v>
      </c>
      <c r="B69" s="359"/>
      <c r="C69" s="1038"/>
      <c r="D69" s="1038"/>
      <c r="E69" s="1090" t="s">
        <v>892</v>
      </c>
      <c r="F69" s="1039"/>
      <c r="G69" s="1039"/>
      <c r="H69" s="1039"/>
      <c r="I69" s="630"/>
      <c r="J69" s="1111">
        <f>SUM(K69:R69)</f>
        <v>91172</v>
      </c>
      <c r="K69" s="273">
        <f>54284-5589-2183</f>
        <v>46512</v>
      </c>
      <c r="L69" s="273">
        <f>8410-871-283</f>
        <v>7256</v>
      </c>
      <c r="M69" s="273">
        <f>36755-163-344</f>
        <v>36248</v>
      </c>
      <c r="N69" s="273"/>
      <c r="O69" s="273"/>
      <c r="P69" s="273">
        <f>1724-568</f>
        <v>1156</v>
      </c>
      <c r="Q69" s="632"/>
      <c r="R69" s="633"/>
      <c r="S69" s="643"/>
      <c r="T69" s="643"/>
      <c r="U69" s="643"/>
      <c r="V69" s="643"/>
      <c r="W69" s="643"/>
      <c r="X69" s="643"/>
      <c r="Y69" s="643"/>
      <c r="Z69" s="643"/>
      <c r="AA69" s="643"/>
      <c r="AB69" s="643"/>
      <c r="AC69" s="643"/>
      <c r="AD69" s="643"/>
      <c r="AE69" s="643"/>
    </row>
    <row r="70" spans="1:31" s="29" customFormat="1" ht="18" customHeight="1">
      <c r="A70" s="98">
        <v>62</v>
      </c>
      <c r="B70" s="913"/>
      <c r="C70" s="914"/>
      <c r="D70" s="1872" t="s">
        <v>525</v>
      </c>
      <c r="E70" s="1873"/>
      <c r="F70" s="915"/>
      <c r="G70" s="116"/>
      <c r="H70" s="116">
        <v>13610</v>
      </c>
      <c r="I70" s="916"/>
      <c r="J70" s="277"/>
      <c r="K70" s="273"/>
      <c r="L70" s="273"/>
      <c r="M70" s="273"/>
      <c r="N70" s="273"/>
      <c r="O70" s="273"/>
      <c r="P70" s="273"/>
      <c r="Q70" s="273"/>
      <c r="R70" s="274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</row>
    <row r="71" spans="1:31" s="25" customFormat="1" ht="28.5" customHeight="1">
      <c r="A71" s="98">
        <v>63</v>
      </c>
      <c r="B71" s="227"/>
      <c r="C71" s="490">
        <v>1</v>
      </c>
      <c r="D71" s="1828" t="s">
        <v>419</v>
      </c>
      <c r="E71" s="1876"/>
      <c r="F71" s="494"/>
      <c r="G71" s="94">
        <v>5228</v>
      </c>
      <c r="H71" s="94">
        <v>89379</v>
      </c>
      <c r="I71" s="266">
        <v>13739</v>
      </c>
      <c r="J71" s="277"/>
      <c r="K71" s="261"/>
      <c r="L71" s="261"/>
      <c r="M71" s="261"/>
      <c r="N71" s="273"/>
      <c r="O71" s="273"/>
      <c r="P71" s="273"/>
      <c r="Q71" s="273"/>
      <c r="R71" s="27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645" customFormat="1" ht="18" customHeight="1">
      <c r="A72" s="98">
        <v>64</v>
      </c>
      <c r="B72" s="359"/>
      <c r="C72" s="1038"/>
      <c r="D72" s="1038"/>
      <c r="E72" s="1052" t="s">
        <v>283</v>
      </c>
      <c r="F72" s="1043"/>
      <c r="G72" s="1039"/>
      <c r="H72" s="1039"/>
      <c r="I72" s="630"/>
      <c r="J72" s="631">
        <f>SUM(K72:R72)</f>
        <v>75640</v>
      </c>
      <c r="K72" s="632">
        <v>23241</v>
      </c>
      <c r="L72" s="632">
        <v>4479</v>
      </c>
      <c r="M72" s="632">
        <v>43870</v>
      </c>
      <c r="N72" s="632"/>
      <c r="O72" s="632"/>
      <c r="P72" s="632">
        <v>4050</v>
      </c>
      <c r="Q72" s="632"/>
      <c r="R72" s="633"/>
      <c r="S72" s="644"/>
      <c r="T72" s="644"/>
      <c r="U72" s="644"/>
      <c r="V72" s="644"/>
      <c r="W72" s="644"/>
      <c r="X72" s="644"/>
      <c r="Y72" s="644"/>
      <c r="Z72" s="644"/>
      <c r="AA72" s="644"/>
      <c r="AB72" s="644"/>
      <c r="AC72" s="644"/>
      <c r="AD72" s="644"/>
      <c r="AE72" s="644"/>
    </row>
    <row r="73" spans="1:31" s="645" customFormat="1" ht="18" customHeight="1">
      <c r="A73" s="98">
        <v>65</v>
      </c>
      <c r="B73" s="359"/>
      <c r="C73" s="1038"/>
      <c r="D73" s="1038"/>
      <c r="E73" s="478" t="s">
        <v>757</v>
      </c>
      <c r="F73" s="1043"/>
      <c r="G73" s="1039"/>
      <c r="H73" s="1039"/>
      <c r="I73" s="630"/>
      <c r="J73" s="269">
        <f>SUM(K73:R73)</f>
        <v>75640</v>
      </c>
      <c r="K73" s="1114">
        <v>23241</v>
      </c>
      <c r="L73" s="1114">
        <v>4479</v>
      </c>
      <c r="M73" s="1114">
        <v>43870</v>
      </c>
      <c r="N73" s="1114"/>
      <c r="O73" s="1114"/>
      <c r="P73" s="1114">
        <v>4050</v>
      </c>
      <c r="Q73" s="632"/>
      <c r="R73" s="633"/>
      <c r="S73" s="644"/>
      <c r="T73" s="644"/>
      <c r="U73" s="644"/>
      <c r="V73" s="644"/>
      <c r="W73" s="644"/>
      <c r="X73" s="644"/>
      <c r="Y73" s="644"/>
      <c r="Z73" s="644"/>
      <c r="AA73" s="644"/>
      <c r="AB73" s="644"/>
      <c r="AC73" s="644"/>
      <c r="AD73" s="644"/>
      <c r="AE73" s="644"/>
    </row>
    <row r="74" spans="1:31" s="645" customFormat="1" ht="18" customHeight="1">
      <c r="A74" s="98">
        <v>66</v>
      </c>
      <c r="B74" s="359"/>
      <c r="C74" s="1038"/>
      <c r="D74" s="1038"/>
      <c r="E74" s="1090" t="s">
        <v>893</v>
      </c>
      <c r="F74" s="1043"/>
      <c r="G74" s="1039"/>
      <c r="H74" s="1039"/>
      <c r="I74" s="630"/>
      <c r="J74" s="1111">
        <f>SUM(K74:R74)</f>
        <v>6623</v>
      </c>
      <c r="K74" s="273">
        <v>5589</v>
      </c>
      <c r="L74" s="273">
        <v>871</v>
      </c>
      <c r="M74" s="273">
        <v>163</v>
      </c>
      <c r="N74" s="632"/>
      <c r="O74" s="632"/>
      <c r="P74" s="632"/>
      <c r="Q74" s="632"/>
      <c r="R74" s="633"/>
      <c r="S74" s="644"/>
      <c r="T74" s="644"/>
      <c r="U74" s="644"/>
      <c r="V74" s="644"/>
      <c r="W74" s="644"/>
      <c r="X74" s="644"/>
      <c r="Y74" s="644"/>
      <c r="Z74" s="644"/>
      <c r="AA74" s="644"/>
      <c r="AB74" s="644"/>
      <c r="AC74" s="644"/>
      <c r="AD74" s="644"/>
      <c r="AE74" s="644"/>
    </row>
    <row r="75" spans="1:31" s="645" customFormat="1" ht="34.5" customHeight="1">
      <c r="A75" s="98">
        <v>67</v>
      </c>
      <c r="B75" s="359"/>
      <c r="C75" s="1038"/>
      <c r="D75" s="1830" t="s">
        <v>836</v>
      </c>
      <c r="E75" s="1829"/>
      <c r="F75" s="1043"/>
      <c r="G75" s="1039"/>
      <c r="H75" s="1039"/>
      <c r="I75" s="630"/>
      <c r="J75" s="269"/>
      <c r="K75" s="1114"/>
      <c r="L75" s="1114"/>
      <c r="M75" s="1114"/>
      <c r="N75" s="1114"/>
      <c r="O75" s="1114"/>
      <c r="P75" s="1114"/>
      <c r="Q75" s="632"/>
      <c r="R75" s="633"/>
      <c r="S75" s="644"/>
      <c r="T75" s="644"/>
      <c r="U75" s="644"/>
      <c r="V75" s="644"/>
      <c r="W75" s="644"/>
      <c r="X75" s="644"/>
      <c r="Y75" s="644"/>
      <c r="Z75" s="644"/>
      <c r="AA75" s="644"/>
      <c r="AB75" s="644"/>
      <c r="AC75" s="644"/>
      <c r="AD75" s="644"/>
      <c r="AE75" s="644"/>
    </row>
    <row r="76" spans="1:31" s="645" customFormat="1" ht="19.5" customHeight="1">
      <c r="A76" s="98">
        <v>68</v>
      </c>
      <c r="B76" s="359"/>
      <c r="C76" s="1038"/>
      <c r="D76" s="1586"/>
      <c r="E76" s="260" t="s">
        <v>757</v>
      </c>
      <c r="F76" s="1043"/>
      <c r="G76" s="1039"/>
      <c r="H76" s="1039"/>
      <c r="I76" s="630"/>
      <c r="J76" s="269">
        <f>SUM(K76:R76)</f>
        <v>20000</v>
      </c>
      <c r="K76" s="1114">
        <v>4915</v>
      </c>
      <c r="L76" s="1114">
        <v>686</v>
      </c>
      <c r="M76" s="1114">
        <v>13831</v>
      </c>
      <c r="N76" s="1114"/>
      <c r="O76" s="1114"/>
      <c r="P76" s="1114">
        <v>568</v>
      </c>
      <c r="Q76" s="632"/>
      <c r="R76" s="633"/>
      <c r="S76" s="644"/>
      <c r="T76" s="644"/>
      <c r="U76" s="644"/>
      <c r="V76" s="644"/>
      <c r="W76" s="644"/>
      <c r="X76" s="644"/>
      <c r="Y76" s="644"/>
      <c r="Z76" s="644"/>
      <c r="AA76" s="644"/>
      <c r="AB76" s="644"/>
      <c r="AC76" s="644"/>
      <c r="AD76" s="644"/>
      <c r="AE76" s="644"/>
    </row>
    <row r="77" spans="1:31" s="645" customFormat="1" ht="18" customHeight="1">
      <c r="A77" s="98">
        <v>69</v>
      </c>
      <c r="B77" s="359"/>
      <c r="C77" s="1480">
        <v>2</v>
      </c>
      <c r="D77" s="1104"/>
      <c r="E77" s="1092" t="s">
        <v>892</v>
      </c>
      <c r="F77" s="1043"/>
      <c r="G77" s="1039"/>
      <c r="H77" s="1039"/>
      <c r="I77" s="630"/>
      <c r="J77" s="1111">
        <f>SUM(K77:R77)</f>
        <v>3378</v>
      </c>
      <c r="K77" s="273">
        <v>2183</v>
      </c>
      <c r="L77" s="273">
        <v>283</v>
      </c>
      <c r="M77" s="273">
        <v>344</v>
      </c>
      <c r="N77" s="273"/>
      <c r="O77" s="273"/>
      <c r="P77" s="273">
        <v>568</v>
      </c>
      <c r="Q77" s="632"/>
      <c r="R77" s="633"/>
      <c r="S77" s="644"/>
      <c r="T77" s="644"/>
      <c r="U77" s="644"/>
      <c r="V77" s="644"/>
      <c r="W77" s="644"/>
      <c r="X77" s="644"/>
      <c r="Y77" s="644"/>
      <c r="Z77" s="644"/>
      <c r="AA77" s="644"/>
      <c r="AB77" s="644"/>
      <c r="AC77" s="644"/>
      <c r="AD77" s="644"/>
      <c r="AE77" s="644"/>
    </row>
    <row r="78" spans="1:31" s="29" customFormat="1" ht="22.5" customHeight="1">
      <c r="A78" s="98">
        <v>70</v>
      </c>
      <c r="B78" s="223">
        <v>11</v>
      </c>
      <c r="C78" s="490"/>
      <c r="D78" s="1819" t="s">
        <v>370</v>
      </c>
      <c r="E78" s="1820"/>
      <c r="F78" s="350" t="s">
        <v>22</v>
      </c>
      <c r="G78" s="94">
        <v>151034</v>
      </c>
      <c r="H78" s="94">
        <v>125328</v>
      </c>
      <c r="I78" s="266">
        <v>136279</v>
      </c>
      <c r="J78" s="277"/>
      <c r="K78" s="94"/>
      <c r="L78" s="94"/>
      <c r="M78" s="94"/>
      <c r="N78" s="94"/>
      <c r="O78" s="94"/>
      <c r="P78" s="94"/>
      <c r="Q78" s="94"/>
      <c r="R78" s="102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</row>
    <row r="79" spans="1:31" s="645" customFormat="1" ht="18" customHeight="1">
      <c r="A79" s="98">
        <v>71</v>
      </c>
      <c r="B79" s="359"/>
      <c r="C79" s="1038"/>
      <c r="D79" s="1038"/>
      <c r="E79" s="629" t="s">
        <v>283</v>
      </c>
      <c r="F79" s="1039"/>
      <c r="G79" s="1039"/>
      <c r="H79" s="1039"/>
      <c r="I79" s="630"/>
      <c r="J79" s="631">
        <f>SUM(K79:R79)</f>
        <v>156915</v>
      </c>
      <c r="K79" s="632">
        <v>84974</v>
      </c>
      <c r="L79" s="632">
        <v>13403</v>
      </c>
      <c r="M79" s="632">
        <v>50338</v>
      </c>
      <c r="N79" s="632"/>
      <c r="O79" s="632"/>
      <c r="P79" s="632">
        <v>8200</v>
      </c>
      <c r="Q79" s="632"/>
      <c r="R79" s="633"/>
      <c r="S79" s="644"/>
      <c r="T79" s="644"/>
      <c r="U79" s="644"/>
      <c r="V79" s="644"/>
      <c r="W79" s="644"/>
      <c r="X79" s="644"/>
      <c r="Y79" s="644"/>
      <c r="Z79" s="644"/>
      <c r="AA79" s="644"/>
      <c r="AB79" s="644"/>
      <c r="AC79" s="644"/>
      <c r="AD79" s="644"/>
      <c r="AE79" s="644"/>
    </row>
    <row r="80" spans="1:31" s="645" customFormat="1" ht="18" customHeight="1">
      <c r="A80" s="98">
        <v>72</v>
      </c>
      <c r="B80" s="359"/>
      <c r="C80" s="1038"/>
      <c r="D80" s="1038"/>
      <c r="E80" s="478" t="s">
        <v>757</v>
      </c>
      <c r="F80" s="1039"/>
      <c r="G80" s="1039"/>
      <c r="H80" s="1039"/>
      <c r="I80" s="630"/>
      <c r="J80" s="269">
        <f>SUM(K80:R80)</f>
        <v>171113</v>
      </c>
      <c r="K80" s="1114">
        <v>92342</v>
      </c>
      <c r="L80" s="1114">
        <v>14459</v>
      </c>
      <c r="M80" s="1114">
        <v>53862</v>
      </c>
      <c r="N80" s="1114"/>
      <c r="O80" s="1114"/>
      <c r="P80" s="1114">
        <v>10450</v>
      </c>
      <c r="Q80" s="632"/>
      <c r="R80" s="633"/>
      <c r="S80" s="644"/>
      <c r="T80" s="644"/>
      <c r="U80" s="644"/>
      <c r="V80" s="644"/>
      <c r="W80" s="644"/>
      <c r="X80" s="644"/>
      <c r="Y80" s="644"/>
      <c r="Z80" s="644"/>
      <c r="AA80" s="644"/>
      <c r="AB80" s="644"/>
      <c r="AC80" s="644"/>
      <c r="AD80" s="644"/>
      <c r="AE80" s="644"/>
    </row>
    <row r="81" spans="1:31" s="645" customFormat="1" ht="18" customHeight="1">
      <c r="A81" s="98">
        <v>73</v>
      </c>
      <c r="B81" s="359"/>
      <c r="C81" s="1038"/>
      <c r="D81" s="1038"/>
      <c r="E81" s="1090" t="s">
        <v>892</v>
      </c>
      <c r="F81" s="1039"/>
      <c r="G81" s="1039"/>
      <c r="H81" s="1039"/>
      <c r="I81" s="630"/>
      <c r="J81" s="1111">
        <f>SUM(K81:R81)</f>
        <v>73806</v>
      </c>
      <c r="K81" s="273">
        <v>46177</v>
      </c>
      <c r="L81" s="273">
        <v>7184</v>
      </c>
      <c r="M81" s="273">
        <v>16010</v>
      </c>
      <c r="N81" s="273"/>
      <c r="O81" s="273"/>
      <c r="P81" s="273">
        <v>4435</v>
      </c>
      <c r="Q81" s="632"/>
      <c r="R81" s="633"/>
      <c r="S81" s="644"/>
      <c r="T81" s="644"/>
      <c r="U81" s="644"/>
      <c r="V81" s="644"/>
      <c r="W81" s="644"/>
      <c r="X81" s="644"/>
      <c r="Y81" s="644"/>
      <c r="Z81" s="644"/>
      <c r="AA81" s="644"/>
      <c r="AB81" s="644"/>
      <c r="AC81" s="644"/>
      <c r="AD81" s="644"/>
      <c r="AE81" s="644"/>
    </row>
    <row r="82" spans="1:31" s="29" customFormat="1" ht="18" customHeight="1">
      <c r="A82" s="98">
        <v>74</v>
      </c>
      <c r="B82" s="913"/>
      <c r="C82" s="914"/>
      <c r="D82" s="1872" t="s">
        <v>525</v>
      </c>
      <c r="E82" s="1873"/>
      <c r="F82" s="915"/>
      <c r="G82" s="116"/>
      <c r="H82" s="116">
        <v>13610</v>
      </c>
      <c r="I82" s="354">
        <v>0</v>
      </c>
      <c r="J82" s="277"/>
      <c r="K82" s="273"/>
      <c r="L82" s="273"/>
      <c r="M82" s="273"/>
      <c r="N82" s="273"/>
      <c r="O82" s="273"/>
      <c r="P82" s="273"/>
      <c r="Q82" s="273"/>
      <c r="R82" s="274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</row>
    <row r="83" spans="1:31" s="25" customFormat="1" ht="18" customHeight="1">
      <c r="A83" s="98">
        <v>75</v>
      </c>
      <c r="B83" s="227"/>
      <c r="C83" s="490">
        <v>1</v>
      </c>
      <c r="D83" s="1819" t="s">
        <v>537</v>
      </c>
      <c r="E83" s="1820"/>
      <c r="F83" s="353"/>
      <c r="G83" s="94"/>
      <c r="H83" s="94"/>
      <c r="I83" s="354">
        <v>0</v>
      </c>
      <c r="J83" s="277"/>
      <c r="K83" s="261"/>
      <c r="L83" s="261"/>
      <c r="M83" s="261"/>
      <c r="N83" s="273"/>
      <c r="O83" s="273"/>
      <c r="P83" s="273"/>
      <c r="Q83" s="273"/>
      <c r="R83" s="27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645" customFormat="1" ht="18" customHeight="1">
      <c r="A84" s="98">
        <v>76</v>
      </c>
      <c r="B84" s="359"/>
      <c r="C84" s="1038"/>
      <c r="D84" s="1038"/>
      <c r="E84" s="1052" t="s">
        <v>283</v>
      </c>
      <c r="F84" s="1043"/>
      <c r="G84" s="1039"/>
      <c r="H84" s="1039"/>
      <c r="I84" s="630"/>
      <c r="J84" s="631">
        <f>SUM(K84:R84)</f>
        <v>2349</v>
      </c>
      <c r="K84" s="632"/>
      <c r="L84" s="632"/>
      <c r="M84" s="632">
        <v>2349</v>
      </c>
      <c r="N84" s="632"/>
      <c r="O84" s="632"/>
      <c r="P84" s="632"/>
      <c r="Q84" s="632"/>
      <c r="R84" s="633"/>
      <c r="S84" s="644"/>
      <c r="T84" s="644"/>
      <c r="U84" s="644"/>
      <c r="V84" s="644"/>
      <c r="W84" s="644"/>
      <c r="X84" s="644"/>
      <c r="Y84" s="644"/>
      <c r="Z84" s="644"/>
      <c r="AA84" s="644"/>
      <c r="AB84" s="644"/>
      <c r="AC84" s="644"/>
      <c r="AD84" s="644"/>
      <c r="AE84" s="644"/>
    </row>
    <row r="85" spans="1:31" s="645" customFormat="1" ht="18" customHeight="1">
      <c r="A85" s="98">
        <v>77</v>
      </c>
      <c r="B85" s="359"/>
      <c r="C85" s="1038"/>
      <c r="D85" s="1038"/>
      <c r="E85" s="478" t="s">
        <v>757</v>
      </c>
      <c r="F85" s="1043"/>
      <c r="G85" s="1039"/>
      <c r="H85" s="1039"/>
      <c r="I85" s="630"/>
      <c r="J85" s="269">
        <f>SUM(K85:R85)</f>
        <v>2349</v>
      </c>
      <c r="K85" s="632"/>
      <c r="L85" s="632"/>
      <c r="M85" s="1114">
        <v>2349</v>
      </c>
      <c r="N85" s="632"/>
      <c r="O85" s="632"/>
      <c r="P85" s="632"/>
      <c r="Q85" s="632"/>
      <c r="R85" s="633"/>
      <c r="S85" s="644"/>
      <c r="T85" s="644"/>
      <c r="U85" s="644"/>
      <c r="V85" s="644"/>
      <c r="W85" s="644"/>
      <c r="X85" s="644"/>
      <c r="Y85" s="644"/>
      <c r="Z85" s="644"/>
      <c r="AA85" s="644"/>
      <c r="AB85" s="644"/>
      <c r="AC85" s="644"/>
      <c r="AD85" s="644"/>
      <c r="AE85" s="644"/>
    </row>
    <row r="86" spans="1:31" s="645" customFormat="1" ht="18" customHeight="1">
      <c r="A86" s="98">
        <v>78</v>
      </c>
      <c r="B86" s="359"/>
      <c r="C86" s="1038"/>
      <c r="D86" s="1038"/>
      <c r="E86" s="1090" t="s">
        <v>893</v>
      </c>
      <c r="F86" s="1043"/>
      <c r="G86" s="1039"/>
      <c r="H86" s="1039"/>
      <c r="I86" s="630"/>
      <c r="J86" s="1111">
        <f>SUM(K86:R86)</f>
        <v>0</v>
      </c>
      <c r="K86" s="632"/>
      <c r="L86" s="632"/>
      <c r="M86" s="632"/>
      <c r="N86" s="632"/>
      <c r="O86" s="632"/>
      <c r="P86" s="632"/>
      <c r="Q86" s="632"/>
      <c r="R86" s="633"/>
      <c r="S86" s="644"/>
      <c r="T86" s="644"/>
      <c r="U86" s="644"/>
      <c r="V86" s="644"/>
      <c r="W86" s="644"/>
      <c r="X86" s="644"/>
      <c r="Y86" s="644"/>
      <c r="Z86" s="644"/>
      <c r="AA86" s="644"/>
      <c r="AB86" s="644"/>
      <c r="AC86" s="644"/>
      <c r="AD86" s="644"/>
      <c r="AE86" s="644"/>
    </row>
    <row r="87" spans="1:31" s="29" customFormat="1" ht="22.5" customHeight="1">
      <c r="A87" s="98">
        <v>79</v>
      </c>
      <c r="B87" s="223">
        <v>12</v>
      </c>
      <c r="C87" s="490"/>
      <c r="D87" s="1819" t="s">
        <v>24</v>
      </c>
      <c r="E87" s="1820"/>
      <c r="F87" s="350" t="s">
        <v>22</v>
      </c>
      <c r="G87" s="94">
        <v>440640</v>
      </c>
      <c r="H87" s="94">
        <v>411904</v>
      </c>
      <c r="I87" s="266">
        <v>449529</v>
      </c>
      <c r="J87" s="277"/>
      <c r="K87" s="94"/>
      <c r="L87" s="94"/>
      <c r="M87" s="94"/>
      <c r="N87" s="94"/>
      <c r="O87" s="94"/>
      <c r="P87" s="94"/>
      <c r="Q87" s="94"/>
      <c r="R87" s="102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</row>
    <row r="88" spans="1:31" s="645" customFormat="1" ht="18" customHeight="1">
      <c r="A88" s="98">
        <v>80</v>
      </c>
      <c r="B88" s="359"/>
      <c r="C88" s="1038"/>
      <c r="D88" s="1038"/>
      <c r="E88" s="629" t="s">
        <v>283</v>
      </c>
      <c r="F88" s="1039"/>
      <c r="G88" s="1039"/>
      <c r="H88" s="1039"/>
      <c r="I88" s="630"/>
      <c r="J88" s="631">
        <f>SUM(K88:R88)</f>
        <v>458734</v>
      </c>
      <c r="K88" s="632">
        <v>206995</v>
      </c>
      <c r="L88" s="632">
        <v>35904</v>
      </c>
      <c r="M88" s="632">
        <v>186381</v>
      </c>
      <c r="N88" s="632"/>
      <c r="O88" s="632"/>
      <c r="P88" s="632">
        <v>29454</v>
      </c>
      <c r="Q88" s="632"/>
      <c r="R88" s="633"/>
      <c r="S88" s="644"/>
      <c r="T88" s="644"/>
      <c r="U88" s="644"/>
      <c r="V88" s="644"/>
      <c r="W88" s="644"/>
      <c r="X88" s="644"/>
      <c r="Y88" s="644"/>
      <c r="Z88" s="644"/>
      <c r="AA88" s="644"/>
      <c r="AB88" s="644"/>
      <c r="AC88" s="644"/>
      <c r="AD88" s="644"/>
      <c r="AE88" s="644"/>
    </row>
    <row r="89" spans="1:31" s="645" customFormat="1" ht="18" customHeight="1">
      <c r="A89" s="98">
        <v>81</v>
      </c>
      <c r="B89" s="359"/>
      <c r="C89" s="1038"/>
      <c r="D89" s="1038"/>
      <c r="E89" s="478" t="s">
        <v>757</v>
      </c>
      <c r="F89" s="1039"/>
      <c r="G89" s="1039"/>
      <c r="H89" s="1039"/>
      <c r="I89" s="630"/>
      <c r="J89" s="269">
        <f>SUM(K89:R89)</f>
        <v>470251</v>
      </c>
      <c r="K89" s="1114">
        <v>209345</v>
      </c>
      <c r="L89" s="1114">
        <v>36255</v>
      </c>
      <c r="M89" s="1114">
        <v>142287</v>
      </c>
      <c r="N89" s="1114"/>
      <c r="O89" s="1114"/>
      <c r="P89" s="1114">
        <v>82364</v>
      </c>
      <c r="Q89" s="632"/>
      <c r="R89" s="633"/>
      <c r="S89" s="644"/>
      <c r="T89" s="644"/>
      <c r="U89" s="644"/>
      <c r="V89" s="644"/>
      <c r="W89" s="644"/>
      <c r="X89" s="644"/>
      <c r="Y89" s="644"/>
      <c r="Z89" s="644"/>
      <c r="AA89" s="644"/>
      <c r="AB89" s="644"/>
      <c r="AC89" s="644"/>
      <c r="AD89" s="644"/>
      <c r="AE89" s="644"/>
    </row>
    <row r="90" spans="1:31" s="645" customFormat="1" ht="18" customHeight="1">
      <c r="A90" s="98">
        <v>82</v>
      </c>
      <c r="B90" s="359"/>
      <c r="C90" s="1038"/>
      <c r="D90" s="1038"/>
      <c r="E90" s="1090" t="s">
        <v>892</v>
      </c>
      <c r="F90" s="1039"/>
      <c r="G90" s="1039"/>
      <c r="H90" s="1039"/>
      <c r="I90" s="630"/>
      <c r="J90" s="1111">
        <f>SUM(K90:R90)</f>
        <v>201659</v>
      </c>
      <c r="K90" s="273">
        <f>97932-1246</f>
        <v>96686</v>
      </c>
      <c r="L90" s="273">
        <f>16587-173</f>
        <v>16414</v>
      </c>
      <c r="M90" s="273">
        <f>53760-100</f>
        <v>53660</v>
      </c>
      <c r="N90" s="632"/>
      <c r="O90" s="632"/>
      <c r="P90" s="273">
        <v>34899</v>
      </c>
      <c r="Q90" s="632"/>
      <c r="R90" s="633"/>
      <c r="S90" s="644"/>
      <c r="T90" s="644"/>
      <c r="U90" s="644"/>
      <c r="V90" s="644"/>
      <c r="W90" s="644"/>
      <c r="X90" s="644"/>
      <c r="Y90" s="644"/>
      <c r="Z90" s="644"/>
      <c r="AA90" s="644"/>
      <c r="AB90" s="644"/>
      <c r="AC90" s="644"/>
      <c r="AD90" s="644"/>
      <c r="AE90" s="644"/>
    </row>
    <row r="91" spans="1:31" s="29" customFormat="1" ht="18" customHeight="1">
      <c r="A91" s="98">
        <v>83</v>
      </c>
      <c r="B91" s="913"/>
      <c r="C91" s="914"/>
      <c r="D91" s="1872" t="s">
        <v>525</v>
      </c>
      <c r="E91" s="1873"/>
      <c r="F91" s="915"/>
      <c r="G91" s="116"/>
      <c r="H91" s="116">
        <v>13610</v>
      </c>
      <c r="I91" s="354">
        <v>0</v>
      </c>
      <c r="J91" s="277"/>
      <c r="K91" s="273"/>
      <c r="L91" s="273"/>
      <c r="M91" s="273"/>
      <c r="N91" s="273"/>
      <c r="O91" s="273"/>
      <c r="P91" s="273"/>
      <c r="Q91" s="273"/>
      <c r="R91" s="274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</row>
    <row r="92" spans="1:31" s="25" customFormat="1" ht="18" customHeight="1">
      <c r="A92" s="98">
        <v>84</v>
      </c>
      <c r="B92" s="227"/>
      <c r="C92" s="490">
        <v>2</v>
      </c>
      <c r="D92" s="1821" t="s">
        <v>419</v>
      </c>
      <c r="E92" s="1874"/>
      <c r="F92" s="1822"/>
      <c r="G92" s="94">
        <v>2096</v>
      </c>
      <c r="H92" s="94">
        <v>55574</v>
      </c>
      <c r="I92" s="266">
        <v>5801</v>
      </c>
      <c r="J92" s="277"/>
      <c r="K92" s="261"/>
      <c r="L92" s="261"/>
      <c r="M92" s="261"/>
      <c r="N92" s="273"/>
      <c r="O92" s="273"/>
      <c r="P92" s="273"/>
      <c r="Q92" s="273"/>
      <c r="R92" s="27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645" customFormat="1" ht="18" customHeight="1">
      <c r="A93" s="98">
        <v>85</v>
      </c>
      <c r="B93" s="359"/>
      <c r="C93" s="1038"/>
      <c r="D93" s="1038"/>
      <c r="E93" s="1052" t="s">
        <v>283</v>
      </c>
      <c r="F93" s="1043"/>
      <c r="G93" s="1039"/>
      <c r="H93" s="1039"/>
      <c r="I93" s="630"/>
      <c r="J93" s="631">
        <f>SUM(K93:R93)</f>
        <v>49690</v>
      </c>
      <c r="K93" s="632">
        <v>9276</v>
      </c>
      <c r="L93" s="632">
        <v>1747</v>
      </c>
      <c r="M93" s="632">
        <v>36267</v>
      </c>
      <c r="N93" s="632"/>
      <c r="O93" s="632"/>
      <c r="P93" s="632">
        <v>2400</v>
      </c>
      <c r="Q93" s="632"/>
      <c r="R93" s="633"/>
      <c r="S93" s="644"/>
      <c r="T93" s="644"/>
      <c r="U93" s="644"/>
      <c r="V93" s="644"/>
      <c r="W93" s="644"/>
      <c r="X93" s="644"/>
      <c r="Y93" s="644"/>
      <c r="Z93" s="644"/>
      <c r="AA93" s="644"/>
      <c r="AB93" s="644"/>
      <c r="AC93" s="644"/>
      <c r="AD93" s="644"/>
      <c r="AE93" s="644"/>
    </row>
    <row r="94" spans="1:31" s="645" customFormat="1" ht="18" customHeight="1">
      <c r="A94" s="98">
        <v>86</v>
      </c>
      <c r="B94" s="359"/>
      <c r="C94" s="1038"/>
      <c r="D94" s="1038"/>
      <c r="E94" s="478" t="s">
        <v>757</v>
      </c>
      <c r="F94" s="1043"/>
      <c r="G94" s="1039"/>
      <c r="H94" s="1039"/>
      <c r="I94" s="630"/>
      <c r="J94" s="269">
        <f>SUM(K94:R94)</f>
        <v>49690</v>
      </c>
      <c r="K94" s="1114">
        <v>9276</v>
      </c>
      <c r="L94" s="1114">
        <v>1747</v>
      </c>
      <c r="M94" s="1114">
        <v>36267</v>
      </c>
      <c r="N94" s="1114"/>
      <c r="O94" s="1114"/>
      <c r="P94" s="1114">
        <v>2400</v>
      </c>
      <c r="Q94" s="632"/>
      <c r="R94" s="633"/>
      <c r="S94" s="644"/>
      <c r="T94" s="644"/>
      <c r="U94" s="644"/>
      <c r="V94" s="644"/>
      <c r="W94" s="644"/>
      <c r="X94" s="644"/>
      <c r="Y94" s="644"/>
      <c r="Z94" s="644"/>
      <c r="AA94" s="644"/>
      <c r="AB94" s="644"/>
      <c r="AC94" s="644"/>
      <c r="AD94" s="644"/>
      <c r="AE94" s="644"/>
    </row>
    <row r="95" spans="1:31" s="645" customFormat="1" ht="18" customHeight="1">
      <c r="A95" s="98">
        <v>87</v>
      </c>
      <c r="B95" s="359"/>
      <c r="C95" s="1038"/>
      <c r="D95" s="1038"/>
      <c r="E95" s="1090" t="s">
        <v>893</v>
      </c>
      <c r="F95" s="1043"/>
      <c r="G95" s="1039"/>
      <c r="H95" s="1039"/>
      <c r="I95" s="630"/>
      <c r="J95" s="1111">
        <f>SUM(K95:R95)</f>
        <v>1519</v>
      </c>
      <c r="K95" s="273">
        <v>1246</v>
      </c>
      <c r="L95" s="273">
        <v>173</v>
      </c>
      <c r="M95" s="273">
        <v>100</v>
      </c>
      <c r="N95" s="632"/>
      <c r="O95" s="632"/>
      <c r="P95" s="632"/>
      <c r="Q95" s="632"/>
      <c r="R95" s="633"/>
      <c r="S95" s="644"/>
      <c r="T95" s="644"/>
      <c r="U95" s="644"/>
      <c r="V95" s="644"/>
      <c r="W95" s="644"/>
      <c r="X95" s="644"/>
      <c r="Y95" s="644"/>
      <c r="Z95" s="644"/>
      <c r="AA95" s="644"/>
      <c r="AB95" s="644"/>
      <c r="AC95" s="644"/>
      <c r="AD95" s="644"/>
      <c r="AE95" s="644"/>
    </row>
    <row r="96" spans="1:31" s="25" customFormat="1" ht="22.5" customHeight="1">
      <c r="A96" s="98">
        <v>88</v>
      </c>
      <c r="B96" s="223">
        <v>13</v>
      </c>
      <c r="C96" s="490"/>
      <c r="D96" s="1819" t="s">
        <v>31</v>
      </c>
      <c r="E96" s="1820"/>
      <c r="F96" s="350" t="s">
        <v>22</v>
      </c>
      <c r="G96" s="94">
        <v>433574</v>
      </c>
      <c r="H96" s="94">
        <v>406719</v>
      </c>
      <c r="I96" s="266">
        <v>399150</v>
      </c>
      <c r="J96" s="277"/>
      <c r="K96" s="94"/>
      <c r="L96" s="94"/>
      <c r="M96" s="94"/>
      <c r="N96" s="94"/>
      <c r="O96" s="94"/>
      <c r="P96" s="94"/>
      <c r="Q96" s="94"/>
      <c r="R96" s="10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645" customFormat="1" ht="18" customHeight="1">
      <c r="A97" s="98">
        <v>89</v>
      </c>
      <c r="B97" s="359"/>
      <c r="C97" s="1038"/>
      <c r="D97" s="1038"/>
      <c r="E97" s="629" t="s">
        <v>283</v>
      </c>
      <c r="F97" s="1039"/>
      <c r="G97" s="1039"/>
      <c r="H97" s="1039"/>
      <c r="I97" s="630"/>
      <c r="J97" s="631">
        <f>SUM(K97:R97)</f>
        <v>442284</v>
      </c>
      <c r="K97" s="632">
        <v>234259</v>
      </c>
      <c r="L97" s="632">
        <v>41899</v>
      </c>
      <c r="M97" s="632">
        <v>158069</v>
      </c>
      <c r="N97" s="632"/>
      <c r="O97" s="632"/>
      <c r="P97" s="632">
        <v>8057</v>
      </c>
      <c r="Q97" s="632"/>
      <c r="R97" s="633"/>
      <c r="S97" s="644"/>
      <c r="T97" s="644"/>
      <c r="U97" s="644"/>
      <c r="V97" s="644"/>
      <c r="W97" s="644"/>
      <c r="X97" s="644"/>
      <c r="Y97" s="644"/>
      <c r="Z97" s="644"/>
      <c r="AA97" s="644"/>
      <c r="AB97" s="644"/>
      <c r="AC97" s="644"/>
      <c r="AD97" s="644"/>
      <c r="AE97" s="644"/>
    </row>
    <row r="98" spans="1:31" s="645" customFormat="1" ht="18" customHeight="1">
      <c r="A98" s="98">
        <v>90</v>
      </c>
      <c r="B98" s="359"/>
      <c r="C98" s="1038"/>
      <c r="D98" s="1038"/>
      <c r="E98" s="478" t="s">
        <v>757</v>
      </c>
      <c r="F98" s="1039"/>
      <c r="G98" s="1039"/>
      <c r="H98" s="1039"/>
      <c r="I98" s="630"/>
      <c r="J98" s="269">
        <f>SUM(K98:R98)</f>
        <v>468792</v>
      </c>
      <c r="K98" s="1114">
        <v>248969</v>
      </c>
      <c r="L98" s="1114">
        <v>35022</v>
      </c>
      <c r="M98" s="1114">
        <v>149415</v>
      </c>
      <c r="N98" s="1114"/>
      <c r="O98" s="1114"/>
      <c r="P98" s="1114">
        <v>35386</v>
      </c>
      <c r="Q98" s="632"/>
      <c r="R98" s="633"/>
      <c r="S98" s="644"/>
      <c r="T98" s="644"/>
      <c r="U98" s="644"/>
      <c r="V98" s="644"/>
      <c r="W98" s="644"/>
      <c r="X98" s="644"/>
      <c r="Y98" s="644"/>
      <c r="Z98" s="644"/>
      <c r="AA98" s="644"/>
      <c r="AB98" s="644"/>
      <c r="AC98" s="644"/>
      <c r="AD98" s="644"/>
      <c r="AE98" s="644"/>
    </row>
    <row r="99" spans="1:31" s="645" customFormat="1" ht="19.5" customHeight="1">
      <c r="A99" s="98">
        <v>91</v>
      </c>
      <c r="B99" s="359"/>
      <c r="C99" s="1038"/>
      <c r="D99" s="1038"/>
      <c r="E99" s="1361" t="s">
        <v>892</v>
      </c>
      <c r="F99" s="1039"/>
      <c r="G99" s="1039"/>
      <c r="H99" s="1039"/>
      <c r="I99" s="630"/>
      <c r="J99" s="1111">
        <f>SUM(K99:R99)</f>
        <v>194232</v>
      </c>
      <c r="K99" s="273">
        <v>103408</v>
      </c>
      <c r="L99" s="273">
        <v>811</v>
      </c>
      <c r="M99" s="273">
        <v>71356</v>
      </c>
      <c r="N99" s="273"/>
      <c r="O99" s="273"/>
      <c r="P99" s="273">
        <v>18657</v>
      </c>
      <c r="Q99" s="632"/>
      <c r="R99" s="633"/>
      <c r="S99" s="644"/>
      <c r="T99" s="644"/>
      <c r="U99" s="644"/>
      <c r="V99" s="644"/>
      <c r="W99" s="644"/>
      <c r="X99" s="644"/>
      <c r="Y99" s="644"/>
      <c r="Z99" s="644"/>
      <c r="AA99" s="644"/>
      <c r="AB99" s="644"/>
      <c r="AC99" s="644"/>
      <c r="AD99" s="644"/>
      <c r="AE99" s="644"/>
    </row>
    <row r="100" spans="1:31" s="29" customFormat="1" ht="18" customHeight="1">
      <c r="A100" s="98">
        <v>92</v>
      </c>
      <c r="B100" s="913"/>
      <c r="C100" s="914"/>
      <c r="D100" s="1872" t="s">
        <v>525</v>
      </c>
      <c r="E100" s="1873"/>
      <c r="F100" s="915"/>
      <c r="G100" s="116"/>
      <c r="H100" s="116">
        <v>13610</v>
      </c>
      <c r="I100" s="354">
        <v>0</v>
      </c>
      <c r="J100" s="277"/>
      <c r="K100" s="273"/>
      <c r="L100" s="273"/>
      <c r="M100" s="273"/>
      <c r="N100" s="273"/>
      <c r="O100" s="273"/>
      <c r="P100" s="273"/>
      <c r="Q100" s="273"/>
      <c r="R100" s="274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</row>
    <row r="101" spans="1:31" s="25" customFormat="1" ht="45.75" customHeight="1">
      <c r="A101" s="98">
        <v>93</v>
      </c>
      <c r="B101" s="227"/>
      <c r="C101" s="491">
        <v>2</v>
      </c>
      <c r="D101" s="1828" t="s">
        <v>660</v>
      </c>
      <c r="E101" s="1829"/>
      <c r="F101" s="459"/>
      <c r="G101" s="94">
        <v>55925</v>
      </c>
      <c r="H101" s="94"/>
      <c r="I101" s="266"/>
      <c r="J101" s="277"/>
      <c r="K101" s="261"/>
      <c r="L101" s="261"/>
      <c r="M101" s="261"/>
      <c r="N101" s="273"/>
      <c r="O101" s="273"/>
      <c r="P101" s="273"/>
      <c r="Q101" s="273"/>
      <c r="R101" s="27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5" customFormat="1" ht="18" customHeight="1">
      <c r="A102" s="98">
        <v>94</v>
      </c>
      <c r="B102" s="227"/>
      <c r="C102" s="490">
        <v>3</v>
      </c>
      <c r="D102" s="1819" t="s">
        <v>537</v>
      </c>
      <c r="E102" s="1820"/>
      <c r="F102" s="353"/>
      <c r="G102" s="94"/>
      <c r="H102" s="94"/>
      <c r="I102" s="354">
        <v>0</v>
      </c>
      <c r="J102" s="277"/>
      <c r="K102" s="261"/>
      <c r="L102" s="261"/>
      <c r="M102" s="261"/>
      <c r="N102" s="273"/>
      <c r="O102" s="273"/>
      <c r="P102" s="273"/>
      <c r="Q102" s="273"/>
      <c r="R102" s="27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645" customFormat="1" ht="18" customHeight="1">
      <c r="A103" s="98">
        <v>95</v>
      </c>
      <c r="B103" s="359"/>
      <c r="C103" s="1038"/>
      <c r="D103" s="1038"/>
      <c r="E103" s="1052" t="s">
        <v>283</v>
      </c>
      <c r="F103" s="1043"/>
      <c r="G103" s="1039"/>
      <c r="H103" s="1039"/>
      <c r="I103" s="630"/>
      <c r="J103" s="631">
        <f>SUM(K103:R103)</f>
        <v>8944</v>
      </c>
      <c r="K103" s="632">
        <v>4971</v>
      </c>
      <c r="L103" s="632"/>
      <c r="M103" s="632">
        <v>3973</v>
      </c>
      <c r="N103" s="632"/>
      <c r="O103" s="632"/>
      <c r="P103" s="632"/>
      <c r="Q103" s="632"/>
      <c r="R103" s="633"/>
      <c r="S103" s="644"/>
      <c r="T103" s="644"/>
      <c r="U103" s="644"/>
      <c r="V103" s="644"/>
      <c r="W103" s="644"/>
      <c r="X103" s="644"/>
      <c r="Y103" s="644"/>
      <c r="Z103" s="644"/>
      <c r="AA103" s="644"/>
      <c r="AB103" s="644"/>
      <c r="AC103" s="644"/>
      <c r="AD103" s="644"/>
      <c r="AE103" s="644"/>
    </row>
    <row r="104" spans="1:31" s="645" customFormat="1" ht="18" customHeight="1">
      <c r="A104" s="98">
        <v>96</v>
      </c>
      <c r="B104" s="359"/>
      <c r="C104" s="1038"/>
      <c r="D104" s="1038"/>
      <c r="E104" s="478" t="s">
        <v>757</v>
      </c>
      <c r="F104" s="1043"/>
      <c r="G104" s="1039"/>
      <c r="H104" s="1039"/>
      <c r="I104" s="630"/>
      <c r="J104" s="269">
        <f>SUM(K104:R104)</f>
        <v>8944</v>
      </c>
      <c r="K104" s="1114">
        <v>4971</v>
      </c>
      <c r="L104" s="1114"/>
      <c r="M104" s="1114">
        <v>3973</v>
      </c>
      <c r="N104" s="632"/>
      <c r="O104" s="632"/>
      <c r="P104" s="632"/>
      <c r="Q104" s="632"/>
      <c r="R104" s="633"/>
      <c r="S104" s="644"/>
      <c r="T104" s="644"/>
      <c r="U104" s="644"/>
      <c r="V104" s="644"/>
      <c r="W104" s="644"/>
      <c r="X104" s="644"/>
      <c r="Y104" s="644"/>
      <c r="Z104" s="644"/>
      <c r="AA104" s="644"/>
      <c r="AB104" s="644"/>
      <c r="AC104" s="644"/>
      <c r="AD104" s="644"/>
      <c r="AE104" s="644"/>
    </row>
    <row r="105" spans="1:31" s="645" customFormat="1" ht="18" customHeight="1">
      <c r="A105" s="98">
        <v>97</v>
      </c>
      <c r="B105" s="359"/>
      <c r="C105" s="1038"/>
      <c r="D105" s="1038"/>
      <c r="E105" s="1090" t="s">
        <v>893</v>
      </c>
      <c r="F105" s="1043"/>
      <c r="G105" s="1039"/>
      <c r="H105" s="1039"/>
      <c r="I105" s="630"/>
      <c r="J105" s="1111">
        <f>SUM(K105:R105)</f>
        <v>0</v>
      </c>
      <c r="K105" s="632"/>
      <c r="L105" s="632"/>
      <c r="M105" s="632"/>
      <c r="N105" s="632"/>
      <c r="O105" s="632"/>
      <c r="P105" s="632"/>
      <c r="Q105" s="632"/>
      <c r="R105" s="633"/>
      <c r="S105" s="644"/>
      <c r="T105" s="644"/>
      <c r="U105" s="644"/>
      <c r="V105" s="644"/>
      <c r="W105" s="644"/>
      <c r="X105" s="644"/>
      <c r="Y105" s="644"/>
      <c r="Z105" s="644"/>
      <c r="AA105" s="644"/>
      <c r="AB105" s="644"/>
      <c r="AC105" s="644"/>
      <c r="AD105" s="644"/>
      <c r="AE105" s="644"/>
    </row>
    <row r="106" spans="1:31" s="25" customFormat="1" ht="22.5" customHeight="1">
      <c r="A106" s="98">
        <v>98</v>
      </c>
      <c r="B106" s="223">
        <v>14</v>
      </c>
      <c r="C106" s="490"/>
      <c r="D106" s="1819" t="s">
        <v>371</v>
      </c>
      <c r="E106" s="1820"/>
      <c r="F106" s="350" t="s">
        <v>23</v>
      </c>
      <c r="G106" s="94">
        <v>141430</v>
      </c>
      <c r="H106" s="94">
        <v>129562</v>
      </c>
      <c r="I106" s="266">
        <v>135056</v>
      </c>
      <c r="J106" s="277"/>
      <c r="K106" s="94"/>
      <c r="L106" s="94"/>
      <c r="M106" s="94"/>
      <c r="N106" s="94"/>
      <c r="O106" s="94"/>
      <c r="P106" s="94"/>
      <c r="Q106" s="94"/>
      <c r="R106" s="102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635" customFormat="1" ht="18" customHeight="1">
      <c r="A107" s="98">
        <v>99</v>
      </c>
      <c r="B107" s="359"/>
      <c r="C107" s="1038"/>
      <c r="D107" s="1038"/>
      <c r="E107" s="629" t="s">
        <v>283</v>
      </c>
      <c r="F107" s="1039"/>
      <c r="G107" s="1039"/>
      <c r="H107" s="1039"/>
      <c r="I107" s="630"/>
      <c r="J107" s="631">
        <f>SUM(K107:R107)</f>
        <v>150771</v>
      </c>
      <c r="K107" s="632">
        <v>86745</v>
      </c>
      <c r="L107" s="632">
        <v>15026</v>
      </c>
      <c r="M107" s="632">
        <v>48000</v>
      </c>
      <c r="N107" s="632"/>
      <c r="O107" s="632"/>
      <c r="P107" s="632">
        <v>1000</v>
      </c>
      <c r="Q107" s="632"/>
      <c r="R107" s="633"/>
      <c r="S107" s="634"/>
      <c r="T107" s="634"/>
      <c r="U107" s="634"/>
      <c r="V107" s="634"/>
      <c r="W107" s="634"/>
      <c r="X107" s="634"/>
      <c r="Y107" s="634"/>
      <c r="Z107" s="634"/>
      <c r="AA107" s="634"/>
      <c r="AB107" s="634"/>
      <c r="AC107" s="634"/>
      <c r="AD107" s="634"/>
      <c r="AE107" s="634"/>
    </row>
    <row r="108" spans="1:31" s="635" customFormat="1" ht="18" customHeight="1">
      <c r="A108" s="98">
        <v>100</v>
      </c>
      <c r="B108" s="359"/>
      <c r="C108" s="1038"/>
      <c r="D108" s="1038"/>
      <c r="E108" s="478" t="s">
        <v>757</v>
      </c>
      <c r="F108" s="1039"/>
      <c r="G108" s="1039"/>
      <c r="H108" s="1039"/>
      <c r="I108" s="630"/>
      <c r="J108" s="269">
        <f>SUM(K108:R108)</f>
        <v>159257</v>
      </c>
      <c r="K108" s="1114">
        <v>88392</v>
      </c>
      <c r="L108" s="1114">
        <v>16819</v>
      </c>
      <c r="M108" s="1114">
        <v>49303</v>
      </c>
      <c r="N108" s="1114"/>
      <c r="O108" s="1114">
        <v>263</v>
      </c>
      <c r="P108" s="1114">
        <v>4480</v>
      </c>
      <c r="Q108" s="632"/>
      <c r="R108" s="633"/>
      <c r="S108" s="634"/>
      <c r="T108" s="634"/>
      <c r="U108" s="634"/>
      <c r="V108" s="634"/>
      <c r="W108" s="634"/>
      <c r="X108" s="634"/>
      <c r="Y108" s="634"/>
      <c r="Z108" s="634"/>
      <c r="AA108" s="634"/>
      <c r="AB108" s="634"/>
      <c r="AC108" s="634"/>
      <c r="AD108" s="634"/>
      <c r="AE108" s="634"/>
    </row>
    <row r="109" spans="1:31" s="635" customFormat="1" ht="18" customHeight="1">
      <c r="A109" s="98">
        <v>101</v>
      </c>
      <c r="B109" s="359"/>
      <c r="C109" s="1038"/>
      <c r="D109" s="1038"/>
      <c r="E109" s="1092" t="s">
        <v>892</v>
      </c>
      <c r="F109" s="1039"/>
      <c r="G109" s="1039"/>
      <c r="H109" s="1039"/>
      <c r="I109" s="630"/>
      <c r="J109" s="1111">
        <f>SUM(K109:R109)</f>
        <v>65015</v>
      </c>
      <c r="K109" s="273">
        <f>44596-1039-347</f>
        <v>43210</v>
      </c>
      <c r="L109" s="273">
        <f>1827-8-49</f>
        <v>1770</v>
      </c>
      <c r="M109" s="273">
        <f>19302-439</f>
        <v>18863</v>
      </c>
      <c r="N109" s="273"/>
      <c r="O109" s="273">
        <v>262</v>
      </c>
      <c r="P109" s="273">
        <v>910</v>
      </c>
      <c r="Q109" s="632"/>
      <c r="R109" s="633"/>
      <c r="S109" s="634"/>
      <c r="T109" s="634"/>
      <c r="U109" s="634"/>
      <c r="V109" s="634"/>
      <c r="W109" s="634"/>
      <c r="X109" s="634"/>
      <c r="Y109" s="634"/>
      <c r="Z109" s="634"/>
      <c r="AA109" s="634"/>
      <c r="AB109" s="634"/>
      <c r="AC109" s="634"/>
      <c r="AD109" s="634"/>
      <c r="AE109" s="634"/>
    </row>
    <row r="110" spans="1:31" s="30" customFormat="1" ht="18" customHeight="1">
      <c r="A110" s="98">
        <v>102</v>
      </c>
      <c r="B110" s="227"/>
      <c r="C110" s="490">
        <v>1</v>
      </c>
      <c r="D110" s="1821" t="s">
        <v>137</v>
      </c>
      <c r="E110" s="1822"/>
      <c r="F110" s="353"/>
      <c r="G110" s="232">
        <v>2124</v>
      </c>
      <c r="H110" s="232">
        <v>2455</v>
      </c>
      <c r="I110" s="354">
        <v>1052</v>
      </c>
      <c r="J110" s="277"/>
      <c r="K110" s="261"/>
      <c r="L110" s="261"/>
      <c r="M110" s="261"/>
      <c r="N110" s="273"/>
      <c r="O110" s="273"/>
      <c r="P110" s="273"/>
      <c r="Q110" s="273"/>
      <c r="R110" s="274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</row>
    <row r="111" spans="1:31" s="635" customFormat="1" ht="18" customHeight="1">
      <c r="A111" s="98">
        <v>103</v>
      </c>
      <c r="B111" s="359"/>
      <c r="C111" s="1038"/>
      <c r="D111" s="1038"/>
      <c r="E111" s="1052" t="s">
        <v>283</v>
      </c>
      <c r="F111" s="1043"/>
      <c r="G111" s="1039"/>
      <c r="H111" s="1039"/>
      <c r="I111" s="630"/>
      <c r="J111" s="631">
        <f>SUM(K111:R111)</f>
        <v>1054</v>
      </c>
      <c r="K111" s="632">
        <v>978</v>
      </c>
      <c r="L111" s="632">
        <v>76</v>
      </c>
      <c r="M111" s="632"/>
      <c r="N111" s="632"/>
      <c r="O111" s="632"/>
      <c r="P111" s="632"/>
      <c r="Q111" s="632"/>
      <c r="R111" s="633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4"/>
      <c r="AC111" s="634"/>
      <c r="AD111" s="634"/>
      <c r="AE111" s="634"/>
    </row>
    <row r="112" spans="1:31" s="635" customFormat="1" ht="18" customHeight="1">
      <c r="A112" s="98">
        <v>104</v>
      </c>
      <c r="B112" s="359"/>
      <c r="C112" s="1038"/>
      <c r="D112" s="1104"/>
      <c r="E112" s="478" t="s">
        <v>757</v>
      </c>
      <c r="F112" s="1105"/>
      <c r="G112" s="1039"/>
      <c r="H112" s="1039"/>
      <c r="I112" s="630"/>
      <c r="J112" s="269">
        <f>SUM(K112:R112)</f>
        <v>1755</v>
      </c>
      <c r="K112" s="1114">
        <v>1624</v>
      </c>
      <c r="L112" s="1114">
        <v>131</v>
      </c>
      <c r="M112" s="632"/>
      <c r="N112" s="632"/>
      <c r="O112" s="632"/>
      <c r="P112" s="632"/>
      <c r="Q112" s="632"/>
      <c r="R112" s="633"/>
      <c r="S112" s="634"/>
      <c r="T112" s="634"/>
      <c r="U112" s="634"/>
      <c r="V112" s="634"/>
      <c r="W112" s="634"/>
      <c r="X112" s="634"/>
      <c r="Y112" s="634"/>
      <c r="Z112" s="634"/>
      <c r="AA112" s="634"/>
      <c r="AB112" s="634"/>
      <c r="AC112" s="634"/>
      <c r="AD112" s="634"/>
      <c r="AE112" s="634"/>
    </row>
    <row r="113" spans="1:31" s="635" customFormat="1" ht="18" customHeight="1">
      <c r="A113" s="98">
        <v>105</v>
      </c>
      <c r="B113" s="359"/>
      <c r="C113" s="1038"/>
      <c r="D113" s="1104"/>
      <c r="E113" s="1090" t="s">
        <v>893</v>
      </c>
      <c r="F113" s="1105"/>
      <c r="G113" s="1039"/>
      <c r="H113" s="1039"/>
      <c r="I113" s="630"/>
      <c r="J113" s="1111">
        <f>SUM(K113:R113)</f>
        <v>1047</v>
      </c>
      <c r="K113" s="273">
        <v>1039</v>
      </c>
      <c r="L113" s="273">
        <v>8</v>
      </c>
      <c r="M113" s="632"/>
      <c r="N113" s="632"/>
      <c r="O113" s="632"/>
      <c r="P113" s="632"/>
      <c r="Q113" s="632"/>
      <c r="R113" s="633"/>
      <c r="S113" s="634"/>
      <c r="T113" s="634"/>
      <c r="U113" s="634"/>
      <c r="V113" s="634"/>
      <c r="W113" s="634"/>
      <c r="X113" s="634"/>
      <c r="Y113" s="634"/>
      <c r="Z113" s="634"/>
      <c r="AA113" s="634"/>
      <c r="AB113" s="634"/>
      <c r="AC113" s="634"/>
      <c r="AD113" s="634"/>
      <c r="AE113" s="634"/>
    </row>
    <row r="114" spans="1:31" s="30" customFormat="1" ht="33" customHeight="1">
      <c r="A114" s="98">
        <v>106</v>
      </c>
      <c r="B114" s="227"/>
      <c r="C114" s="491">
        <v>2</v>
      </c>
      <c r="D114" s="1828" t="s">
        <v>661</v>
      </c>
      <c r="E114" s="1876"/>
      <c r="F114" s="494"/>
      <c r="G114" s="94">
        <v>19384</v>
      </c>
      <c r="H114" s="94">
        <v>5725</v>
      </c>
      <c r="I114" s="266">
        <v>6992</v>
      </c>
      <c r="J114" s="277"/>
      <c r="K114" s="261"/>
      <c r="L114" s="261"/>
      <c r="M114" s="261"/>
      <c r="N114" s="273"/>
      <c r="O114" s="273"/>
      <c r="P114" s="273"/>
      <c r="Q114" s="273"/>
      <c r="R114" s="274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</row>
    <row r="115" spans="1:31" s="25" customFormat="1" ht="18" customHeight="1">
      <c r="A115" s="98">
        <v>107</v>
      </c>
      <c r="B115" s="227"/>
      <c r="C115" s="490">
        <v>3</v>
      </c>
      <c r="D115" s="1819" t="s">
        <v>537</v>
      </c>
      <c r="E115" s="1820"/>
      <c r="F115" s="353"/>
      <c r="G115" s="94"/>
      <c r="H115" s="94"/>
      <c r="I115" s="354">
        <v>0</v>
      </c>
      <c r="J115" s="277"/>
      <c r="K115" s="261"/>
      <c r="L115" s="261"/>
      <c r="M115" s="261"/>
      <c r="N115" s="273"/>
      <c r="O115" s="273"/>
      <c r="P115" s="273"/>
      <c r="Q115" s="273"/>
      <c r="R115" s="27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645" customFormat="1" ht="18" customHeight="1">
      <c r="A116" s="98">
        <v>108</v>
      </c>
      <c r="B116" s="359"/>
      <c r="C116" s="1038"/>
      <c r="D116" s="1038"/>
      <c r="E116" s="1052" t="s">
        <v>283</v>
      </c>
      <c r="F116" s="1043"/>
      <c r="G116" s="1039"/>
      <c r="H116" s="1039"/>
      <c r="I116" s="630"/>
      <c r="J116" s="631">
        <f>SUM(K116:R116)</f>
        <v>6843</v>
      </c>
      <c r="K116" s="632">
        <v>3415</v>
      </c>
      <c r="L116" s="632">
        <v>529</v>
      </c>
      <c r="M116" s="632">
        <v>2899</v>
      </c>
      <c r="N116" s="632"/>
      <c r="O116" s="632"/>
      <c r="P116" s="632"/>
      <c r="Q116" s="632"/>
      <c r="R116" s="633"/>
      <c r="S116" s="644"/>
      <c r="T116" s="644"/>
      <c r="U116" s="644"/>
      <c r="V116" s="644"/>
      <c r="W116" s="644"/>
      <c r="X116" s="644"/>
      <c r="Y116" s="644"/>
      <c r="Z116" s="644"/>
      <c r="AA116" s="644"/>
      <c r="AB116" s="644"/>
      <c r="AC116" s="644"/>
      <c r="AD116" s="644"/>
      <c r="AE116" s="644"/>
    </row>
    <row r="117" spans="1:31" s="645" customFormat="1" ht="18" customHeight="1">
      <c r="A117" s="98">
        <v>109</v>
      </c>
      <c r="B117" s="359"/>
      <c r="C117" s="1038"/>
      <c r="D117" s="1038"/>
      <c r="E117" s="478" t="s">
        <v>757</v>
      </c>
      <c r="F117" s="1043"/>
      <c r="G117" s="1039"/>
      <c r="H117" s="1039"/>
      <c r="I117" s="630"/>
      <c r="J117" s="269">
        <f>SUM(K117:R117)</f>
        <v>6843</v>
      </c>
      <c r="K117" s="1114">
        <v>3415</v>
      </c>
      <c r="L117" s="1114">
        <v>529</v>
      </c>
      <c r="M117" s="1114">
        <v>2899</v>
      </c>
      <c r="N117" s="632"/>
      <c r="O117" s="632"/>
      <c r="P117" s="632"/>
      <c r="Q117" s="632"/>
      <c r="R117" s="633"/>
      <c r="S117" s="644"/>
      <c r="T117" s="644"/>
      <c r="U117" s="644"/>
      <c r="V117" s="644"/>
      <c r="W117" s="644"/>
      <c r="X117" s="644"/>
      <c r="Y117" s="644"/>
      <c r="Z117" s="644"/>
      <c r="AA117" s="644"/>
      <c r="AB117" s="644"/>
      <c r="AC117" s="644"/>
      <c r="AD117" s="644"/>
      <c r="AE117" s="644"/>
    </row>
    <row r="118" spans="1:31" s="645" customFormat="1" ht="18" customHeight="1">
      <c r="A118" s="98">
        <v>110</v>
      </c>
      <c r="B118" s="359"/>
      <c r="C118" s="1038"/>
      <c r="D118" s="1038"/>
      <c r="E118" s="1090" t="s">
        <v>893</v>
      </c>
      <c r="F118" s="1043"/>
      <c r="G118" s="1039"/>
      <c r="H118" s="1039"/>
      <c r="I118" s="630"/>
      <c r="J118" s="1111">
        <f>SUM(K118:R118)</f>
        <v>835</v>
      </c>
      <c r="K118" s="273">
        <v>347</v>
      </c>
      <c r="L118" s="273">
        <v>49</v>
      </c>
      <c r="M118" s="273">
        <v>439</v>
      </c>
      <c r="N118" s="632"/>
      <c r="O118" s="632"/>
      <c r="P118" s="632"/>
      <c r="Q118" s="632"/>
      <c r="R118" s="633"/>
      <c r="S118" s="644"/>
      <c r="T118" s="644"/>
      <c r="U118" s="644"/>
      <c r="V118" s="644"/>
      <c r="W118" s="644"/>
      <c r="X118" s="644"/>
      <c r="Y118" s="644"/>
      <c r="Z118" s="644"/>
      <c r="AA118" s="644"/>
      <c r="AB118" s="644"/>
      <c r="AC118" s="644"/>
      <c r="AD118" s="644"/>
      <c r="AE118" s="644"/>
    </row>
    <row r="119" spans="1:31" s="27" customFormat="1" ht="22.5" customHeight="1">
      <c r="A119" s="98">
        <v>111</v>
      </c>
      <c r="B119" s="223">
        <v>15</v>
      </c>
      <c r="C119" s="490"/>
      <c r="D119" s="1819" t="s">
        <v>142</v>
      </c>
      <c r="E119" s="1820"/>
      <c r="F119" s="350" t="s">
        <v>23</v>
      </c>
      <c r="G119" s="94">
        <v>851369</v>
      </c>
      <c r="H119" s="94">
        <v>742553</v>
      </c>
      <c r="I119" s="266">
        <v>836545</v>
      </c>
      <c r="J119" s="277"/>
      <c r="K119" s="94"/>
      <c r="L119" s="94"/>
      <c r="M119" s="94"/>
      <c r="N119" s="94"/>
      <c r="O119" s="94"/>
      <c r="P119" s="94"/>
      <c r="Q119" s="94"/>
      <c r="R119" s="102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</row>
    <row r="120" spans="1:31" s="635" customFormat="1" ht="18" customHeight="1">
      <c r="A120" s="98">
        <v>112</v>
      </c>
      <c r="B120" s="359"/>
      <c r="C120" s="1040"/>
      <c r="D120" s="1040"/>
      <c r="E120" s="621" t="s">
        <v>283</v>
      </c>
      <c r="F120" s="1041"/>
      <c r="G120" s="1041"/>
      <c r="H120" s="1041"/>
      <c r="I120" s="639"/>
      <c r="J120" s="640">
        <f>SUM(K120:R120)</f>
        <v>747152</v>
      </c>
      <c r="K120" s="641">
        <v>465819</v>
      </c>
      <c r="L120" s="641">
        <v>62479</v>
      </c>
      <c r="M120" s="641">
        <v>215854</v>
      </c>
      <c r="N120" s="641"/>
      <c r="O120" s="641"/>
      <c r="P120" s="641">
        <v>3000</v>
      </c>
      <c r="Q120" s="641"/>
      <c r="R120" s="642"/>
      <c r="S120" s="634"/>
      <c r="T120" s="634"/>
      <c r="U120" s="634"/>
      <c r="V120" s="634"/>
      <c r="W120" s="634"/>
      <c r="X120" s="634"/>
      <c r="Y120" s="634"/>
      <c r="Z120" s="634"/>
      <c r="AA120" s="634"/>
      <c r="AB120" s="634"/>
      <c r="AC120" s="634"/>
      <c r="AD120" s="634"/>
      <c r="AE120" s="634"/>
    </row>
    <row r="121" spans="1:31" s="635" customFormat="1" ht="18" customHeight="1">
      <c r="A121" s="98">
        <v>113</v>
      </c>
      <c r="B121" s="359"/>
      <c r="C121" s="1040"/>
      <c r="D121" s="1040"/>
      <c r="E121" s="478" t="s">
        <v>757</v>
      </c>
      <c r="F121" s="1041"/>
      <c r="G121" s="1041"/>
      <c r="H121" s="1041"/>
      <c r="I121" s="639"/>
      <c r="J121" s="1424">
        <f>SUM(K121:R121)</f>
        <v>951093</v>
      </c>
      <c r="K121" s="1116">
        <v>561514</v>
      </c>
      <c r="L121" s="1116">
        <v>68000</v>
      </c>
      <c r="M121" s="1116">
        <v>235470</v>
      </c>
      <c r="N121" s="1116"/>
      <c r="O121" s="1116"/>
      <c r="P121" s="1116">
        <v>86109</v>
      </c>
      <c r="Q121" s="641"/>
      <c r="R121" s="642"/>
      <c r="S121" s="634"/>
      <c r="T121" s="634"/>
      <c r="U121" s="634"/>
      <c r="V121" s="634"/>
      <c r="W121" s="634"/>
      <c r="X121" s="634"/>
      <c r="Y121" s="634"/>
      <c r="Z121" s="634"/>
      <c r="AA121" s="634"/>
      <c r="AB121" s="634"/>
      <c r="AC121" s="634"/>
      <c r="AD121" s="634"/>
      <c r="AE121" s="634"/>
    </row>
    <row r="122" spans="1:31" s="635" customFormat="1" ht="18" customHeight="1" thickBot="1">
      <c r="A122" s="98">
        <v>114</v>
      </c>
      <c r="B122" s="359"/>
      <c r="C122" s="1109"/>
      <c r="D122" s="1109"/>
      <c r="E122" s="1090" t="s">
        <v>892</v>
      </c>
      <c r="F122" s="1039"/>
      <c r="G122" s="1039"/>
      <c r="H122" s="1039"/>
      <c r="I122" s="630"/>
      <c r="J122" s="1111">
        <f>SUM(K122:R122)</f>
        <v>329709</v>
      </c>
      <c r="K122" s="273">
        <v>206559</v>
      </c>
      <c r="L122" s="273">
        <v>11728</v>
      </c>
      <c r="M122" s="273">
        <v>99265</v>
      </c>
      <c r="N122" s="273"/>
      <c r="O122" s="273"/>
      <c r="P122" s="273">
        <v>12157</v>
      </c>
      <c r="Q122" s="632"/>
      <c r="R122" s="633"/>
      <c r="S122" s="634"/>
      <c r="T122" s="634"/>
      <c r="U122" s="634"/>
      <c r="V122" s="634"/>
      <c r="W122" s="634"/>
      <c r="X122" s="634"/>
      <c r="Y122" s="634"/>
      <c r="Z122" s="634"/>
      <c r="AA122" s="634"/>
      <c r="AB122" s="634"/>
      <c r="AC122" s="634"/>
      <c r="AD122" s="634"/>
      <c r="AE122" s="634"/>
    </row>
    <row r="123" spans="1:31" s="154" customFormat="1" ht="22.5" customHeight="1" thickTop="1">
      <c r="A123" s="98">
        <v>115</v>
      </c>
      <c r="B123" s="270"/>
      <c r="C123" s="1884" t="s">
        <v>426</v>
      </c>
      <c r="D123" s="1885"/>
      <c r="E123" s="1886"/>
      <c r="F123" s="529"/>
      <c r="G123" s="522">
        <f>SUM(G66:G120)</f>
        <v>2347852</v>
      </c>
      <c r="H123" s="522">
        <f>SUM(H66:H120)-H70-H82-H91-H100</f>
        <v>2182328</v>
      </c>
      <c r="I123" s="646">
        <f>SUM(I66:I120)</f>
        <v>2191996</v>
      </c>
      <c r="J123" s="530"/>
      <c r="K123" s="527"/>
      <c r="L123" s="527"/>
      <c r="M123" s="527"/>
      <c r="N123" s="527"/>
      <c r="O123" s="527"/>
      <c r="P123" s="527"/>
      <c r="Q123" s="527"/>
      <c r="R123" s="528"/>
      <c r="S123" s="276"/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</row>
    <row r="124" spans="1:31" s="635" customFormat="1" ht="18" customHeight="1">
      <c r="A124" s="98">
        <v>116</v>
      </c>
      <c r="B124" s="359"/>
      <c r="C124" s="1108"/>
      <c r="D124" s="1040"/>
      <c r="E124" s="621" t="s">
        <v>283</v>
      </c>
      <c r="F124" s="1041"/>
      <c r="G124" s="1041"/>
      <c r="H124" s="1041"/>
      <c r="I124" s="639"/>
      <c r="J124" s="640">
        <f>SUM(K124:R124)</f>
        <v>2340076</v>
      </c>
      <c r="K124" s="641">
        <f aca="true" t="shared" si="5" ref="K124:R124">SUM(K67,K72,K79,K88,K93,K97,K107,K111,K120,K84,K103,K116)</f>
        <v>1220525</v>
      </c>
      <c r="L124" s="641">
        <f t="shared" si="5"/>
        <v>191805</v>
      </c>
      <c r="M124" s="641">
        <f t="shared" si="5"/>
        <v>868585</v>
      </c>
      <c r="N124" s="641">
        <f t="shared" si="5"/>
        <v>0</v>
      </c>
      <c r="O124" s="641">
        <f t="shared" si="5"/>
        <v>0</v>
      </c>
      <c r="P124" s="641">
        <f t="shared" si="5"/>
        <v>59161</v>
      </c>
      <c r="Q124" s="641">
        <f t="shared" si="5"/>
        <v>0</v>
      </c>
      <c r="R124" s="642">
        <f t="shared" si="5"/>
        <v>0</v>
      </c>
      <c r="S124" s="634"/>
      <c r="T124" s="634"/>
      <c r="U124" s="634"/>
      <c r="V124" s="634"/>
      <c r="W124" s="634"/>
      <c r="X124" s="634"/>
      <c r="Y124" s="634"/>
      <c r="Z124" s="634"/>
      <c r="AA124" s="634"/>
      <c r="AB124" s="634"/>
      <c r="AC124" s="634"/>
      <c r="AD124" s="634"/>
      <c r="AE124" s="634"/>
    </row>
    <row r="125" spans="1:31" s="635" customFormat="1" ht="18" customHeight="1">
      <c r="A125" s="98">
        <v>117</v>
      </c>
      <c r="B125" s="1117"/>
      <c r="C125" s="1108"/>
      <c r="D125" s="1040"/>
      <c r="E125" s="478" t="s">
        <v>757</v>
      </c>
      <c r="F125" s="1041"/>
      <c r="G125" s="1041"/>
      <c r="H125" s="1041"/>
      <c r="I125" s="639"/>
      <c r="J125" s="1424">
        <f>SUM(K125:R125)</f>
        <v>2671157</v>
      </c>
      <c r="K125" s="1116">
        <f aca="true" t="shared" si="6" ref="K125:R125">SUM(K68,K73,K80,K89,K94,K98,K108,K112,K121,K85,K104,K117,K76)</f>
        <v>1358856</v>
      </c>
      <c r="L125" s="1116">
        <f t="shared" si="6"/>
        <v>195990</v>
      </c>
      <c r="M125" s="1116">
        <f t="shared" si="6"/>
        <v>884001</v>
      </c>
      <c r="N125" s="1116">
        <f t="shared" si="6"/>
        <v>0</v>
      </c>
      <c r="O125" s="1116">
        <f t="shared" si="6"/>
        <v>263</v>
      </c>
      <c r="P125" s="1116">
        <f t="shared" si="6"/>
        <v>232047</v>
      </c>
      <c r="Q125" s="1116">
        <f t="shared" si="6"/>
        <v>0</v>
      </c>
      <c r="R125" s="1432">
        <f t="shared" si="6"/>
        <v>0</v>
      </c>
      <c r="S125" s="634"/>
      <c r="T125" s="634"/>
      <c r="U125" s="634"/>
      <c r="V125" s="634"/>
      <c r="W125" s="634"/>
      <c r="X125" s="634"/>
      <c r="Y125" s="634"/>
      <c r="Z125" s="634"/>
      <c r="AA125" s="634"/>
      <c r="AB125" s="634"/>
      <c r="AC125" s="634"/>
      <c r="AD125" s="634"/>
      <c r="AE125" s="634"/>
    </row>
    <row r="126" spans="1:31" s="635" customFormat="1" ht="18" customHeight="1" thickBot="1">
      <c r="A126" s="98">
        <v>118</v>
      </c>
      <c r="B126" s="1117"/>
      <c r="C126" s="1042"/>
      <c r="D126" s="1602"/>
      <c r="E126" s="1595" t="s">
        <v>893</v>
      </c>
      <c r="F126" s="1601"/>
      <c r="G126" s="1601"/>
      <c r="H126" s="1601"/>
      <c r="I126" s="1597"/>
      <c r="J126" s="1598">
        <f>SUM(K126:R126)</f>
        <v>968995</v>
      </c>
      <c r="K126" s="1599">
        <f aca="true" t="shared" si="7" ref="K126:R126">SUM(K69:K69,K74:K74,K81:K81,K86,K90:K90,K95,K99:K99,K105,K109:K109,K113,K118,K122:K122)+K77</f>
        <v>552956</v>
      </c>
      <c r="L126" s="1599">
        <f t="shared" si="7"/>
        <v>46547</v>
      </c>
      <c r="M126" s="1599">
        <f t="shared" si="7"/>
        <v>296448</v>
      </c>
      <c r="N126" s="1599">
        <f t="shared" si="7"/>
        <v>0</v>
      </c>
      <c r="O126" s="1599">
        <f t="shared" si="7"/>
        <v>262</v>
      </c>
      <c r="P126" s="1599">
        <f t="shared" si="7"/>
        <v>72782</v>
      </c>
      <c r="Q126" s="1599">
        <f t="shared" si="7"/>
        <v>0</v>
      </c>
      <c r="R126" s="1600">
        <f t="shared" si="7"/>
        <v>0</v>
      </c>
      <c r="S126" s="634"/>
      <c r="T126" s="634"/>
      <c r="U126" s="634"/>
      <c r="V126" s="634"/>
      <c r="W126" s="634"/>
      <c r="X126" s="634"/>
      <c r="Y126" s="634"/>
      <c r="Z126" s="634"/>
      <c r="AA126" s="634"/>
      <c r="AB126" s="634"/>
      <c r="AC126" s="634"/>
      <c r="AD126" s="634"/>
      <c r="AE126" s="634"/>
    </row>
    <row r="127" spans="1:31" s="31" customFormat="1" ht="22.5" customHeight="1" thickTop="1">
      <c r="A127" s="98">
        <v>119</v>
      </c>
      <c r="B127" s="237">
        <v>16</v>
      </c>
      <c r="C127" s="492"/>
      <c r="D127" s="1868" t="s">
        <v>251</v>
      </c>
      <c r="E127" s="1869"/>
      <c r="F127" s="351" t="s">
        <v>22</v>
      </c>
      <c r="G127" s="249">
        <v>965302</v>
      </c>
      <c r="H127" s="249">
        <v>1025459</v>
      </c>
      <c r="I127" s="352">
        <v>743417</v>
      </c>
      <c r="J127" s="342"/>
      <c r="K127" s="249"/>
      <c r="L127" s="249"/>
      <c r="M127" s="249"/>
      <c r="N127" s="249"/>
      <c r="O127" s="249"/>
      <c r="P127" s="249"/>
      <c r="Q127" s="249"/>
      <c r="R127" s="272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</row>
    <row r="128" spans="1:31" s="596" customFormat="1" ht="18" customHeight="1">
      <c r="A128" s="98">
        <v>120</v>
      </c>
      <c r="B128" s="1107"/>
      <c r="C128" s="1040"/>
      <c r="D128" s="1040"/>
      <c r="E128" s="621" t="s">
        <v>283</v>
      </c>
      <c r="F128" s="1041"/>
      <c r="G128" s="1041"/>
      <c r="H128" s="1041"/>
      <c r="I128" s="639"/>
      <c r="J128" s="640">
        <f>SUM(K128:R128)</f>
        <v>1199812</v>
      </c>
      <c r="K128" s="641">
        <v>189138</v>
      </c>
      <c r="L128" s="641">
        <v>34301</v>
      </c>
      <c r="M128" s="641">
        <v>973553</v>
      </c>
      <c r="N128" s="641"/>
      <c r="O128" s="641"/>
      <c r="P128" s="641">
        <v>2820</v>
      </c>
      <c r="Q128" s="641"/>
      <c r="R128" s="642"/>
      <c r="S128" s="643"/>
      <c r="T128" s="643"/>
      <c r="U128" s="643"/>
      <c r="V128" s="643"/>
      <c r="W128" s="643"/>
      <c r="X128" s="643"/>
      <c r="Y128" s="643"/>
      <c r="Z128" s="643"/>
      <c r="AA128" s="643"/>
      <c r="AB128" s="643"/>
      <c r="AC128" s="643"/>
      <c r="AD128" s="643"/>
      <c r="AE128" s="643"/>
    </row>
    <row r="129" spans="1:31" s="596" customFormat="1" ht="18" customHeight="1">
      <c r="A129" s="98">
        <v>121</v>
      </c>
      <c r="B129" s="1425"/>
      <c r="C129" s="1040"/>
      <c r="D129" s="1040"/>
      <c r="E129" s="478" t="s">
        <v>757</v>
      </c>
      <c r="F129" s="1041"/>
      <c r="G129" s="1041"/>
      <c r="H129" s="1041"/>
      <c r="I129" s="639"/>
      <c r="J129" s="1424">
        <f>SUM(K129:R129)</f>
        <v>1333246</v>
      </c>
      <c r="K129" s="1116">
        <v>229138</v>
      </c>
      <c r="L129" s="1116">
        <v>43301</v>
      </c>
      <c r="M129" s="1116">
        <v>1055967</v>
      </c>
      <c r="N129" s="1116"/>
      <c r="O129" s="1116"/>
      <c r="P129" s="1116">
        <v>4840</v>
      </c>
      <c r="Q129" s="641"/>
      <c r="R129" s="642"/>
      <c r="S129" s="643"/>
      <c r="T129" s="643"/>
      <c r="U129" s="643"/>
      <c r="V129" s="643"/>
      <c r="W129" s="643"/>
      <c r="X129" s="643"/>
      <c r="Y129" s="643"/>
      <c r="Z129" s="643"/>
      <c r="AA129" s="643"/>
      <c r="AB129" s="643"/>
      <c r="AC129" s="643"/>
      <c r="AD129" s="643"/>
      <c r="AE129" s="643"/>
    </row>
    <row r="130" spans="1:31" s="596" customFormat="1" ht="18" customHeight="1" thickBot="1">
      <c r="A130" s="98">
        <v>122</v>
      </c>
      <c r="B130" s="1110"/>
      <c r="C130" s="1109"/>
      <c r="D130" s="1109"/>
      <c r="E130" s="1090" t="s">
        <v>892</v>
      </c>
      <c r="F130" s="1039"/>
      <c r="G130" s="1039"/>
      <c r="H130" s="1039"/>
      <c r="I130" s="630"/>
      <c r="J130" s="1111">
        <f>SUM(K130:R130)</f>
        <v>366309</v>
      </c>
      <c r="K130" s="273">
        <v>77045</v>
      </c>
      <c r="L130" s="273">
        <v>13736</v>
      </c>
      <c r="M130" s="273">
        <v>273078</v>
      </c>
      <c r="N130" s="273"/>
      <c r="O130" s="273"/>
      <c r="P130" s="273">
        <v>2450</v>
      </c>
      <c r="Q130" s="632"/>
      <c r="R130" s="633"/>
      <c r="S130" s="643"/>
      <c r="T130" s="643"/>
      <c r="U130" s="643"/>
      <c r="V130" s="643"/>
      <c r="W130" s="643"/>
      <c r="X130" s="643"/>
      <c r="Y130" s="643"/>
      <c r="Z130" s="643"/>
      <c r="AA130" s="643"/>
      <c r="AB130" s="643"/>
      <c r="AC130" s="643"/>
      <c r="AD130" s="643"/>
      <c r="AE130" s="643"/>
    </row>
    <row r="131" spans="1:31" s="109" customFormat="1" ht="36" customHeight="1">
      <c r="A131" s="98">
        <v>123</v>
      </c>
      <c r="B131" s="1838" t="s">
        <v>143</v>
      </c>
      <c r="C131" s="1839"/>
      <c r="D131" s="1839"/>
      <c r="E131" s="1840"/>
      <c r="F131" s="355"/>
      <c r="G131" s="356">
        <f>SUM(G127,G123,G62,G41)</f>
        <v>6471307</v>
      </c>
      <c r="H131" s="356">
        <f>SUM(H127,H123,H62,H41)</f>
        <v>6363012</v>
      </c>
      <c r="I131" s="357">
        <f>SUM(I127,I123,I62,I41)</f>
        <v>6169480</v>
      </c>
      <c r="J131" s="647"/>
      <c r="K131" s="282"/>
      <c r="L131" s="282"/>
      <c r="M131" s="282"/>
      <c r="N131" s="282"/>
      <c r="O131" s="282"/>
      <c r="P131" s="282"/>
      <c r="Q131" s="282"/>
      <c r="R131" s="283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</row>
    <row r="132" spans="1:31" s="635" customFormat="1" ht="18" customHeight="1">
      <c r="A132" s="98">
        <v>124</v>
      </c>
      <c r="B132" s="1107"/>
      <c r="C132" s="1040"/>
      <c r="D132" s="1040"/>
      <c r="E132" s="621" t="s">
        <v>283</v>
      </c>
      <c r="F132" s="1041"/>
      <c r="G132" s="1041"/>
      <c r="H132" s="1041"/>
      <c r="I132" s="639"/>
      <c r="J132" s="640">
        <f>SUM(K132:R132)</f>
        <v>6945818</v>
      </c>
      <c r="K132" s="641">
        <f aca="true" t="shared" si="8" ref="K132:R133">SUM(K128,K124,K63,K42)</f>
        <v>3749904</v>
      </c>
      <c r="L132" s="641">
        <f t="shared" si="8"/>
        <v>639752</v>
      </c>
      <c r="M132" s="641">
        <f t="shared" si="8"/>
        <v>2443959</v>
      </c>
      <c r="N132" s="641">
        <f t="shared" si="8"/>
        <v>0</v>
      </c>
      <c r="O132" s="641">
        <f t="shared" si="8"/>
        <v>0</v>
      </c>
      <c r="P132" s="641">
        <f t="shared" si="8"/>
        <v>112203</v>
      </c>
      <c r="Q132" s="641">
        <f t="shared" si="8"/>
        <v>0</v>
      </c>
      <c r="R132" s="642">
        <f t="shared" si="8"/>
        <v>0</v>
      </c>
      <c r="S132" s="634"/>
      <c r="T132" s="634"/>
      <c r="U132" s="634"/>
      <c r="V132" s="634"/>
      <c r="W132" s="634"/>
      <c r="X132" s="634"/>
      <c r="Y132" s="634"/>
      <c r="Z132" s="634"/>
      <c r="AA132" s="634"/>
      <c r="AB132" s="634"/>
      <c r="AC132" s="634"/>
      <c r="AD132" s="634"/>
      <c r="AE132" s="634"/>
    </row>
    <row r="133" spans="1:31" s="635" customFormat="1" ht="18" customHeight="1">
      <c r="A133" s="98">
        <v>125</v>
      </c>
      <c r="B133" s="1107"/>
      <c r="C133" s="1040"/>
      <c r="D133" s="1426"/>
      <c r="E133" s="478" t="s">
        <v>757</v>
      </c>
      <c r="F133" s="1041"/>
      <c r="G133" s="1041"/>
      <c r="H133" s="1041"/>
      <c r="I133" s="639"/>
      <c r="J133" s="1424">
        <f>SUM(K133:R133)</f>
        <v>7582338</v>
      </c>
      <c r="K133" s="1116">
        <f t="shared" si="8"/>
        <v>4014585</v>
      </c>
      <c r="L133" s="1116">
        <f t="shared" si="8"/>
        <v>666869</v>
      </c>
      <c r="M133" s="1116">
        <f t="shared" si="8"/>
        <v>2596754</v>
      </c>
      <c r="N133" s="1116">
        <f t="shared" si="8"/>
        <v>0</v>
      </c>
      <c r="O133" s="1116">
        <f t="shared" si="8"/>
        <v>263</v>
      </c>
      <c r="P133" s="1116">
        <f t="shared" si="8"/>
        <v>303867</v>
      </c>
      <c r="Q133" s="1116">
        <f t="shared" si="8"/>
        <v>0</v>
      </c>
      <c r="R133" s="1432">
        <f t="shared" si="8"/>
        <v>0</v>
      </c>
      <c r="S133" s="634"/>
      <c r="T133" s="634"/>
      <c r="U133" s="634"/>
      <c r="V133" s="634"/>
      <c r="W133" s="634"/>
      <c r="X133" s="634"/>
      <c r="Y133" s="634"/>
      <c r="Z133" s="634"/>
      <c r="AA133" s="634"/>
      <c r="AB133" s="634"/>
      <c r="AC133" s="634"/>
      <c r="AD133" s="634"/>
      <c r="AE133" s="634"/>
    </row>
    <row r="134" spans="1:31" s="635" customFormat="1" ht="18" customHeight="1" thickBot="1">
      <c r="A134" s="98">
        <v>126</v>
      </c>
      <c r="B134" s="359"/>
      <c r="C134" s="1038"/>
      <c r="D134" s="1104"/>
      <c r="E134" s="1090" t="s">
        <v>893</v>
      </c>
      <c r="F134" s="1039"/>
      <c r="G134" s="1039"/>
      <c r="H134" s="1039"/>
      <c r="I134" s="630"/>
      <c r="J134" s="1111">
        <f>SUM(K134:R134)</f>
        <v>2922546</v>
      </c>
      <c r="K134" s="273">
        <f aca="true" t="shared" si="9" ref="K134:R134">K130+K126+K65+K44</f>
        <v>1752327</v>
      </c>
      <c r="L134" s="273">
        <f t="shared" si="9"/>
        <v>256827</v>
      </c>
      <c r="M134" s="273">
        <f t="shared" si="9"/>
        <v>823970</v>
      </c>
      <c r="N134" s="273">
        <f t="shared" si="9"/>
        <v>0</v>
      </c>
      <c r="O134" s="273">
        <f t="shared" si="9"/>
        <v>262</v>
      </c>
      <c r="P134" s="273">
        <f t="shared" si="9"/>
        <v>89160</v>
      </c>
      <c r="Q134" s="273">
        <f t="shared" si="9"/>
        <v>0</v>
      </c>
      <c r="R134" s="274">
        <f t="shared" si="9"/>
        <v>0</v>
      </c>
      <c r="S134" s="634"/>
      <c r="T134" s="634"/>
      <c r="U134" s="634"/>
      <c r="V134" s="634"/>
      <c r="W134" s="634"/>
      <c r="X134" s="634"/>
      <c r="Y134" s="634"/>
      <c r="Z134" s="634"/>
      <c r="AA134" s="634"/>
      <c r="AB134" s="634"/>
      <c r="AC134" s="634"/>
      <c r="AD134" s="634"/>
      <c r="AE134" s="634"/>
    </row>
    <row r="135" spans="1:31" s="31" customFormat="1" ht="22.5" customHeight="1">
      <c r="A135" s="98">
        <v>127</v>
      </c>
      <c r="B135" s="219">
        <v>17</v>
      </c>
      <c r="C135" s="489"/>
      <c r="D135" s="1870" t="s">
        <v>25</v>
      </c>
      <c r="E135" s="1871"/>
      <c r="F135" s="220" t="s">
        <v>22</v>
      </c>
      <c r="G135" s="278"/>
      <c r="H135" s="278"/>
      <c r="I135" s="358"/>
      <c r="J135" s="284"/>
      <c r="K135" s="278"/>
      <c r="L135" s="278"/>
      <c r="M135" s="278"/>
      <c r="N135" s="278"/>
      <c r="O135" s="278"/>
      <c r="P135" s="278"/>
      <c r="Q135" s="278"/>
      <c r="R135" s="279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</row>
    <row r="136" spans="1:31" s="112" customFormat="1" ht="19.5" customHeight="1">
      <c r="A136" s="98">
        <v>128</v>
      </c>
      <c r="B136" s="223"/>
      <c r="C136" s="224">
        <v>1</v>
      </c>
      <c r="D136" s="1821" t="s">
        <v>150</v>
      </c>
      <c r="E136" s="1822"/>
      <c r="F136" s="350"/>
      <c r="G136" s="94">
        <v>1287824</v>
      </c>
      <c r="H136" s="94">
        <f>1326424-205560-2261</f>
        <v>1118603</v>
      </c>
      <c r="I136" s="266">
        <f>1261583-2181-9817-26713</f>
        <v>1222872</v>
      </c>
      <c r="J136" s="277"/>
      <c r="K136" s="94"/>
      <c r="L136" s="94"/>
      <c r="M136" s="94"/>
      <c r="N136" s="94"/>
      <c r="O136" s="94"/>
      <c r="P136" s="94"/>
      <c r="Q136" s="94"/>
      <c r="R136" s="102"/>
      <c r="S136" s="199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</row>
    <row r="137" spans="1:31" s="596" customFormat="1" ht="18" customHeight="1">
      <c r="A137" s="98">
        <v>129</v>
      </c>
      <c r="B137" s="359"/>
      <c r="C137" s="1044"/>
      <c r="D137" s="1038"/>
      <c r="E137" s="1053" t="s">
        <v>283</v>
      </c>
      <c r="F137" s="1045"/>
      <c r="G137" s="1039"/>
      <c r="H137" s="1039"/>
      <c r="I137" s="630"/>
      <c r="J137" s="631">
        <f>SUM(K137:R137)</f>
        <v>1380645</v>
      </c>
      <c r="K137" s="632">
        <v>1158703</v>
      </c>
      <c r="L137" s="632">
        <v>191446</v>
      </c>
      <c r="M137" s="632">
        <v>30496</v>
      </c>
      <c r="N137" s="632"/>
      <c r="O137" s="632"/>
      <c r="P137" s="632"/>
      <c r="Q137" s="632"/>
      <c r="R137" s="633"/>
      <c r="S137" s="643"/>
      <c r="T137" s="643"/>
      <c r="U137" s="643"/>
      <c r="V137" s="643"/>
      <c r="W137" s="643"/>
      <c r="X137" s="643"/>
      <c r="Y137" s="643"/>
      <c r="Z137" s="643"/>
      <c r="AA137" s="643"/>
      <c r="AB137" s="643"/>
      <c r="AC137" s="643"/>
      <c r="AD137" s="643"/>
      <c r="AE137" s="643"/>
    </row>
    <row r="138" spans="1:31" s="596" customFormat="1" ht="18" customHeight="1">
      <c r="A138" s="98">
        <v>130</v>
      </c>
      <c r="B138" s="359"/>
      <c r="C138" s="1044"/>
      <c r="D138" s="1104"/>
      <c r="E138" s="478" t="s">
        <v>757</v>
      </c>
      <c r="F138" s="1045"/>
      <c r="G138" s="1039"/>
      <c r="H138" s="1039"/>
      <c r="I138" s="630"/>
      <c r="J138" s="269">
        <f>SUM(K138:R138)</f>
        <v>1563484</v>
      </c>
      <c r="K138" s="1114">
        <v>1266101</v>
      </c>
      <c r="L138" s="1114">
        <v>227412</v>
      </c>
      <c r="M138" s="1114">
        <v>69471</v>
      </c>
      <c r="N138" s="632"/>
      <c r="O138" s="632"/>
      <c r="P138" s="1114">
        <v>500</v>
      </c>
      <c r="Q138" s="632"/>
      <c r="R138" s="633"/>
      <c r="S138" s="643"/>
      <c r="T138" s="643"/>
      <c r="U138" s="643"/>
      <c r="V138" s="643"/>
      <c r="W138" s="643"/>
      <c r="X138" s="643"/>
      <c r="Y138" s="643"/>
      <c r="Z138" s="643"/>
      <c r="AA138" s="643"/>
      <c r="AB138" s="643"/>
      <c r="AC138" s="643"/>
      <c r="AD138" s="643"/>
      <c r="AE138" s="643"/>
    </row>
    <row r="139" spans="1:31" s="596" customFormat="1" ht="18" customHeight="1">
      <c r="A139" s="98">
        <v>131</v>
      </c>
      <c r="B139" s="359"/>
      <c r="C139" s="1044"/>
      <c r="D139" s="1104"/>
      <c r="E139" s="1090" t="s">
        <v>892</v>
      </c>
      <c r="F139" s="1045"/>
      <c r="G139" s="1039"/>
      <c r="H139" s="1039"/>
      <c r="I139" s="630"/>
      <c r="J139" s="1111">
        <f>SUM(K139:R139)</f>
        <v>665320</v>
      </c>
      <c r="K139" s="273">
        <f>589485-778-8567-5260-2627-3690-13865</f>
        <v>554698</v>
      </c>
      <c r="L139" s="273">
        <f>103152-735-1328-815-440-572-2149</f>
        <v>97113</v>
      </c>
      <c r="M139" s="273">
        <f>102421-234-60608-27308-762</f>
        <v>13509</v>
      </c>
      <c r="N139" s="632"/>
      <c r="O139" s="632"/>
      <c r="P139" s="273">
        <f>903-153-540-210</f>
        <v>0</v>
      </c>
      <c r="Q139" s="632"/>
      <c r="R139" s="633"/>
      <c r="S139" s="643"/>
      <c r="T139" s="643"/>
      <c r="U139" s="643"/>
      <c r="V139" s="643"/>
      <c r="W139" s="643"/>
      <c r="X139" s="643"/>
      <c r="Y139" s="643"/>
      <c r="Z139" s="643"/>
      <c r="AA139" s="643"/>
      <c r="AB139" s="643"/>
      <c r="AC139" s="643"/>
      <c r="AD139" s="643"/>
      <c r="AE139" s="643"/>
    </row>
    <row r="140" spans="1:31" s="32" customFormat="1" ht="19.5" customHeight="1">
      <c r="A140" s="98">
        <v>132</v>
      </c>
      <c r="B140" s="223"/>
      <c r="C140" s="224">
        <v>2</v>
      </c>
      <c r="D140" s="1821" t="s">
        <v>151</v>
      </c>
      <c r="E140" s="1822"/>
      <c r="F140" s="350"/>
      <c r="G140" s="94">
        <v>129126</v>
      </c>
      <c r="H140" s="94">
        <v>185553</v>
      </c>
      <c r="I140" s="266">
        <v>135967</v>
      </c>
      <c r="J140" s="277"/>
      <c r="K140" s="94"/>
      <c r="L140" s="94"/>
      <c r="M140" s="94"/>
      <c r="N140" s="94"/>
      <c r="O140" s="94"/>
      <c r="P140" s="94"/>
      <c r="Q140" s="94"/>
      <c r="R140" s="102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</row>
    <row r="141" spans="1:31" s="596" customFormat="1" ht="18" customHeight="1">
      <c r="A141" s="98">
        <v>133</v>
      </c>
      <c r="B141" s="359"/>
      <c r="C141" s="1044"/>
      <c r="D141" s="1038"/>
      <c r="E141" s="1053" t="s">
        <v>283</v>
      </c>
      <c r="F141" s="1045"/>
      <c r="G141" s="1039"/>
      <c r="H141" s="1039"/>
      <c r="I141" s="630"/>
      <c r="J141" s="631">
        <f>SUM(K141:R141)</f>
        <v>204402</v>
      </c>
      <c r="K141" s="632">
        <v>3200</v>
      </c>
      <c r="L141" s="632">
        <v>1471</v>
      </c>
      <c r="M141" s="632">
        <v>185920</v>
      </c>
      <c r="N141" s="632"/>
      <c r="O141" s="632"/>
      <c r="P141" s="632">
        <v>13811</v>
      </c>
      <c r="Q141" s="632"/>
      <c r="R141" s="633"/>
      <c r="S141" s="643"/>
      <c r="T141" s="643"/>
      <c r="U141" s="643"/>
      <c r="V141" s="643"/>
      <c r="W141" s="643"/>
      <c r="X141" s="643"/>
      <c r="Y141" s="643"/>
      <c r="Z141" s="643"/>
      <c r="AA141" s="643"/>
      <c r="AB141" s="643"/>
      <c r="AC141" s="643"/>
      <c r="AD141" s="643"/>
      <c r="AE141" s="643"/>
    </row>
    <row r="142" spans="1:31" s="596" customFormat="1" ht="18" customHeight="1">
      <c r="A142" s="98">
        <v>134</v>
      </c>
      <c r="B142" s="359"/>
      <c r="C142" s="1044"/>
      <c r="D142" s="1104"/>
      <c r="E142" s="478" t="s">
        <v>757</v>
      </c>
      <c r="F142" s="1045"/>
      <c r="G142" s="1039"/>
      <c r="H142" s="1039"/>
      <c r="I142" s="630"/>
      <c r="J142" s="269">
        <f>SUM(K142:R142)</f>
        <v>353069</v>
      </c>
      <c r="K142" s="1114">
        <v>3290</v>
      </c>
      <c r="L142" s="1114">
        <v>2009</v>
      </c>
      <c r="M142" s="1114">
        <v>327698</v>
      </c>
      <c r="N142" s="1114"/>
      <c r="O142" s="1114"/>
      <c r="P142" s="1114">
        <v>20072</v>
      </c>
      <c r="Q142" s="632"/>
      <c r="R142" s="633"/>
      <c r="S142" s="643"/>
      <c r="T142" s="643"/>
      <c r="U142" s="643"/>
      <c r="V142" s="643"/>
      <c r="W142" s="643"/>
      <c r="X142" s="643"/>
      <c r="Y142" s="643"/>
      <c r="Z142" s="643"/>
      <c r="AA142" s="643"/>
      <c r="AB142" s="643"/>
      <c r="AC142" s="643"/>
      <c r="AD142" s="643"/>
      <c r="AE142" s="643"/>
    </row>
    <row r="143" spans="1:31" s="596" customFormat="1" ht="18" customHeight="1">
      <c r="A143" s="98">
        <v>135</v>
      </c>
      <c r="B143" s="359"/>
      <c r="C143" s="1044"/>
      <c r="D143" s="1104"/>
      <c r="E143" s="1090" t="s">
        <v>892</v>
      </c>
      <c r="F143" s="1045"/>
      <c r="G143" s="1039"/>
      <c r="H143" s="1039"/>
      <c r="I143" s="630"/>
      <c r="J143" s="1111">
        <f>SUM(K143:R143)</f>
        <v>62661</v>
      </c>
      <c r="K143" s="273">
        <v>778</v>
      </c>
      <c r="L143" s="273">
        <v>735</v>
      </c>
      <c r="M143" s="273">
        <v>60608</v>
      </c>
      <c r="N143" s="273"/>
      <c r="O143" s="273"/>
      <c r="P143" s="273">
        <v>540</v>
      </c>
      <c r="Q143" s="632"/>
      <c r="R143" s="633"/>
      <c r="S143" s="643"/>
      <c r="T143" s="643"/>
      <c r="U143" s="643"/>
      <c r="V143" s="643"/>
      <c r="W143" s="643"/>
      <c r="X143" s="643"/>
      <c r="Y143" s="643"/>
      <c r="Z143" s="643"/>
      <c r="AA143" s="643"/>
      <c r="AB143" s="643"/>
      <c r="AC143" s="643"/>
      <c r="AD143" s="643"/>
      <c r="AE143" s="643"/>
    </row>
    <row r="144" spans="1:31" s="32" customFormat="1" ht="19.5" customHeight="1">
      <c r="A144" s="98">
        <v>136</v>
      </c>
      <c r="B144" s="223"/>
      <c r="C144" s="224">
        <v>3</v>
      </c>
      <c r="D144" s="1821" t="s">
        <v>32</v>
      </c>
      <c r="E144" s="1822"/>
      <c r="F144" s="350"/>
      <c r="G144" s="94">
        <v>96889</v>
      </c>
      <c r="H144" s="94">
        <v>91571</v>
      </c>
      <c r="I144" s="266">
        <v>85976</v>
      </c>
      <c r="J144" s="277"/>
      <c r="K144" s="94"/>
      <c r="L144" s="94"/>
      <c r="M144" s="94"/>
      <c r="N144" s="94"/>
      <c r="O144" s="94"/>
      <c r="P144" s="94"/>
      <c r="Q144" s="94"/>
      <c r="R144" s="102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</row>
    <row r="145" spans="1:31" s="596" customFormat="1" ht="18" customHeight="1">
      <c r="A145" s="98">
        <v>137</v>
      </c>
      <c r="B145" s="359"/>
      <c r="C145" s="1044"/>
      <c r="D145" s="1038"/>
      <c r="E145" s="1053" t="s">
        <v>283</v>
      </c>
      <c r="F145" s="1045"/>
      <c r="G145" s="1039"/>
      <c r="H145" s="1039"/>
      <c r="I145" s="630"/>
      <c r="J145" s="631">
        <f>SUM(K145:R145)</f>
        <v>101862</v>
      </c>
      <c r="K145" s="632"/>
      <c r="L145" s="632"/>
      <c r="M145" s="632">
        <v>81762</v>
      </c>
      <c r="N145" s="632"/>
      <c r="O145" s="632"/>
      <c r="P145" s="632">
        <v>20100</v>
      </c>
      <c r="Q145" s="632"/>
      <c r="R145" s="633"/>
      <c r="S145" s="643"/>
      <c r="T145" s="643"/>
      <c r="U145" s="643"/>
      <c r="V145" s="643"/>
      <c r="W145" s="643"/>
      <c r="X145" s="643"/>
      <c r="Y145" s="643"/>
      <c r="Z145" s="643"/>
      <c r="AA145" s="643"/>
      <c r="AB145" s="643"/>
      <c r="AC145" s="643"/>
      <c r="AD145" s="643"/>
      <c r="AE145" s="643"/>
    </row>
    <row r="146" spans="1:31" s="596" customFormat="1" ht="18" customHeight="1">
      <c r="A146" s="98">
        <v>138</v>
      </c>
      <c r="B146" s="359"/>
      <c r="C146" s="1044"/>
      <c r="D146" s="1104"/>
      <c r="E146" s="478" t="s">
        <v>757</v>
      </c>
      <c r="F146" s="1045"/>
      <c r="G146" s="1039"/>
      <c r="H146" s="1039"/>
      <c r="I146" s="630"/>
      <c r="J146" s="269">
        <f>SUM(K146:R146)</f>
        <v>133682</v>
      </c>
      <c r="K146" s="1114"/>
      <c r="L146" s="1114"/>
      <c r="M146" s="1114">
        <v>104357</v>
      </c>
      <c r="N146" s="1114"/>
      <c r="O146" s="1114"/>
      <c r="P146" s="1114">
        <v>29325</v>
      </c>
      <c r="Q146" s="632"/>
      <c r="R146" s="633"/>
      <c r="S146" s="643"/>
      <c r="T146" s="643"/>
      <c r="U146" s="643"/>
      <c r="V146" s="643"/>
      <c r="W146" s="643"/>
      <c r="X146" s="643"/>
      <c r="Y146" s="643"/>
      <c r="Z146" s="643"/>
      <c r="AA146" s="643"/>
      <c r="AB146" s="643"/>
      <c r="AC146" s="643"/>
      <c r="AD146" s="643"/>
      <c r="AE146" s="643"/>
    </row>
    <row r="147" spans="1:31" s="596" customFormat="1" ht="18" customHeight="1">
      <c r="A147" s="98">
        <v>139</v>
      </c>
      <c r="B147" s="359"/>
      <c r="C147" s="1044"/>
      <c r="D147" s="1104"/>
      <c r="E147" s="1090" t="s">
        <v>892</v>
      </c>
      <c r="F147" s="1045"/>
      <c r="G147" s="1039"/>
      <c r="H147" s="1039"/>
      <c r="I147" s="630"/>
      <c r="J147" s="1111">
        <f>SUM(K147:R147)</f>
        <v>27518</v>
      </c>
      <c r="K147" s="632"/>
      <c r="L147" s="632"/>
      <c r="M147" s="273">
        <v>27308</v>
      </c>
      <c r="N147" s="273"/>
      <c r="O147" s="273"/>
      <c r="P147" s="273">
        <v>210</v>
      </c>
      <c r="Q147" s="632"/>
      <c r="R147" s="633"/>
      <c r="S147" s="643"/>
      <c r="T147" s="643"/>
      <c r="U147" s="643"/>
      <c r="V147" s="643"/>
      <c r="W147" s="643"/>
      <c r="X147" s="643"/>
      <c r="Y147" s="643"/>
      <c r="Z147" s="643"/>
      <c r="AA147" s="643"/>
      <c r="AB147" s="643"/>
      <c r="AC147" s="643"/>
      <c r="AD147" s="643"/>
      <c r="AE147" s="643"/>
    </row>
    <row r="148" spans="1:31" s="32" customFormat="1" ht="19.5" customHeight="1">
      <c r="A148" s="98">
        <v>140</v>
      </c>
      <c r="B148" s="223"/>
      <c r="C148" s="224">
        <v>4</v>
      </c>
      <c r="D148" s="1821" t="s">
        <v>655</v>
      </c>
      <c r="E148" s="1822"/>
      <c r="F148" s="350"/>
      <c r="G148" s="94">
        <v>2385</v>
      </c>
      <c r="H148" s="94">
        <v>7800</v>
      </c>
      <c r="I148" s="266">
        <v>71</v>
      </c>
      <c r="J148" s="277"/>
      <c r="K148" s="94"/>
      <c r="L148" s="94"/>
      <c r="M148" s="94"/>
      <c r="N148" s="94"/>
      <c r="O148" s="94"/>
      <c r="P148" s="94"/>
      <c r="Q148" s="94"/>
      <c r="R148" s="102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</row>
    <row r="149" spans="1:31" s="596" customFormat="1" ht="18" customHeight="1">
      <c r="A149" s="98">
        <v>141</v>
      </c>
      <c r="B149" s="359"/>
      <c r="C149" s="1044"/>
      <c r="D149" s="1038"/>
      <c r="E149" s="1053" t="s">
        <v>283</v>
      </c>
      <c r="F149" s="1045"/>
      <c r="G149" s="1039"/>
      <c r="H149" s="1039"/>
      <c r="I149" s="630"/>
      <c r="J149" s="631">
        <f>SUM(K149:R149)</f>
        <v>7631</v>
      </c>
      <c r="K149" s="632"/>
      <c r="L149" s="632"/>
      <c r="M149" s="632">
        <v>7631</v>
      </c>
      <c r="N149" s="632"/>
      <c r="O149" s="632"/>
      <c r="P149" s="632"/>
      <c r="Q149" s="632"/>
      <c r="R149" s="633"/>
      <c r="S149" s="643"/>
      <c r="T149" s="643"/>
      <c r="U149" s="643"/>
      <c r="V149" s="643"/>
      <c r="W149" s="643"/>
      <c r="X149" s="643"/>
      <c r="Y149" s="643"/>
      <c r="Z149" s="643"/>
      <c r="AA149" s="643"/>
      <c r="AB149" s="643"/>
      <c r="AC149" s="643"/>
      <c r="AD149" s="643"/>
      <c r="AE149" s="643"/>
    </row>
    <row r="150" spans="1:31" s="596" customFormat="1" ht="18" customHeight="1">
      <c r="A150" s="98">
        <v>142</v>
      </c>
      <c r="B150" s="359"/>
      <c r="C150" s="1044"/>
      <c r="D150" s="1104"/>
      <c r="E150" s="478" t="s">
        <v>757</v>
      </c>
      <c r="F150" s="1045"/>
      <c r="G150" s="1039"/>
      <c r="H150" s="1039"/>
      <c r="I150" s="630"/>
      <c r="J150" s="269">
        <f>SUM(K150:R150)</f>
        <v>21532</v>
      </c>
      <c r="K150" s="1114"/>
      <c r="L150" s="1114"/>
      <c r="M150" s="1114">
        <v>21532</v>
      </c>
      <c r="N150" s="632"/>
      <c r="O150" s="632"/>
      <c r="P150" s="632"/>
      <c r="Q150" s="632"/>
      <c r="R150" s="633"/>
      <c r="S150" s="643"/>
      <c r="T150" s="643"/>
      <c r="U150" s="643"/>
      <c r="V150" s="643"/>
      <c r="W150" s="643"/>
      <c r="X150" s="643"/>
      <c r="Y150" s="643"/>
      <c r="Z150" s="643"/>
      <c r="AA150" s="643"/>
      <c r="AB150" s="643"/>
      <c r="AC150" s="643"/>
      <c r="AD150" s="643"/>
      <c r="AE150" s="643"/>
    </row>
    <row r="151" spans="1:31" s="596" customFormat="1" ht="18" customHeight="1">
      <c r="A151" s="98">
        <v>143</v>
      </c>
      <c r="B151" s="359"/>
      <c r="C151" s="1044"/>
      <c r="D151" s="1104"/>
      <c r="E151" s="1090" t="s">
        <v>892</v>
      </c>
      <c r="F151" s="1045"/>
      <c r="G151" s="1039"/>
      <c r="H151" s="1039"/>
      <c r="I151" s="630"/>
      <c r="J151" s="1111">
        <f>SUM(K151:R151)</f>
        <v>762</v>
      </c>
      <c r="K151" s="632"/>
      <c r="L151" s="632"/>
      <c r="M151" s="273">
        <v>762</v>
      </c>
      <c r="N151" s="632"/>
      <c r="O151" s="632"/>
      <c r="P151" s="632"/>
      <c r="Q151" s="632"/>
      <c r="R151" s="633"/>
      <c r="S151" s="643"/>
      <c r="T151" s="643"/>
      <c r="U151" s="643"/>
      <c r="V151" s="643"/>
      <c r="W151" s="643"/>
      <c r="X151" s="643"/>
      <c r="Y151" s="643"/>
      <c r="Z151" s="643"/>
      <c r="AA151" s="643"/>
      <c r="AB151" s="643"/>
      <c r="AC151" s="643"/>
      <c r="AD151" s="643"/>
      <c r="AE151" s="643"/>
    </row>
    <row r="152" spans="1:31" s="32" customFormat="1" ht="30" customHeight="1">
      <c r="A152" s="98">
        <v>144</v>
      </c>
      <c r="B152" s="359"/>
      <c r="C152" s="228">
        <v>5</v>
      </c>
      <c r="D152" s="1828" t="s">
        <v>403</v>
      </c>
      <c r="E152" s="1829"/>
      <c r="F152" s="350"/>
      <c r="G152" s="229"/>
      <c r="H152" s="229">
        <v>3250</v>
      </c>
      <c r="I152" s="267">
        <v>0</v>
      </c>
      <c r="J152" s="269"/>
      <c r="K152" s="265"/>
      <c r="L152" s="265"/>
      <c r="M152" s="280"/>
      <c r="N152" s="280"/>
      <c r="O152" s="280"/>
      <c r="P152" s="280"/>
      <c r="Q152" s="280"/>
      <c r="R152" s="28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</row>
    <row r="153" spans="1:31" s="635" customFormat="1" ht="18" customHeight="1">
      <c r="A153" s="98">
        <v>145</v>
      </c>
      <c r="B153" s="359"/>
      <c r="C153" s="1044"/>
      <c r="D153" s="1038"/>
      <c r="E153" s="1053" t="s">
        <v>283</v>
      </c>
      <c r="F153" s="1046"/>
      <c r="G153" s="1039"/>
      <c r="H153" s="1039"/>
      <c r="I153" s="630"/>
      <c r="J153" s="631">
        <f>SUM(K153:R153)</f>
        <v>3250</v>
      </c>
      <c r="K153" s="652">
        <v>2720</v>
      </c>
      <c r="L153" s="652">
        <v>530</v>
      </c>
      <c r="M153" s="652"/>
      <c r="N153" s="652"/>
      <c r="O153" s="652"/>
      <c r="P153" s="652"/>
      <c r="Q153" s="652"/>
      <c r="R153" s="653"/>
      <c r="S153" s="634"/>
      <c r="T153" s="634"/>
      <c r="U153" s="634"/>
      <c r="V153" s="634"/>
      <c r="W153" s="634"/>
      <c r="X153" s="634"/>
      <c r="Y153" s="634"/>
      <c r="Z153" s="634"/>
      <c r="AA153" s="634"/>
      <c r="AB153" s="634"/>
      <c r="AC153" s="634"/>
      <c r="AD153" s="634"/>
      <c r="AE153" s="634"/>
    </row>
    <row r="154" spans="1:31" s="635" customFormat="1" ht="18" customHeight="1">
      <c r="A154" s="98">
        <v>146</v>
      </c>
      <c r="B154" s="359"/>
      <c r="C154" s="1044"/>
      <c r="D154" s="1104"/>
      <c r="E154" s="478" t="s">
        <v>757</v>
      </c>
      <c r="F154" s="1106"/>
      <c r="G154" s="1039"/>
      <c r="H154" s="1039"/>
      <c r="I154" s="630"/>
      <c r="J154" s="269">
        <f>SUM(K154:R154)</f>
        <v>3250</v>
      </c>
      <c r="K154" s="280">
        <v>2720</v>
      </c>
      <c r="L154" s="280">
        <v>530</v>
      </c>
      <c r="M154" s="652"/>
      <c r="N154" s="652"/>
      <c r="O154" s="652"/>
      <c r="P154" s="652"/>
      <c r="Q154" s="652"/>
      <c r="R154" s="653"/>
      <c r="S154" s="634"/>
      <c r="T154" s="634"/>
      <c r="U154" s="634"/>
      <c r="V154" s="634"/>
      <c r="W154" s="634"/>
      <c r="X154" s="634"/>
      <c r="Y154" s="634"/>
      <c r="Z154" s="634"/>
      <c r="AA154" s="634"/>
      <c r="AB154" s="634"/>
      <c r="AC154" s="634"/>
      <c r="AD154" s="634"/>
      <c r="AE154" s="634"/>
    </row>
    <row r="155" spans="1:31" s="635" customFormat="1" ht="18" customHeight="1">
      <c r="A155" s="98">
        <v>147</v>
      </c>
      <c r="B155" s="359"/>
      <c r="C155" s="1044"/>
      <c r="D155" s="1104"/>
      <c r="E155" s="1090" t="s">
        <v>893</v>
      </c>
      <c r="F155" s="1106"/>
      <c r="G155" s="1039"/>
      <c r="H155" s="1039"/>
      <c r="I155" s="630"/>
      <c r="J155" s="1111">
        <f>SUM(K155:R155)</f>
        <v>0</v>
      </c>
      <c r="K155" s="652"/>
      <c r="L155" s="652"/>
      <c r="M155" s="652"/>
      <c r="N155" s="652"/>
      <c r="O155" s="652"/>
      <c r="P155" s="652"/>
      <c r="Q155" s="652"/>
      <c r="R155" s="653"/>
      <c r="S155" s="634"/>
      <c r="T155" s="634"/>
      <c r="U155" s="634"/>
      <c r="V155" s="634"/>
      <c r="W155" s="634"/>
      <c r="X155" s="634"/>
      <c r="Y155" s="634"/>
      <c r="Z155" s="634"/>
      <c r="AA155" s="634"/>
      <c r="AB155" s="634"/>
      <c r="AC155" s="634"/>
      <c r="AD155" s="634"/>
      <c r="AE155" s="634"/>
    </row>
    <row r="156" spans="1:31" s="32" customFormat="1" ht="35.25" customHeight="1">
      <c r="A156" s="98">
        <v>148</v>
      </c>
      <c r="B156" s="359"/>
      <c r="C156" s="228">
        <v>6</v>
      </c>
      <c r="D156" s="1892" t="s">
        <v>591</v>
      </c>
      <c r="E156" s="1893"/>
      <c r="F156" s="1894"/>
      <c r="G156" s="229"/>
      <c r="H156" s="229">
        <v>6000</v>
      </c>
      <c r="I156" s="267">
        <v>0</v>
      </c>
      <c r="J156" s="269"/>
      <c r="K156" s="280"/>
      <c r="L156" s="280"/>
      <c r="M156" s="280"/>
      <c r="N156" s="280"/>
      <c r="O156" s="280"/>
      <c r="P156" s="280"/>
      <c r="Q156" s="280"/>
      <c r="R156" s="28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</row>
    <row r="157" spans="1:31" s="635" customFormat="1" ht="18" customHeight="1">
      <c r="A157" s="98">
        <v>149</v>
      </c>
      <c r="B157" s="359"/>
      <c r="C157" s="1044"/>
      <c r="D157" s="1038"/>
      <c r="E157" s="1053" t="s">
        <v>283</v>
      </c>
      <c r="F157" s="1046"/>
      <c r="G157" s="1039"/>
      <c r="H157" s="1039"/>
      <c r="I157" s="630"/>
      <c r="J157" s="631">
        <f>SUM(K157:R157)</f>
        <v>6000</v>
      </c>
      <c r="K157" s="652">
        <v>4918</v>
      </c>
      <c r="L157" s="652">
        <v>1082</v>
      </c>
      <c r="M157" s="652"/>
      <c r="N157" s="652"/>
      <c r="O157" s="652"/>
      <c r="P157" s="652"/>
      <c r="Q157" s="652"/>
      <c r="R157" s="653"/>
      <c r="S157" s="634"/>
      <c r="T157" s="634"/>
      <c r="U157" s="634"/>
      <c r="V157" s="634"/>
      <c r="W157" s="634"/>
      <c r="X157" s="634"/>
      <c r="Y157" s="634"/>
      <c r="Z157" s="634"/>
      <c r="AA157" s="634"/>
      <c r="AB157" s="634"/>
      <c r="AC157" s="634"/>
      <c r="AD157" s="634"/>
      <c r="AE157" s="634"/>
    </row>
    <row r="158" spans="1:31" s="635" customFormat="1" ht="18" customHeight="1">
      <c r="A158" s="98">
        <v>150</v>
      </c>
      <c r="B158" s="359"/>
      <c r="C158" s="1044"/>
      <c r="D158" s="1104"/>
      <c r="E158" s="478" t="s">
        <v>757</v>
      </c>
      <c r="F158" s="1046"/>
      <c r="G158" s="1039"/>
      <c r="H158" s="1039"/>
      <c r="I158" s="630"/>
      <c r="J158" s="269">
        <f>SUM(K158:R158)</f>
        <v>6000</v>
      </c>
      <c r="K158" s="280">
        <v>4918</v>
      </c>
      <c r="L158" s="280">
        <v>1082</v>
      </c>
      <c r="M158" s="652"/>
      <c r="N158" s="652"/>
      <c r="O158" s="652"/>
      <c r="P158" s="652"/>
      <c r="Q158" s="652"/>
      <c r="R158" s="653"/>
      <c r="S158" s="634"/>
      <c r="T158" s="634"/>
      <c r="U158" s="634"/>
      <c r="V158" s="634"/>
      <c r="W158" s="634"/>
      <c r="X158" s="634"/>
      <c r="Y158" s="634"/>
      <c r="Z158" s="634"/>
      <c r="AA158" s="634"/>
      <c r="AB158" s="634"/>
      <c r="AC158" s="634"/>
      <c r="AD158" s="634"/>
      <c r="AE158" s="634"/>
    </row>
    <row r="159" spans="1:31" s="635" customFormat="1" ht="18" customHeight="1">
      <c r="A159" s="98">
        <v>151</v>
      </c>
      <c r="B159" s="359"/>
      <c r="C159" s="1044"/>
      <c r="D159" s="1104"/>
      <c r="E159" s="1090" t="s">
        <v>893</v>
      </c>
      <c r="F159" s="1046"/>
      <c r="G159" s="1039"/>
      <c r="H159" s="1039"/>
      <c r="I159" s="630"/>
      <c r="J159" s="1111">
        <f>SUM(K159:R159)</f>
        <v>0</v>
      </c>
      <c r="K159" s="652"/>
      <c r="L159" s="652"/>
      <c r="M159" s="652"/>
      <c r="N159" s="652"/>
      <c r="O159" s="652"/>
      <c r="P159" s="652"/>
      <c r="Q159" s="652"/>
      <c r="R159" s="653"/>
      <c r="S159" s="634"/>
      <c r="T159" s="634"/>
      <c r="U159" s="634"/>
      <c r="V159" s="634"/>
      <c r="W159" s="634"/>
      <c r="X159" s="634"/>
      <c r="Y159" s="634"/>
      <c r="Z159" s="634"/>
      <c r="AA159" s="634"/>
      <c r="AB159" s="634"/>
      <c r="AC159" s="634"/>
      <c r="AD159" s="634"/>
      <c r="AE159" s="634"/>
    </row>
    <row r="160" spans="1:31" s="22" customFormat="1" ht="30" customHeight="1">
      <c r="A160" s="98">
        <v>152</v>
      </c>
      <c r="B160" s="359"/>
      <c r="C160" s="228">
        <v>7</v>
      </c>
      <c r="D160" s="1890" t="s">
        <v>360</v>
      </c>
      <c r="E160" s="1891"/>
      <c r="F160" s="496"/>
      <c r="G160" s="229"/>
      <c r="H160" s="229">
        <v>5962</v>
      </c>
      <c r="I160" s="267">
        <v>0</v>
      </c>
      <c r="J160" s="269"/>
      <c r="K160" s="280"/>
      <c r="L160" s="280"/>
      <c r="M160" s="280"/>
      <c r="N160" s="280"/>
      <c r="O160" s="280"/>
      <c r="P160" s="280"/>
      <c r="Q160" s="280"/>
      <c r="R160" s="281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</row>
    <row r="161" spans="1:31" s="593" customFormat="1" ht="18" customHeight="1">
      <c r="A161" s="98">
        <v>153</v>
      </c>
      <c r="B161" s="359"/>
      <c r="C161" s="1044"/>
      <c r="D161" s="1038"/>
      <c r="E161" s="1053" t="s">
        <v>283</v>
      </c>
      <c r="F161" s="1046"/>
      <c r="G161" s="1039"/>
      <c r="H161" s="1039"/>
      <c r="I161" s="630"/>
      <c r="J161" s="631">
        <f>SUM(K161:R161)</f>
        <v>5962</v>
      </c>
      <c r="K161" s="652">
        <v>4887</v>
      </c>
      <c r="L161" s="652">
        <v>1075</v>
      </c>
      <c r="M161" s="652"/>
      <c r="N161" s="652"/>
      <c r="O161" s="652"/>
      <c r="P161" s="652"/>
      <c r="Q161" s="652"/>
      <c r="R161" s="653"/>
      <c r="S161" s="654"/>
      <c r="T161" s="654"/>
      <c r="U161" s="654"/>
      <c r="V161" s="654"/>
      <c r="W161" s="654"/>
      <c r="X161" s="654"/>
      <c r="Y161" s="654"/>
      <c r="Z161" s="654"/>
      <c r="AA161" s="654"/>
      <c r="AB161" s="654"/>
      <c r="AC161" s="654"/>
      <c r="AD161" s="654"/>
      <c r="AE161" s="654"/>
    </row>
    <row r="162" spans="1:31" s="593" customFormat="1" ht="18" customHeight="1">
      <c r="A162" s="98">
        <v>154</v>
      </c>
      <c r="B162" s="359"/>
      <c r="C162" s="1044"/>
      <c r="D162" s="1104"/>
      <c r="E162" s="478" t="s">
        <v>757</v>
      </c>
      <c r="F162" s="1046"/>
      <c r="G162" s="1039"/>
      <c r="H162" s="1039"/>
      <c r="I162" s="630"/>
      <c r="J162" s="269">
        <f>SUM(K162:R162)</f>
        <v>5962</v>
      </c>
      <c r="K162" s="280">
        <v>4887</v>
      </c>
      <c r="L162" s="280">
        <v>1075</v>
      </c>
      <c r="M162" s="652"/>
      <c r="N162" s="652"/>
      <c r="O162" s="652"/>
      <c r="P162" s="652"/>
      <c r="Q162" s="652"/>
      <c r="R162" s="653"/>
      <c r="S162" s="654"/>
      <c r="T162" s="654"/>
      <c r="U162" s="654"/>
      <c r="V162" s="654"/>
      <c r="W162" s="654"/>
      <c r="X162" s="654"/>
      <c r="Y162" s="654"/>
      <c r="Z162" s="654"/>
      <c r="AA162" s="654"/>
      <c r="AB162" s="654"/>
      <c r="AC162" s="654"/>
      <c r="AD162" s="654"/>
      <c r="AE162" s="654"/>
    </row>
    <row r="163" spans="1:31" s="593" customFormat="1" ht="18" customHeight="1">
      <c r="A163" s="98">
        <v>155</v>
      </c>
      <c r="B163" s="359"/>
      <c r="C163" s="1044"/>
      <c r="D163" s="1104"/>
      <c r="E163" s="1090" t="s">
        <v>893</v>
      </c>
      <c r="F163" s="1046"/>
      <c r="G163" s="1039"/>
      <c r="H163" s="1039"/>
      <c r="I163" s="630"/>
      <c r="J163" s="1111">
        <f>SUM(K163:R163)</f>
        <v>0</v>
      </c>
      <c r="K163" s="652"/>
      <c r="L163" s="652"/>
      <c r="M163" s="652"/>
      <c r="N163" s="652"/>
      <c r="O163" s="652"/>
      <c r="P163" s="652"/>
      <c r="Q163" s="652"/>
      <c r="R163" s="653"/>
      <c r="S163" s="654"/>
      <c r="T163" s="654"/>
      <c r="U163" s="654"/>
      <c r="V163" s="654"/>
      <c r="W163" s="654"/>
      <c r="X163" s="654"/>
      <c r="Y163" s="654"/>
      <c r="Z163" s="654"/>
      <c r="AA163" s="654"/>
      <c r="AB163" s="654"/>
      <c r="AC163" s="654"/>
      <c r="AD163" s="654"/>
      <c r="AE163" s="654"/>
    </row>
    <row r="164" spans="1:31" s="22" customFormat="1" ht="19.5" customHeight="1">
      <c r="A164" s="98">
        <v>156</v>
      </c>
      <c r="B164" s="359"/>
      <c r="C164" s="224">
        <v>8</v>
      </c>
      <c r="D164" s="1821" t="s">
        <v>382</v>
      </c>
      <c r="E164" s="1874"/>
      <c r="F164" s="1822"/>
      <c r="G164" s="229"/>
      <c r="H164" s="229">
        <v>12000</v>
      </c>
      <c r="I164" s="267">
        <v>0</v>
      </c>
      <c r="J164" s="269"/>
      <c r="K164" s="280"/>
      <c r="L164" s="280"/>
      <c r="M164" s="280"/>
      <c r="N164" s="280"/>
      <c r="O164" s="280"/>
      <c r="P164" s="280"/>
      <c r="Q164" s="280"/>
      <c r="R164" s="281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</row>
    <row r="165" spans="1:31" s="593" customFormat="1" ht="18" customHeight="1">
      <c r="A165" s="98">
        <v>157</v>
      </c>
      <c r="B165" s="359"/>
      <c r="C165" s="1044"/>
      <c r="D165" s="1038"/>
      <c r="E165" s="1053" t="s">
        <v>283</v>
      </c>
      <c r="F165" s="1046"/>
      <c r="G165" s="1039"/>
      <c r="H165" s="1039"/>
      <c r="I165" s="630"/>
      <c r="J165" s="631">
        <f>SUM(K165:R165)</f>
        <v>12000</v>
      </c>
      <c r="K165" s="652">
        <v>10042</v>
      </c>
      <c r="L165" s="652">
        <v>1958</v>
      </c>
      <c r="M165" s="652"/>
      <c r="N165" s="652"/>
      <c r="O165" s="652"/>
      <c r="P165" s="652"/>
      <c r="Q165" s="652"/>
      <c r="R165" s="653"/>
      <c r="S165" s="654"/>
      <c r="T165" s="654"/>
      <c r="U165" s="654"/>
      <c r="V165" s="654"/>
      <c r="W165" s="654"/>
      <c r="X165" s="654"/>
      <c r="Y165" s="654"/>
      <c r="Z165" s="654"/>
      <c r="AA165" s="654"/>
      <c r="AB165" s="654"/>
      <c r="AC165" s="654"/>
      <c r="AD165" s="654"/>
      <c r="AE165" s="654"/>
    </row>
    <row r="166" spans="1:31" s="593" customFormat="1" ht="18" customHeight="1">
      <c r="A166" s="98">
        <v>158</v>
      </c>
      <c r="B166" s="359"/>
      <c r="C166" s="1044"/>
      <c r="D166" s="1104"/>
      <c r="E166" s="478" t="s">
        <v>757</v>
      </c>
      <c r="F166" s="1046"/>
      <c r="G166" s="1039"/>
      <c r="H166" s="1039"/>
      <c r="I166" s="630"/>
      <c r="J166" s="269">
        <f>SUM(K166:R166)</f>
        <v>12000</v>
      </c>
      <c r="K166" s="280">
        <v>10042</v>
      </c>
      <c r="L166" s="280">
        <v>1958</v>
      </c>
      <c r="M166" s="652"/>
      <c r="N166" s="652"/>
      <c r="O166" s="652"/>
      <c r="P166" s="652"/>
      <c r="Q166" s="652"/>
      <c r="R166" s="653"/>
      <c r="S166" s="654"/>
      <c r="T166" s="654"/>
      <c r="U166" s="654"/>
      <c r="V166" s="654"/>
      <c r="W166" s="654"/>
      <c r="X166" s="654"/>
      <c r="Y166" s="654"/>
      <c r="Z166" s="654"/>
      <c r="AA166" s="654"/>
      <c r="AB166" s="654"/>
      <c r="AC166" s="654"/>
      <c r="AD166" s="654"/>
      <c r="AE166" s="654"/>
    </row>
    <row r="167" spans="1:31" s="593" customFormat="1" ht="18" customHeight="1">
      <c r="A167" s="98">
        <v>159</v>
      </c>
      <c r="B167" s="359"/>
      <c r="C167" s="1044"/>
      <c r="D167" s="1104"/>
      <c r="E167" s="1090" t="s">
        <v>893</v>
      </c>
      <c r="F167" s="1046"/>
      <c r="G167" s="1039"/>
      <c r="H167" s="1039"/>
      <c r="I167" s="630"/>
      <c r="J167" s="1111">
        <f>SUM(K167:R167)</f>
        <v>0</v>
      </c>
      <c r="K167" s="652"/>
      <c r="L167" s="652"/>
      <c r="M167" s="652"/>
      <c r="N167" s="652"/>
      <c r="O167" s="652"/>
      <c r="P167" s="652"/>
      <c r="Q167" s="652"/>
      <c r="R167" s="653"/>
      <c r="S167" s="654"/>
      <c r="T167" s="654"/>
      <c r="U167" s="654"/>
      <c r="V167" s="654"/>
      <c r="W167" s="654"/>
      <c r="X167" s="654"/>
      <c r="Y167" s="654"/>
      <c r="Z167" s="654"/>
      <c r="AA167" s="654"/>
      <c r="AB167" s="654"/>
      <c r="AC167" s="654"/>
      <c r="AD167" s="654"/>
      <c r="AE167" s="654"/>
    </row>
    <row r="168" spans="1:31" s="22" customFormat="1" ht="19.5" customHeight="1">
      <c r="A168" s="98">
        <v>160</v>
      </c>
      <c r="B168" s="359"/>
      <c r="C168" s="224">
        <v>9</v>
      </c>
      <c r="D168" s="1821" t="s">
        <v>400</v>
      </c>
      <c r="E168" s="1822"/>
      <c r="F168" s="496"/>
      <c r="G168" s="229">
        <v>1684</v>
      </c>
      <c r="H168" s="229">
        <v>327</v>
      </c>
      <c r="I168" s="267">
        <v>2237</v>
      </c>
      <c r="J168" s="269"/>
      <c r="K168" s="280"/>
      <c r="L168" s="280"/>
      <c r="M168" s="280"/>
      <c r="N168" s="280"/>
      <c r="O168" s="280"/>
      <c r="P168" s="280"/>
      <c r="Q168" s="280"/>
      <c r="R168" s="281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</row>
    <row r="169" spans="1:31" s="593" customFormat="1" ht="18" customHeight="1">
      <c r="A169" s="98">
        <v>161</v>
      </c>
      <c r="B169" s="359"/>
      <c r="C169" s="1044"/>
      <c r="D169" s="1038"/>
      <c r="E169" s="1053" t="s">
        <v>283</v>
      </c>
      <c r="F169" s="1046"/>
      <c r="G169" s="1039"/>
      <c r="H169" s="1039"/>
      <c r="I169" s="630"/>
      <c r="J169" s="631">
        <f>SUM(K169:R169)</f>
        <v>76</v>
      </c>
      <c r="K169" s="652"/>
      <c r="L169" s="652">
        <v>33</v>
      </c>
      <c r="M169" s="652">
        <v>43</v>
      </c>
      <c r="N169" s="652"/>
      <c r="O169" s="652"/>
      <c r="P169" s="652"/>
      <c r="Q169" s="652"/>
      <c r="R169" s="653"/>
      <c r="S169" s="654"/>
      <c r="T169" s="654"/>
      <c r="U169" s="654"/>
      <c r="V169" s="654"/>
      <c r="W169" s="654"/>
      <c r="X169" s="654"/>
      <c r="Y169" s="654"/>
      <c r="Z169" s="654"/>
      <c r="AA169" s="654"/>
      <c r="AB169" s="654"/>
      <c r="AC169" s="654"/>
      <c r="AD169" s="654"/>
      <c r="AE169" s="654"/>
    </row>
    <row r="170" spans="1:31" s="593" customFormat="1" ht="18" customHeight="1">
      <c r="A170" s="98">
        <v>162</v>
      </c>
      <c r="B170" s="359"/>
      <c r="C170" s="1044"/>
      <c r="D170" s="1104"/>
      <c r="E170" s="478" t="s">
        <v>757</v>
      </c>
      <c r="F170" s="1046"/>
      <c r="G170" s="1039"/>
      <c r="H170" s="1039"/>
      <c r="I170" s="630"/>
      <c r="J170" s="269">
        <f>SUM(K170:R170)</f>
        <v>76</v>
      </c>
      <c r="K170" s="280"/>
      <c r="L170" s="280">
        <v>33</v>
      </c>
      <c r="M170" s="280">
        <v>43</v>
      </c>
      <c r="N170" s="652"/>
      <c r="O170" s="652"/>
      <c r="P170" s="652"/>
      <c r="Q170" s="652"/>
      <c r="R170" s="653"/>
      <c r="S170" s="654"/>
      <c r="T170" s="654"/>
      <c r="U170" s="654"/>
      <c r="V170" s="654"/>
      <c r="W170" s="654"/>
      <c r="X170" s="654"/>
      <c r="Y170" s="654"/>
      <c r="Z170" s="654"/>
      <c r="AA170" s="654"/>
      <c r="AB170" s="654"/>
      <c r="AC170" s="654"/>
      <c r="AD170" s="654"/>
      <c r="AE170" s="654"/>
    </row>
    <row r="171" spans="1:31" s="593" customFormat="1" ht="18" customHeight="1">
      <c r="A171" s="98">
        <v>163</v>
      </c>
      <c r="B171" s="359"/>
      <c r="C171" s="1044"/>
      <c r="D171" s="1104"/>
      <c r="E171" s="1090" t="s">
        <v>893</v>
      </c>
      <c r="F171" s="1046"/>
      <c r="G171" s="1039"/>
      <c r="H171" s="1039"/>
      <c r="I171" s="630"/>
      <c r="J171" s="1111">
        <f>SUM(K171:R171)</f>
        <v>0</v>
      </c>
      <c r="K171" s="652"/>
      <c r="L171" s="652"/>
      <c r="M171" s="652"/>
      <c r="N171" s="652"/>
      <c r="O171" s="652"/>
      <c r="P171" s="652"/>
      <c r="Q171" s="652"/>
      <c r="R171" s="653"/>
      <c r="S171" s="654"/>
      <c r="T171" s="654"/>
      <c r="U171" s="654"/>
      <c r="V171" s="654"/>
      <c r="W171" s="654"/>
      <c r="X171" s="654"/>
      <c r="Y171" s="654"/>
      <c r="Z171" s="654"/>
      <c r="AA171" s="654"/>
      <c r="AB171" s="654"/>
      <c r="AC171" s="654"/>
      <c r="AD171" s="654"/>
      <c r="AE171" s="654"/>
    </row>
    <row r="172" spans="1:31" s="866" customFormat="1" ht="19.5" customHeight="1">
      <c r="A172" s="98">
        <v>164</v>
      </c>
      <c r="B172" s="861"/>
      <c r="C172" s="224">
        <v>10</v>
      </c>
      <c r="D172" s="1821" t="s">
        <v>658</v>
      </c>
      <c r="E172" s="1822"/>
      <c r="F172" s="862"/>
      <c r="G172" s="116">
        <f>10996</f>
        <v>10996</v>
      </c>
      <c r="H172" s="116">
        <v>2261</v>
      </c>
      <c r="I172" s="863">
        <v>2181</v>
      </c>
      <c r="J172" s="277"/>
      <c r="K172" s="116"/>
      <c r="L172" s="116"/>
      <c r="M172" s="116"/>
      <c r="N172" s="116"/>
      <c r="O172" s="116"/>
      <c r="P172" s="116"/>
      <c r="Q172" s="116"/>
      <c r="R172" s="864"/>
      <c r="S172" s="1531"/>
      <c r="T172" s="865"/>
      <c r="U172" s="865"/>
      <c r="V172" s="865"/>
      <c r="W172" s="865"/>
      <c r="X172" s="865"/>
      <c r="Y172" s="865"/>
      <c r="Z172" s="865"/>
      <c r="AA172" s="865"/>
      <c r="AB172" s="865"/>
      <c r="AC172" s="865"/>
      <c r="AD172" s="865"/>
      <c r="AE172" s="865"/>
    </row>
    <row r="173" spans="1:31" s="22" customFormat="1" ht="18" customHeight="1">
      <c r="A173" s="98">
        <v>165</v>
      </c>
      <c r="B173" s="359"/>
      <c r="C173" s="224">
        <v>11</v>
      </c>
      <c r="D173" s="1821" t="s">
        <v>464</v>
      </c>
      <c r="E173" s="1822"/>
      <c r="F173" s="350"/>
      <c r="G173" s="229"/>
      <c r="H173" s="229">
        <v>205560</v>
      </c>
      <c r="I173" s="267">
        <v>9817</v>
      </c>
      <c r="J173" s="269"/>
      <c r="K173" s="280"/>
      <c r="L173" s="280"/>
      <c r="M173" s="280"/>
      <c r="N173" s="280"/>
      <c r="O173" s="280"/>
      <c r="P173" s="280"/>
      <c r="Q173" s="280"/>
      <c r="R173" s="281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</row>
    <row r="174" spans="1:31" s="22" customFormat="1" ht="18" customHeight="1">
      <c r="A174" s="98">
        <v>166</v>
      </c>
      <c r="B174" s="359"/>
      <c r="C174" s="224"/>
      <c r="D174" s="1038"/>
      <c r="E174" s="1053" t="s">
        <v>283</v>
      </c>
      <c r="F174" s="350"/>
      <c r="G174" s="229"/>
      <c r="H174" s="229"/>
      <c r="I174" s="267"/>
      <c r="J174" s="631">
        <f>SUM(K174:R174)</f>
        <v>3524</v>
      </c>
      <c r="K174" s="652">
        <v>2816</v>
      </c>
      <c r="L174" s="652">
        <v>708</v>
      </c>
      <c r="M174" s="280"/>
      <c r="N174" s="280"/>
      <c r="O174" s="280"/>
      <c r="P174" s="280"/>
      <c r="Q174" s="280"/>
      <c r="R174" s="281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</row>
    <row r="175" spans="1:31" s="22" customFormat="1" ht="18" customHeight="1">
      <c r="A175" s="98">
        <v>167</v>
      </c>
      <c r="B175" s="359"/>
      <c r="C175" s="224"/>
      <c r="D175" s="1104"/>
      <c r="E175" s="478" t="s">
        <v>757</v>
      </c>
      <c r="F175" s="350"/>
      <c r="G175" s="229"/>
      <c r="H175" s="229"/>
      <c r="I175" s="267"/>
      <c r="J175" s="269">
        <f>SUM(K175:R175)</f>
        <v>6083</v>
      </c>
      <c r="K175" s="280">
        <v>5267</v>
      </c>
      <c r="L175" s="280">
        <v>816</v>
      </c>
      <c r="M175" s="280"/>
      <c r="N175" s="280"/>
      <c r="O175" s="280"/>
      <c r="P175" s="280"/>
      <c r="Q175" s="280"/>
      <c r="R175" s="281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</row>
    <row r="176" spans="1:31" s="22" customFormat="1" ht="18" customHeight="1">
      <c r="A176" s="98">
        <v>168</v>
      </c>
      <c r="B176" s="359"/>
      <c r="C176" s="224"/>
      <c r="D176" s="1104"/>
      <c r="E176" s="1090" t="s">
        <v>892</v>
      </c>
      <c r="F176" s="350"/>
      <c r="G176" s="229"/>
      <c r="H176" s="229"/>
      <c r="I176" s="267"/>
      <c r="J176" s="1111">
        <f>SUM(K176:R176)</f>
        <v>6075</v>
      </c>
      <c r="K176" s="273">
        <v>5260</v>
      </c>
      <c r="L176" s="273">
        <v>815</v>
      </c>
      <c r="M176" s="280"/>
      <c r="N176" s="280"/>
      <c r="O176" s="280"/>
      <c r="P176" s="280"/>
      <c r="Q176" s="280"/>
      <c r="R176" s="281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</row>
    <row r="177" spans="1:31" s="22" customFormat="1" ht="18" customHeight="1">
      <c r="A177" s="98">
        <v>169</v>
      </c>
      <c r="B177" s="359"/>
      <c r="C177" s="224">
        <v>12</v>
      </c>
      <c r="D177" s="1821" t="s">
        <v>657</v>
      </c>
      <c r="E177" s="1822"/>
      <c r="F177" s="350"/>
      <c r="G177" s="229"/>
      <c r="H177" s="229"/>
      <c r="I177" s="267">
        <v>26713</v>
      </c>
      <c r="J177" s="269"/>
      <c r="K177" s="652"/>
      <c r="L177" s="652"/>
      <c r="M177" s="280"/>
      <c r="N177" s="280"/>
      <c r="O177" s="280"/>
      <c r="P177" s="280"/>
      <c r="Q177" s="280"/>
      <c r="R177" s="281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</row>
    <row r="178" spans="1:31" s="22" customFormat="1" ht="18" customHeight="1">
      <c r="A178" s="98">
        <v>170</v>
      </c>
      <c r="B178" s="359"/>
      <c r="C178" s="224"/>
      <c r="D178" s="1038"/>
      <c r="E178" s="1053" t="s">
        <v>283</v>
      </c>
      <c r="F178" s="350"/>
      <c r="G178" s="229"/>
      <c r="H178" s="229"/>
      <c r="I178" s="267"/>
      <c r="J178" s="631">
        <f>SUM(K178:R178)</f>
        <v>2271</v>
      </c>
      <c r="K178" s="652">
        <v>2077</v>
      </c>
      <c r="L178" s="652">
        <v>194</v>
      </c>
      <c r="M178" s="280"/>
      <c r="N178" s="280"/>
      <c r="O178" s="280"/>
      <c r="P178" s="280"/>
      <c r="Q178" s="280"/>
      <c r="R178" s="281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</row>
    <row r="179" spans="1:31" s="22" customFormat="1" ht="18" customHeight="1">
      <c r="A179" s="98">
        <v>171</v>
      </c>
      <c r="B179" s="359"/>
      <c r="C179" s="224"/>
      <c r="D179" s="1104"/>
      <c r="E179" s="478" t="s">
        <v>757</v>
      </c>
      <c r="F179" s="350"/>
      <c r="G179" s="229"/>
      <c r="H179" s="229"/>
      <c r="I179" s="267"/>
      <c r="J179" s="269">
        <f>SUM(K179:R179)</f>
        <v>4262</v>
      </c>
      <c r="K179" s="280">
        <v>3690</v>
      </c>
      <c r="L179" s="280">
        <v>572</v>
      </c>
      <c r="M179" s="280"/>
      <c r="N179" s="280"/>
      <c r="O179" s="280"/>
      <c r="P179" s="280"/>
      <c r="Q179" s="280"/>
      <c r="R179" s="281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</row>
    <row r="180" spans="1:31" s="22" customFormat="1" ht="18" customHeight="1">
      <c r="A180" s="98">
        <v>172</v>
      </c>
      <c r="B180" s="359"/>
      <c r="C180" s="224"/>
      <c r="D180" s="1104"/>
      <c r="E180" s="1090" t="s">
        <v>892</v>
      </c>
      <c r="F180" s="350"/>
      <c r="G180" s="229"/>
      <c r="H180" s="229"/>
      <c r="I180" s="267"/>
      <c r="J180" s="1111">
        <f>SUM(K180:R180)</f>
        <v>4262</v>
      </c>
      <c r="K180" s="1132">
        <v>3690</v>
      </c>
      <c r="L180" s="1132">
        <v>572</v>
      </c>
      <c r="M180" s="280"/>
      <c r="N180" s="280"/>
      <c r="O180" s="280"/>
      <c r="P180" s="280"/>
      <c r="Q180" s="280"/>
      <c r="R180" s="281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</row>
    <row r="181" spans="1:31" s="22" customFormat="1" ht="18" customHeight="1">
      <c r="A181" s="98">
        <v>173</v>
      </c>
      <c r="B181" s="359"/>
      <c r="C181" s="224">
        <v>13</v>
      </c>
      <c r="D181" s="1821" t="s">
        <v>647</v>
      </c>
      <c r="E181" s="1822"/>
      <c r="F181" s="350"/>
      <c r="G181" s="229"/>
      <c r="H181" s="229"/>
      <c r="I181" s="267"/>
      <c r="J181" s="269"/>
      <c r="K181" s="652"/>
      <c r="L181" s="652"/>
      <c r="M181" s="280"/>
      <c r="N181" s="280"/>
      <c r="O181" s="280"/>
      <c r="P181" s="280"/>
      <c r="Q181" s="280"/>
      <c r="R181" s="281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</row>
    <row r="182" spans="1:31" s="22" customFormat="1" ht="18" customHeight="1">
      <c r="A182" s="98">
        <v>174</v>
      </c>
      <c r="B182" s="359"/>
      <c r="C182" s="224"/>
      <c r="D182" s="1038"/>
      <c r="E182" s="1053" t="s">
        <v>283</v>
      </c>
      <c r="F182" s="350"/>
      <c r="G182" s="229"/>
      <c r="H182" s="229"/>
      <c r="I182" s="267"/>
      <c r="J182" s="631">
        <f>SUM(K182:R182)</f>
        <v>35000</v>
      </c>
      <c r="K182" s="652">
        <v>30303</v>
      </c>
      <c r="L182" s="652">
        <v>4697</v>
      </c>
      <c r="M182" s="280"/>
      <c r="N182" s="280"/>
      <c r="O182" s="280"/>
      <c r="P182" s="280"/>
      <c r="Q182" s="280"/>
      <c r="R182" s="281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</row>
    <row r="183" spans="1:31" s="22" customFormat="1" ht="18" customHeight="1">
      <c r="A183" s="98">
        <v>175</v>
      </c>
      <c r="B183" s="359"/>
      <c r="C183" s="224"/>
      <c r="D183" s="1104"/>
      <c r="E183" s="478" t="s">
        <v>757</v>
      </c>
      <c r="F183" s="350"/>
      <c r="G183" s="229"/>
      <c r="H183" s="229"/>
      <c r="I183" s="267"/>
      <c r="J183" s="269">
        <f>SUM(K183:R183)</f>
        <v>34903</v>
      </c>
      <c r="K183" s="280">
        <v>30219</v>
      </c>
      <c r="L183" s="280">
        <v>4684</v>
      </c>
      <c r="M183" s="280"/>
      <c r="N183" s="280"/>
      <c r="O183" s="280"/>
      <c r="P183" s="280"/>
      <c r="Q183" s="280"/>
      <c r="R183" s="281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</row>
    <row r="184" spans="1:31" s="22" customFormat="1" ht="18" customHeight="1">
      <c r="A184" s="98">
        <v>176</v>
      </c>
      <c r="B184" s="359"/>
      <c r="C184" s="224"/>
      <c r="D184" s="1104"/>
      <c r="E184" s="1090" t="s">
        <v>892</v>
      </c>
      <c r="F184" s="350"/>
      <c r="G184" s="229"/>
      <c r="H184" s="229"/>
      <c r="I184" s="267"/>
      <c r="J184" s="1111">
        <f>SUM(K184:R184)</f>
        <v>16014</v>
      </c>
      <c r="K184" s="273">
        <v>13865</v>
      </c>
      <c r="L184" s="273">
        <v>2149</v>
      </c>
      <c r="M184" s="280"/>
      <c r="N184" s="280"/>
      <c r="O184" s="280"/>
      <c r="P184" s="280"/>
      <c r="Q184" s="280"/>
      <c r="R184" s="281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</row>
    <row r="185" spans="1:31" s="22" customFormat="1" ht="18" customHeight="1">
      <c r="A185" s="98">
        <v>177</v>
      </c>
      <c r="B185" s="359"/>
      <c r="C185" s="224">
        <v>14</v>
      </c>
      <c r="D185" s="1821" t="s">
        <v>716</v>
      </c>
      <c r="E185" s="1822"/>
      <c r="F185" s="350"/>
      <c r="G185" s="229"/>
      <c r="H185" s="229"/>
      <c r="I185" s="267"/>
      <c r="J185" s="269"/>
      <c r="K185" s="280"/>
      <c r="L185" s="280"/>
      <c r="M185" s="280"/>
      <c r="N185" s="280"/>
      <c r="O185" s="280"/>
      <c r="P185" s="280"/>
      <c r="Q185" s="280"/>
      <c r="R185" s="281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</row>
    <row r="186" spans="1:31" s="22" customFormat="1" ht="18" customHeight="1">
      <c r="A186" s="98">
        <v>178</v>
      </c>
      <c r="B186" s="359"/>
      <c r="C186" s="224"/>
      <c r="D186" s="1704"/>
      <c r="E186" s="478" t="s">
        <v>757</v>
      </c>
      <c r="F186" s="350"/>
      <c r="G186" s="229"/>
      <c r="H186" s="229"/>
      <c r="I186" s="267"/>
      <c r="J186" s="269">
        <f>SUM(K186:R186)</f>
        <v>12927</v>
      </c>
      <c r="K186" s="280">
        <v>11125</v>
      </c>
      <c r="L186" s="280">
        <v>1802</v>
      </c>
      <c r="M186" s="280"/>
      <c r="N186" s="280"/>
      <c r="O186" s="280"/>
      <c r="P186" s="280"/>
      <c r="Q186" s="280"/>
      <c r="R186" s="281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</row>
    <row r="187" spans="1:31" s="22" customFormat="1" ht="18" customHeight="1">
      <c r="A187" s="98">
        <v>179</v>
      </c>
      <c r="B187" s="359"/>
      <c r="C187" s="224"/>
      <c r="D187" s="1104"/>
      <c r="E187" s="1090" t="s">
        <v>892</v>
      </c>
      <c r="F187" s="350"/>
      <c r="G187" s="229"/>
      <c r="H187" s="229"/>
      <c r="I187" s="267"/>
      <c r="J187" s="1111">
        <f>SUM(K187:R187)</f>
        <v>0</v>
      </c>
      <c r="K187" s="273"/>
      <c r="L187" s="273"/>
      <c r="M187" s="280"/>
      <c r="N187" s="280"/>
      <c r="O187" s="280"/>
      <c r="P187" s="280"/>
      <c r="Q187" s="280"/>
      <c r="R187" s="281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</row>
    <row r="188" spans="1:31" s="22" customFormat="1" ht="18" customHeight="1">
      <c r="A188" s="98">
        <v>180</v>
      </c>
      <c r="B188" s="359"/>
      <c r="C188" s="224">
        <v>15</v>
      </c>
      <c r="D188" s="1821" t="s">
        <v>618</v>
      </c>
      <c r="E188" s="1874"/>
      <c r="F188" s="1874"/>
      <c r="G188" s="1874"/>
      <c r="H188" s="1874"/>
      <c r="I188" s="1895"/>
      <c r="J188" s="269"/>
      <c r="K188" s="280"/>
      <c r="L188" s="280"/>
      <c r="M188" s="280"/>
      <c r="N188" s="280"/>
      <c r="O188" s="280"/>
      <c r="P188" s="280"/>
      <c r="Q188" s="280"/>
      <c r="R188" s="281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</row>
    <row r="189" spans="1:31" s="22" customFormat="1" ht="18" customHeight="1">
      <c r="A189" s="98">
        <v>181</v>
      </c>
      <c r="B189" s="359"/>
      <c r="C189" s="224"/>
      <c r="D189" s="495"/>
      <c r="E189" s="1053" t="s">
        <v>283</v>
      </c>
      <c r="F189" s="350"/>
      <c r="G189" s="229"/>
      <c r="H189" s="229"/>
      <c r="I189" s="267"/>
      <c r="J189" s="631">
        <f>SUM(K189:R189)</f>
        <v>22650</v>
      </c>
      <c r="K189" s="652">
        <v>19277</v>
      </c>
      <c r="L189" s="652">
        <v>3373</v>
      </c>
      <c r="M189" s="280"/>
      <c r="N189" s="280"/>
      <c r="O189" s="280"/>
      <c r="P189" s="280"/>
      <c r="Q189" s="280"/>
      <c r="R189" s="281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</row>
    <row r="190" spans="1:31" s="22" customFormat="1" ht="18" customHeight="1">
      <c r="A190" s="98">
        <v>182</v>
      </c>
      <c r="B190" s="359"/>
      <c r="C190" s="224"/>
      <c r="D190" s="495"/>
      <c r="E190" s="478" t="s">
        <v>757</v>
      </c>
      <c r="F190" s="350"/>
      <c r="G190" s="229"/>
      <c r="H190" s="229"/>
      <c r="I190" s="267"/>
      <c r="J190" s="269">
        <f>SUM(K190:R190)</f>
        <v>22650</v>
      </c>
      <c r="K190" s="280">
        <v>19277</v>
      </c>
      <c r="L190" s="280">
        <v>3373</v>
      </c>
      <c r="M190" s="280"/>
      <c r="N190" s="280"/>
      <c r="O190" s="280"/>
      <c r="P190" s="280"/>
      <c r="Q190" s="280"/>
      <c r="R190" s="281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</row>
    <row r="191" spans="1:31" s="22" customFormat="1" ht="18" customHeight="1">
      <c r="A191" s="98">
        <v>183</v>
      </c>
      <c r="B191" s="359"/>
      <c r="C191" s="224"/>
      <c r="D191" s="495"/>
      <c r="E191" s="1090" t="s">
        <v>893</v>
      </c>
      <c r="F191" s="350"/>
      <c r="G191" s="229"/>
      <c r="H191" s="229"/>
      <c r="I191" s="267"/>
      <c r="J191" s="1111">
        <f>SUM(K191:R191)</f>
        <v>0</v>
      </c>
      <c r="K191" s="652"/>
      <c r="L191" s="652"/>
      <c r="M191" s="280"/>
      <c r="N191" s="280"/>
      <c r="O191" s="280"/>
      <c r="P191" s="280"/>
      <c r="Q191" s="280"/>
      <c r="R191" s="281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</row>
    <row r="192" spans="1:31" s="22" customFormat="1" ht="18" customHeight="1">
      <c r="A192" s="98">
        <v>184</v>
      </c>
      <c r="B192" s="359"/>
      <c r="C192" s="224">
        <v>16</v>
      </c>
      <c r="D192" s="495" t="s">
        <v>619</v>
      </c>
      <c r="E192" s="477"/>
      <c r="F192" s="350"/>
      <c r="G192" s="229"/>
      <c r="H192" s="229">
        <v>22278</v>
      </c>
      <c r="I192" s="267"/>
      <c r="J192" s="269"/>
      <c r="K192" s="280"/>
      <c r="L192" s="280"/>
      <c r="M192" s="280"/>
      <c r="N192" s="280"/>
      <c r="O192" s="280"/>
      <c r="P192" s="280"/>
      <c r="Q192" s="280"/>
      <c r="R192" s="281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</row>
    <row r="193" spans="1:31" s="22" customFormat="1" ht="18" customHeight="1">
      <c r="A193" s="98">
        <v>185</v>
      </c>
      <c r="B193" s="359"/>
      <c r="C193" s="224"/>
      <c r="D193" s="495"/>
      <c r="E193" s="1053" t="s">
        <v>283</v>
      </c>
      <c r="F193" s="350"/>
      <c r="G193" s="229"/>
      <c r="H193" s="229"/>
      <c r="I193" s="267"/>
      <c r="J193" s="631">
        <f>SUM(K193:R193)</f>
        <v>39749</v>
      </c>
      <c r="K193" s="652">
        <v>34415</v>
      </c>
      <c r="L193" s="652">
        <v>5334</v>
      </c>
      <c r="M193" s="280"/>
      <c r="N193" s="280"/>
      <c r="O193" s="280"/>
      <c r="P193" s="280"/>
      <c r="Q193" s="280"/>
      <c r="R193" s="281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</row>
    <row r="194" spans="1:31" s="22" customFormat="1" ht="18" customHeight="1">
      <c r="A194" s="98">
        <v>186</v>
      </c>
      <c r="B194" s="359"/>
      <c r="C194" s="224"/>
      <c r="D194" s="495"/>
      <c r="E194" s="478" t="s">
        <v>757</v>
      </c>
      <c r="F194" s="350"/>
      <c r="G194" s="229"/>
      <c r="H194" s="229"/>
      <c r="I194" s="267"/>
      <c r="J194" s="269">
        <f>SUM(K194:R194)</f>
        <v>39749</v>
      </c>
      <c r="K194" s="280">
        <v>34415</v>
      </c>
      <c r="L194" s="280">
        <v>5334</v>
      </c>
      <c r="M194" s="280"/>
      <c r="N194" s="280"/>
      <c r="O194" s="280"/>
      <c r="P194" s="280"/>
      <c r="Q194" s="280"/>
      <c r="R194" s="281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</row>
    <row r="195" spans="1:31" s="22" customFormat="1" ht="18" customHeight="1">
      <c r="A195" s="98">
        <v>187</v>
      </c>
      <c r="B195" s="359"/>
      <c r="C195" s="224"/>
      <c r="D195" s="495"/>
      <c r="E195" s="1090" t="s">
        <v>893</v>
      </c>
      <c r="F195" s="350"/>
      <c r="G195" s="229"/>
      <c r="H195" s="229"/>
      <c r="I195" s="267"/>
      <c r="J195" s="1111">
        <f>SUM(K195:R195)</f>
        <v>9895</v>
      </c>
      <c r="K195" s="1132">
        <v>8567</v>
      </c>
      <c r="L195" s="1132">
        <v>1328</v>
      </c>
      <c r="M195" s="280"/>
      <c r="N195" s="280"/>
      <c r="O195" s="280"/>
      <c r="P195" s="280"/>
      <c r="Q195" s="280"/>
      <c r="R195" s="281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</row>
    <row r="196" spans="1:31" s="22" customFormat="1" ht="19.5" customHeight="1">
      <c r="A196" s="98">
        <v>188</v>
      </c>
      <c r="B196" s="359"/>
      <c r="C196" s="224">
        <v>17</v>
      </c>
      <c r="D196" s="1821" t="s">
        <v>543</v>
      </c>
      <c r="E196" s="1822"/>
      <c r="F196" s="496"/>
      <c r="G196" s="229"/>
      <c r="H196" s="229"/>
      <c r="I196" s="267">
        <v>2297</v>
      </c>
      <c r="J196" s="269"/>
      <c r="K196" s="280"/>
      <c r="L196" s="280"/>
      <c r="M196" s="280"/>
      <c r="N196" s="280"/>
      <c r="O196" s="280"/>
      <c r="P196" s="280"/>
      <c r="Q196" s="280"/>
      <c r="R196" s="281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</row>
    <row r="197" spans="1:31" s="593" customFormat="1" ht="18" customHeight="1">
      <c r="A197" s="98">
        <v>189</v>
      </c>
      <c r="B197" s="359"/>
      <c r="C197" s="1044"/>
      <c r="D197" s="1038"/>
      <c r="E197" s="1053" t="s">
        <v>283</v>
      </c>
      <c r="F197" s="1046"/>
      <c r="G197" s="1039"/>
      <c r="H197" s="1039"/>
      <c r="I197" s="630"/>
      <c r="J197" s="631">
        <f>SUM(K197:R197)</f>
        <v>282</v>
      </c>
      <c r="K197" s="652"/>
      <c r="L197" s="652"/>
      <c r="M197" s="652">
        <v>187</v>
      </c>
      <c r="N197" s="652"/>
      <c r="O197" s="652"/>
      <c r="P197" s="652">
        <v>95</v>
      </c>
      <c r="Q197" s="652"/>
      <c r="R197" s="653"/>
      <c r="S197" s="654"/>
      <c r="T197" s="654"/>
      <c r="U197" s="654"/>
      <c r="V197" s="654"/>
      <c r="W197" s="654"/>
      <c r="X197" s="654"/>
      <c r="Y197" s="654"/>
      <c r="Z197" s="654"/>
      <c r="AA197" s="654"/>
      <c r="AB197" s="654"/>
      <c r="AC197" s="654"/>
      <c r="AD197" s="654"/>
      <c r="AE197" s="654"/>
    </row>
    <row r="198" spans="1:31" s="593" customFormat="1" ht="18" customHeight="1">
      <c r="A198" s="98">
        <v>190</v>
      </c>
      <c r="B198" s="359"/>
      <c r="C198" s="1044"/>
      <c r="D198" s="1104"/>
      <c r="E198" s="478" t="s">
        <v>757</v>
      </c>
      <c r="F198" s="1046"/>
      <c r="G198" s="1039"/>
      <c r="H198" s="1039"/>
      <c r="I198" s="630"/>
      <c r="J198" s="269">
        <f>SUM(K198:R198)</f>
        <v>482</v>
      </c>
      <c r="K198" s="280"/>
      <c r="L198" s="280"/>
      <c r="M198" s="280">
        <v>187</v>
      </c>
      <c r="N198" s="280"/>
      <c r="O198" s="280"/>
      <c r="P198" s="280">
        <v>295</v>
      </c>
      <c r="Q198" s="652"/>
      <c r="R198" s="653"/>
      <c r="S198" s="654"/>
      <c r="T198" s="654"/>
      <c r="U198" s="654"/>
      <c r="V198" s="654"/>
      <c r="W198" s="654"/>
      <c r="X198" s="654"/>
      <c r="Y198" s="654"/>
      <c r="Z198" s="654"/>
      <c r="AA198" s="654"/>
      <c r="AB198" s="654"/>
      <c r="AC198" s="654"/>
      <c r="AD198" s="654"/>
      <c r="AE198" s="654"/>
    </row>
    <row r="199" spans="1:31" s="593" customFormat="1" ht="18" customHeight="1">
      <c r="A199" s="98">
        <v>191</v>
      </c>
      <c r="B199" s="359"/>
      <c r="C199" s="1044"/>
      <c r="D199" s="1104"/>
      <c r="E199" s="1090" t="s">
        <v>893</v>
      </c>
      <c r="F199" s="1046"/>
      <c r="G199" s="1039"/>
      <c r="H199" s="1039"/>
      <c r="I199" s="630"/>
      <c r="J199" s="1111">
        <f>SUM(K199:R199)</f>
        <v>387</v>
      </c>
      <c r="K199" s="652"/>
      <c r="L199" s="652"/>
      <c r="M199" s="1132">
        <v>234</v>
      </c>
      <c r="N199" s="652"/>
      <c r="O199" s="652"/>
      <c r="P199" s="1132">
        <v>153</v>
      </c>
      <c r="Q199" s="652"/>
      <c r="R199" s="653"/>
      <c r="S199" s="654"/>
      <c r="T199" s="654"/>
      <c r="U199" s="654"/>
      <c r="V199" s="654"/>
      <c r="W199" s="654"/>
      <c r="X199" s="654"/>
      <c r="Y199" s="654"/>
      <c r="Z199" s="654"/>
      <c r="AA199" s="654"/>
      <c r="AB199" s="654"/>
      <c r="AC199" s="654"/>
      <c r="AD199" s="654"/>
      <c r="AE199" s="654"/>
    </row>
    <row r="200" spans="1:31" s="22" customFormat="1" ht="19.5" customHeight="1">
      <c r="A200" s="98">
        <v>192</v>
      </c>
      <c r="B200" s="359"/>
      <c r="C200" s="224">
        <v>18</v>
      </c>
      <c r="D200" s="1821" t="s">
        <v>42</v>
      </c>
      <c r="E200" s="1822"/>
      <c r="F200" s="496"/>
      <c r="G200" s="229"/>
      <c r="H200" s="229"/>
      <c r="I200" s="267">
        <v>36</v>
      </c>
      <c r="J200" s="269"/>
      <c r="K200" s="280"/>
      <c r="L200" s="280"/>
      <c r="M200" s="280"/>
      <c r="N200" s="280"/>
      <c r="O200" s="280"/>
      <c r="P200" s="280"/>
      <c r="Q200" s="280"/>
      <c r="R200" s="281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</row>
    <row r="201" spans="1:31" s="22" customFormat="1" ht="19.5" customHeight="1">
      <c r="A201" s="98">
        <v>193</v>
      </c>
      <c r="B201" s="359"/>
      <c r="C201" s="224">
        <v>19</v>
      </c>
      <c r="D201" s="1821" t="s">
        <v>446</v>
      </c>
      <c r="E201" s="1822"/>
      <c r="F201" s="496"/>
      <c r="G201" s="229"/>
      <c r="H201" s="229"/>
      <c r="I201" s="267">
        <v>2474</v>
      </c>
      <c r="J201" s="269"/>
      <c r="K201" s="280"/>
      <c r="L201" s="280"/>
      <c r="M201" s="280"/>
      <c r="N201" s="280"/>
      <c r="O201" s="280"/>
      <c r="P201" s="280"/>
      <c r="Q201" s="280"/>
      <c r="R201" s="281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</row>
    <row r="202" spans="1:31" s="593" customFormat="1" ht="18" customHeight="1">
      <c r="A202" s="98">
        <v>194</v>
      </c>
      <c r="B202" s="359"/>
      <c r="C202" s="1044"/>
      <c r="D202" s="1038"/>
      <c r="E202" s="1053" t="s">
        <v>283</v>
      </c>
      <c r="F202" s="1046"/>
      <c r="G202" s="1039"/>
      <c r="H202" s="1039"/>
      <c r="I202" s="630"/>
      <c r="J202" s="631">
        <f>SUM(K202:R202)</f>
        <v>625</v>
      </c>
      <c r="K202" s="652">
        <v>508</v>
      </c>
      <c r="L202" s="652">
        <v>117</v>
      </c>
      <c r="M202" s="652"/>
      <c r="N202" s="652"/>
      <c r="O202" s="652"/>
      <c r="P202" s="652"/>
      <c r="Q202" s="652"/>
      <c r="R202" s="653"/>
      <c r="S202" s="654"/>
      <c r="T202" s="654"/>
      <c r="U202" s="654"/>
      <c r="V202" s="654"/>
      <c r="W202" s="654"/>
      <c r="X202" s="654"/>
      <c r="Y202" s="654"/>
      <c r="Z202" s="654"/>
      <c r="AA202" s="654"/>
      <c r="AB202" s="654"/>
      <c r="AC202" s="654"/>
      <c r="AD202" s="654"/>
      <c r="AE202" s="654"/>
    </row>
    <row r="203" spans="1:31" s="593" customFormat="1" ht="18" customHeight="1">
      <c r="A203" s="98">
        <v>195</v>
      </c>
      <c r="B203" s="359"/>
      <c r="C203" s="1044"/>
      <c r="D203" s="1104"/>
      <c r="E203" s="478" t="s">
        <v>757</v>
      </c>
      <c r="F203" s="1046"/>
      <c r="G203" s="1039"/>
      <c r="H203" s="1039"/>
      <c r="I203" s="630"/>
      <c r="J203" s="269">
        <f>SUM(K203:R203)</f>
        <v>6289</v>
      </c>
      <c r="K203" s="280">
        <v>5412</v>
      </c>
      <c r="L203" s="280">
        <v>877</v>
      </c>
      <c r="M203" s="652"/>
      <c r="N203" s="652"/>
      <c r="O203" s="652"/>
      <c r="P203" s="652"/>
      <c r="Q203" s="652"/>
      <c r="R203" s="653"/>
      <c r="S203" s="654"/>
      <c r="T203" s="654"/>
      <c r="U203" s="654"/>
      <c r="V203" s="654"/>
      <c r="W203" s="654"/>
      <c r="X203" s="654"/>
      <c r="Y203" s="654"/>
      <c r="Z203" s="654"/>
      <c r="AA203" s="654"/>
      <c r="AB203" s="654"/>
      <c r="AC203" s="654"/>
      <c r="AD203" s="654"/>
      <c r="AE203" s="654"/>
    </row>
    <row r="204" spans="1:31" s="593" customFormat="1" ht="18" customHeight="1">
      <c r="A204" s="98">
        <v>196</v>
      </c>
      <c r="B204" s="359"/>
      <c r="C204" s="1044"/>
      <c r="D204" s="1104"/>
      <c r="E204" s="1090" t="s">
        <v>892</v>
      </c>
      <c r="F204" s="1046"/>
      <c r="G204" s="1039"/>
      <c r="H204" s="1039"/>
      <c r="I204" s="630"/>
      <c r="J204" s="1111">
        <f>SUM(K204:R204)</f>
        <v>3067</v>
      </c>
      <c r="K204" s="1132">
        <v>2627</v>
      </c>
      <c r="L204" s="1132">
        <v>440</v>
      </c>
      <c r="M204" s="652"/>
      <c r="N204" s="652"/>
      <c r="O204" s="652"/>
      <c r="P204" s="652"/>
      <c r="Q204" s="652"/>
      <c r="R204" s="653"/>
      <c r="S204" s="654"/>
      <c r="T204" s="654"/>
      <c r="U204" s="654"/>
      <c r="V204" s="654"/>
      <c r="W204" s="654"/>
      <c r="X204" s="654"/>
      <c r="Y204" s="654"/>
      <c r="Z204" s="654"/>
      <c r="AA204" s="654"/>
      <c r="AB204" s="654"/>
      <c r="AC204" s="654"/>
      <c r="AD204" s="654"/>
      <c r="AE204" s="654"/>
    </row>
    <row r="205" spans="1:31" s="22" customFormat="1" ht="19.5" customHeight="1">
      <c r="A205" s="98">
        <v>197</v>
      </c>
      <c r="B205" s="359"/>
      <c r="C205" s="224">
        <v>20</v>
      </c>
      <c r="D205" s="1821" t="s">
        <v>544</v>
      </c>
      <c r="E205" s="1822"/>
      <c r="F205" s="496"/>
      <c r="G205" s="229"/>
      <c r="H205" s="229"/>
      <c r="I205" s="267">
        <v>0</v>
      </c>
      <c r="J205" s="269"/>
      <c r="K205" s="280"/>
      <c r="L205" s="280"/>
      <c r="M205" s="280"/>
      <c r="N205" s="280"/>
      <c r="O205" s="280"/>
      <c r="P205" s="280"/>
      <c r="Q205" s="280"/>
      <c r="R205" s="281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</row>
    <row r="206" spans="1:31" s="593" customFormat="1" ht="18" customHeight="1">
      <c r="A206" s="98">
        <v>198</v>
      </c>
      <c r="B206" s="359"/>
      <c r="C206" s="1044"/>
      <c r="D206" s="1038"/>
      <c r="E206" s="1053" t="s">
        <v>283</v>
      </c>
      <c r="F206" s="1046"/>
      <c r="G206" s="1039"/>
      <c r="H206" s="1039"/>
      <c r="I206" s="630"/>
      <c r="J206" s="631">
        <f>SUM(K206:R206)</f>
        <v>63255</v>
      </c>
      <c r="K206" s="652">
        <v>53727</v>
      </c>
      <c r="L206" s="652">
        <v>8328</v>
      </c>
      <c r="M206" s="652">
        <v>1200</v>
      </c>
      <c r="N206" s="652"/>
      <c r="O206" s="652"/>
      <c r="P206" s="652"/>
      <c r="Q206" s="652"/>
      <c r="R206" s="653"/>
      <c r="S206" s="654"/>
      <c r="T206" s="654"/>
      <c r="U206" s="654"/>
      <c r="V206" s="654"/>
      <c r="W206" s="654"/>
      <c r="X206" s="654"/>
      <c r="Y206" s="654"/>
      <c r="Z206" s="654"/>
      <c r="AA206" s="654"/>
      <c r="AB206" s="654"/>
      <c r="AC206" s="654"/>
      <c r="AD206" s="654"/>
      <c r="AE206" s="654"/>
    </row>
    <row r="207" spans="1:31" s="593" customFormat="1" ht="18" customHeight="1">
      <c r="A207" s="98">
        <v>199</v>
      </c>
      <c r="B207" s="359"/>
      <c r="C207" s="1044"/>
      <c r="D207" s="1104"/>
      <c r="E207" s="478" t="s">
        <v>757</v>
      </c>
      <c r="F207" s="1046"/>
      <c r="G207" s="1039"/>
      <c r="H207" s="1039"/>
      <c r="I207" s="630"/>
      <c r="J207" s="269">
        <f>SUM(K207:R207)</f>
        <v>47061</v>
      </c>
      <c r="K207" s="280">
        <v>0</v>
      </c>
      <c r="L207" s="280">
        <v>0</v>
      </c>
      <c r="M207" s="280">
        <v>0</v>
      </c>
      <c r="N207" s="280"/>
      <c r="O207" s="280">
        <v>47061</v>
      </c>
      <c r="P207" s="652"/>
      <c r="Q207" s="652"/>
      <c r="R207" s="653"/>
      <c r="S207" s="654"/>
      <c r="T207" s="654"/>
      <c r="U207" s="654"/>
      <c r="V207" s="654"/>
      <c r="W207" s="654"/>
      <c r="X207" s="654"/>
      <c r="Y207" s="654"/>
      <c r="Z207" s="654"/>
      <c r="AA207" s="654"/>
      <c r="AB207" s="654"/>
      <c r="AC207" s="654"/>
      <c r="AD207" s="654"/>
      <c r="AE207" s="654"/>
    </row>
    <row r="208" spans="1:31" s="593" customFormat="1" ht="18" customHeight="1">
      <c r="A208" s="98">
        <v>200</v>
      </c>
      <c r="B208" s="359"/>
      <c r="C208" s="1044"/>
      <c r="D208" s="1104"/>
      <c r="E208" s="1090" t="s">
        <v>892</v>
      </c>
      <c r="F208" s="1046"/>
      <c r="G208" s="1039"/>
      <c r="H208" s="1039"/>
      <c r="I208" s="630"/>
      <c r="J208" s="1111">
        <f>SUM(K208:R208)</f>
        <v>47060</v>
      </c>
      <c r="K208" s="1132"/>
      <c r="L208" s="1132"/>
      <c r="M208" s="1132"/>
      <c r="N208" s="1132"/>
      <c r="O208" s="1132">
        <v>47060</v>
      </c>
      <c r="P208" s="652"/>
      <c r="Q208" s="652"/>
      <c r="R208" s="653"/>
      <c r="S208" s="654"/>
      <c r="T208" s="654"/>
      <c r="U208" s="654"/>
      <c r="V208" s="654"/>
      <c r="W208" s="654"/>
      <c r="X208" s="654"/>
      <c r="Y208" s="654"/>
      <c r="Z208" s="654"/>
      <c r="AA208" s="654"/>
      <c r="AB208" s="654"/>
      <c r="AC208" s="654"/>
      <c r="AD208" s="654"/>
      <c r="AE208" s="654"/>
    </row>
    <row r="209" spans="1:31" s="593" customFormat="1" ht="30" customHeight="1">
      <c r="A209" s="98">
        <v>201</v>
      </c>
      <c r="B209" s="359"/>
      <c r="C209" s="228">
        <v>21</v>
      </c>
      <c r="D209" s="1828" t="s">
        <v>856</v>
      </c>
      <c r="E209" s="1829"/>
      <c r="F209" s="1046"/>
      <c r="G209" s="1039"/>
      <c r="H209" s="1039"/>
      <c r="I209" s="630"/>
      <c r="J209" s="269"/>
      <c r="K209" s="280"/>
      <c r="L209" s="280"/>
      <c r="M209" s="280"/>
      <c r="N209" s="280"/>
      <c r="O209" s="280"/>
      <c r="P209" s="652"/>
      <c r="Q209" s="652"/>
      <c r="R209" s="653"/>
      <c r="S209" s="654"/>
      <c r="T209" s="654"/>
      <c r="U209" s="654"/>
      <c r="V209" s="654"/>
      <c r="W209" s="654"/>
      <c r="X209" s="654"/>
      <c r="Y209" s="654"/>
      <c r="Z209" s="654"/>
      <c r="AA209" s="654"/>
      <c r="AB209" s="654"/>
      <c r="AC209" s="654"/>
      <c r="AD209" s="654"/>
      <c r="AE209" s="654"/>
    </row>
    <row r="210" spans="1:31" s="593" customFormat="1" ht="19.5" customHeight="1">
      <c r="A210" s="98">
        <v>202</v>
      </c>
      <c r="B210" s="359"/>
      <c r="C210" s="228"/>
      <c r="D210" s="1705"/>
      <c r="E210" s="478" t="s">
        <v>757</v>
      </c>
      <c r="F210" s="1046"/>
      <c r="G210" s="1039"/>
      <c r="H210" s="1039"/>
      <c r="I210" s="630"/>
      <c r="J210" s="269">
        <f>SUM(K210:R210)</f>
        <v>4436</v>
      </c>
      <c r="K210" s="280">
        <v>3840</v>
      </c>
      <c r="L210" s="280">
        <v>596</v>
      </c>
      <c r="M210" s="280"/>
      <c r="N210" s="280"/>
      <c r="O210" s="280"/>
      <c r="P210" s="652"/>
      <c r="Q210" s="652"/>
      <c r="R210" s="653"/>
      <c r="S210" s="654"/>
      <c r="T210" s="654"/>
      <c r="U210" s="654"/>
      <c r="V210" s="654"/>
      <c r="W210" s="654"/>
      <c r="X210" s="654"/>
      <c r="Y210" s="654"/>
      <c r="Z210" s="654"/>
      <c r="AA210" s="654"/>
      <c r="AB210" s="654"/>
      <c r="AC210" s="654"/>
      <c r="AD210" s="654"/>
      <c r="AE210" s="654"/>
    </row>
    <row r="211" spans="1:31" s="593" customFormat="1" ht="18" customHeight="1">
      <c r="A211" s="98">
        <v>203</v>
      </c>
      <c r="B211" s="359"/>
      <c r="C211" s="1044"/>
      <c r="D211" s="1104"/>
      <c r="E211" s="1090" t="s">
        <v>892</v>
      </c>
      <c r="F211" s="1046"/>
      <c r="G211" s="1039"/>
      <c r="H211" s="1039"/>
      <c r="I211" s="630"/>
      <c r="J211" s="1111">
        <f>SUM(K211:R211)</f>
        <v>0</v>
      </c>
      <c r="K211" s="116"/>
      <c r="L211" s="116"/>
      <c r="M211" s="280"/>
      <c r="N211" s="280"/>
      <c r="O211" s="280"/>
      <c r="P211" s="652"/>
      <c r="Q211" s="652"/>
      <c r="R211" s="653"/>
      <c r="S211" s="654"/>
      <c r="T211" s="654"/>
      <c r="U211" s="654"/>
      <c r="V211" s="654"/>
      <c r="W211" s="654"/>
      <c r="X211" s="654"/>
      <c r="Y211" s="654"/>
      <c r="Z211" s="654"/>
      <c r="AA211" s="654"/>
      <c r="AB211" s="654"/>
      <c r="AC211" s="654"/>
      <c r="AD211" s="654"/>
      <c r="AE211" s="654"/>
    </row>
    <row r="212" spans="1:31" s="593" customFormat="1" ht="18" customHeight="1">
      <c r="A212" s="98">
        <v>204</v>
      </c>
      <c r="B212" s="359"/>
      <c r="C212" s="224">
        <v>22</v>
      </c>
      <c r="D212" s="1828" t="s">
        <v>858</v>
      </c>
      <c r="E212" s="1829"/>
      <c r="F212" s="1046"/>
      <c r="G212" s="1039"/>
      <c r="H212" s="1039"/>
      <c r="I212" s="630"/>
      <c r="J212" s="269"/>
      <c r="K212" s="1114"/>
      <c r="L212" s="1114"/>
      <c r="M212" s="280"/>
      <c r="N212" s="280"/>
      <c r="O212" s="280"/>
      <c r="P212" s="652"/>
      <c r="Q212" s="652"/>
      <c r="R212" s="653"/>
      <c r="S212" s="654"/>
      <c r="T212" s="654"/>
      <c r="U212" s="654"/>
      <c r="V212" s="654"/>
      <c r="W212" s="654"/>
      <c r="X212" s="654"/>
      <c r="Y212" s="654"/>
      <c r="Z212" s="654"/>
      <c r="AA212" s="654"/>
      <c r="AB212" s="654"/>
      <c r="AC212" s="654"/>
      <c r="AD212" s="654"/>
      <c r="AE212" s="654"/>
    </row>
    <row r="213" spans="1:31" s="593" customFormat="1" ht="18" customHeight="1">
      <c r="A213" s="98">
        <v>205</v>
      </c>
      <c r="B213" s="359"/>
      <c r="C213" s="224"/>
      <c r="D213" s="1705"/>
      <c r="E213" s="478" t="s">
        <v>757</v>
      </c>
      <c r="F213" s="1046"/>
      <c r="G213" s="1039"/>
      <c r="H213" s="1039"/>
      <c r="I213" s="630"/>
      <c r="J213" s="269">
        <f>SUM(K213:R213)</f>
        <v>19603</v>
      </c>
      <c r="K213" s="1114">
        <v>16972</v>
      </c>
      <c r="L213" s="1114">
        <v>2631</v>
      </c>
      <c r="M213" s="280"/>
      <c r="N213" s="280"/>
      <c r="O213" s="280"/>
      <c r="P213" s="652"/>
      <c r="Q213" s="652"/>
      <c r="R213" s="653"/>
      <c r="S213" s="654"/>
      <c r="T213" s="654"/>
      <c r="U213" s="654"/>
      <c r="V213" s="654"/>
      <c r="W213" s="654"/>
      <c r="X213" s="654"/>
      <c r="Y213" s="654"/>
      <c r="Z213" s="654"/>
      <c r="AA213" s="654"/>
      <c r="AB213" s="654"/>
      <c r="AC213" s="654"/>
      <c r="AD213" s="654"/>
      <c r="AE213" s="654"/>
    </row>
    <row r="214" spans="1:31" s="593" customFormat="1" ht="18" customHeight="1">
      <c r="A214" s="98">
        <v>206</v>
      </c>
      <c r="B214" s="359"/>
      <c r="C214" s="1044"/>
      <c r="D214" s="1104"/>
      <c r="E214" s="1090" t="s">
        <v>892</v>
      </c>
      <c r="F214" s="1046"/>
      <c r="G214" s="1039"/>
      <c r="H214" s="1039"/>
      <c r="I214" s="630"/>
      <c r="J214" s="1111">
        <f>SUM(K214:R214)</f>
        <v>0</v>
      </c>
      <c r="K214" s="273"/>
      <c r="L214" s="273"/>
      <c r="M214" s="280"/>
      <c r="N214" s="280"/>
      <c r="O214" s="280"/>
      <c r="P214" s="652"/>
      <c r="Q214" s="652"/>
      <c r="R214" s="653"/>
      <c r="S214" s="654"/>
      <c r="T214" s="654"/>
      <c r="U214" s="654"/>
      <c r="V214" s="654"/>
      <c r="W214" s="654"/>
      <c r="X214" s="654"/>
      <c r="Y214" s="654"/>
      <c r="Z214" s="654"/>
      <c r="AA214" s="654"/>
      <c r="AB214" s="654"/>
      <c r="AC214" s="654"/>
      <c r="AD214" s="654"/>
      <c r="AE214" s="654"/>
    </row>
    <row r="215" spans="1:31" s="32" customFormat="1" ht="30" customHeight="1">
      <c r="A215" s="98">
        <v>207</v>
      </c>
      <c r="B215" s="359"/>
      <c r="C215" s="228">
        <v>23</v>
      </c>
      <c r="D215" s="1828" t="s">
        <v>402</v>
      </c>
      <c r="E215" s="1829"/>
      <c r="F215" s="350"/>
      <c r="G215" s="229"/>
      <c r="H215" s="229">
        <v>13852</v>
      </c>
      <c r="I215" s="267"/>
      <c r="J215" s="269"/>
      <c r="K215" s="265"/>
      <c r="L215" s="265"/>
      <c r="M215" s="280"/>
      <c r="N215" s="280"/>
      <c r="O215" s="280"/>
      <c r="P215" s="280"/>
      <c r="Q215" s="280"/>
      <c r="R215" s="28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</row>
    <row r="216" spans="1:31" s="22" customFormat="1" ht="19.5" customHeight="1">
      <c r="A216" s="98">
        <v>208</v>
      </c>
      <c r="B216" s="359"/>
      <c r="C216" s="224">
        <v>24</v>
      </c>
      <c r="D216" s="1821" t="s">
        <v>343</v>
      </c>
      <c r="E216" s="1822"/>
      <c r="F216" s="350"/>
      <c r="G216" s="229">
        <v>3536</v>
      </c>
      <c r="H216" s="229"/>
      <c r="I216" s="267"/>
      <c r="J216" s="269"/>
      <c r="K216" s="280"/>
      <c r="L216" s="280"/>
      <c r="M216" s="280"/>
      <c r="N216" s="280"/>
      <c r="O216" s="280"/>
      <c r="P216" s="280"/>
      <c r="Q216" s="280"/>
      <c r="R216" s="281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</row>
    <row r="217" spans="1:31" s="22" customFormat="1" ht="30" customHeight="1">
      <c r="A217" s="98">
        <v>209</v>
      </c>
      <c r="B217" s="359"/>
      <c r="C217" s="228">
        <v>25</v>
      </c>
      <c r="D217" s="1890" t="s">
        <v>344</v>
      </c>
      <c r="E217" s="1891"/>
      <c r="F217" s="496"/>
      <c r="G217" s="229">
        <v>2506</v>
      </c>
      <c r="H217" s="229"/>
      <c r="I217" s="267"/>
      <c r="J217" s="269"/>
      <c r="K217" s="280"/>
      <c r="L217" s="280"/>
      <c r="M217" s="280"/>
      <c r="N217" s="280"/>
      <c r="O217" s="280"/>
      <c r="P217" s="280"/>
      <c r="Q217" s="280"/>
      <c r="R217" s="281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</row>
    <row r="218" spans="1:31" s="22" customFormat="1" ht="19.5" customHeight="1">
      <c r="A218" s="98">
        <v>210</v>
      </c>
      <c r="B218" s="359"/>
      <c r="C218" s="228">
        <v>26</v>
      </c>
      <c r="D218" s="1821" t="s">
        <v>361</v>
      </c>
      <c r="E218" s="1822"/>
      <c r="F218" s="244"/>
      <c r="G218" s="229"/>
      <c r="H218" s="229">
        <v>482</v>
      </c>
      <c r="I218" s="267">
        <v>0</v>
      </c>
      <c r="J218" s="269"/>
      <c r="K218" s="280"/>
      <c r="L218" s="280"/>
      <c r="M218" s="280"/>
      <c r="N218" s="280"/>
      <c r="O218" s="280"/>
      <c r="P218" s="280"/>
      <c r="Q218" s="280"/>
      <c r="R218" s="281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</row>
    <row r="219" spans="1:31" s="22" customFormat="1" ht="19.5" customHeight="1">
      <c r="A219" s="98">
        <v>211</v>
      </c>
      <c r="B219" s="359"/>
      <c r="C219" s="224">
        <v>27</v>
      </c>
      <c r="D219" s="1821" t="s">
        <v>373</v>
      </c>
      <c r="E219" s="1822"/>
      <c r="F219" s="244"/>
      <c r="G219" s="229">
        <v>1541</v>
      </c>
      <c r="H219" s="229"/>
      <c r="I219" s="267"/>
      <c r="J219" s="269"/>
      <c r="K219" s="280"/>
      <c r="L219" s="280"/>
      <c r="M219" s="280"/>
      <c r="N219" s="280"/>
      <c r="O219" s="280"/>
      <c r="P219" s="280"/>
      <c r="Q219" s="280"/>
      <c r="R219" s="281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</row>
    <row r="220" spans="1:31" s="22" customFormat="1" ht="30" customHeight="1">
      <c r="A220" s="98">
        <v>212</v>
      </c>
      <c r="B220" s="359"/>
      <c r="C220" s="228">
        <v>28</v>
      </c>
      <c r="D220" s="1890" t="s">
        <v>374</v>
      </c>
      <c r="E220" s="1891"/>
      <c r="F220" s="244"/>
      <c r="G220" s="229">
        <v>13</v>
      </c>
      <c r="H220" s="229">
        <v>62</v>
      </c>
      <c r="I220" s="267">
        <v>0</v>
      </c>
      <c r="J220" s="269"/>
      <c r="K220" s="280"/>
      <c r="L220" s="280"/>
      <c r="M220" s="280"/>
      <c r="N220" s="280"/>
      <c r="O220" s="280"/>
      <c r="P220" s="280"/>
      <c r="Q220" s="280"/>
      <c r="R220" s="281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</row>
    <row r="221" spans="1:31" s="22" customFormat="1" ht="19.5" customHeight="1">
      <c r="A221" s="98">
        <v>213</v>
      </c>
      <c r="B221" s="359"/>
      <c r="C221" s="228">
        <v>29</v>
      </c>
      <c r="D221" s="1821" t="s">
        <v>420</v>
      </c>
      <c r="E221" s="1822"/>
      <c r="F221" s="244"/>
      <c r="G221" s="229">
        <v>14715</v>
      </c>
      <c r="H221" s="229"/>
      <c r="I221" s="267"/>
      <c r="J221" s="269"/>
      <c r="K221" s="280"/>
      <c r="L221" s="280"/>
      <c r="M221" s="280"/>
      <c r="N221" s="280"/>
      <c r="O221" s="280"/>
      <c r="P221" s="280"/>
      <c r="Q221" s="280"/>
      <c r="R221" s="281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</row>
    <row r="222" spans="1:31" s="22" customFormat="1" ht="19.5" customHeight="1">
      <c r="A222" s="98">
        <v>214</v>
      </c>
      <c r="B222" s="359"/>
      <c r="C222" s="224">
        <v>30</v>
      </c>
      <c r="D222" s="1821" t="s">
        <v>414</v>
      </c>
      <c r="E222" s="1822"/>
      <c r="F222" s="244"/>
      <c r="G222" s="229">
        <v>16537</v>
      </c>
      <c r="H222" s="229"/>
      <c r="I222" s="267">
        <v>0</v>
      </c>
      <c r="J222" s="269"/>
      <c r="K222" s="280"/>
      <c r="L222" s="280"/>
      <c r="M222" s="280"/>
      <c r="N222" s="280"/>
      <c r="O222" s="280"/>
      <c r="P222" s="280"/>
      <c r="Q222" s="280"/>
      <c r="R222" s="281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</row>
    <row r="223" spans="1:31" s="22" customFormat="1" ht="18" customHeight="1">
      <c r="A223" s="98">
        <v>215</v>
      </c>
      <c r="B223" s="359"/>
      <c r="C223" s="228">
        <v>31</v>
      </c>
      <c r="D223" s="1821" t="s">
        <v>427</v>
      </c>
      <c r="E223" s="1822"/>
      <c r="F223" s="350"/>
      <c r="G223" s="229">
        <v>329</v>
      </c>
      <c r="H223" s="229"/>
      <c r="I223" s="267"/>
      <c r="J223" s="269"/>
      <c r="K223" s="280"/>
      <c r="L223" s="280"/>
      <c r="M223" s="280"/>
      <c r="N223" s="280"/>
      <c r="O223" s="280"/>
      <c r="P223" s="280"/>
      <c r="Q223" s="280"/>
      <c r="R223" s="281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</row>
    <row r="224" spans="1:31" s="22" customFormat="1" ht="30" customHeight="1">
      <c r="A224" s="98">
        <v>216</v>
      </c>
      <c r="B224" s="359"/>
      <c r="C224" s="228">
        <v>32</v>
      </c>
      <c r="D224" s="1828" t="s">
        <v>375</v>
      </c>
      <c r="E224" s="1829"/>
      <c r="F224" s="350"/>
      <c r="G224" s="229">
        <v>11</v>
      </c>
      <c r="H224" s="229"/>
      <c r="I224" s="267"/>
      <c r="J224" s="269"/>
      <c r="K224" s="280"/>
      <c r="L224" s="280"/>
      <c r="M224" s="280"/>
      <c r="N224" s="280"/>
      <c r="O224" s="280"/>
      <c r="P224" s="280"/>
      <c r="Q224" s="280"/>
      <c r="R224" s="281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</row>
    <row r="225" spans="1:31" s="22" customFormat="1" ht="18" customHeight="1">
      <c r="A225" s="98">
        <v>217</v>
      </c>
      <c r="B225" s="359"/>
      <c r="C225" s="224">
        <v>33</v>
      </c>
      <c r="D225" s="1821" t="s">
        <v>421</v>
      </c>
      <c r="E225" s="1822"/>
      <c r="F225" s="350"/>
      <c r="G225" s="229">
        <v>14897</v>
      </c>
      <c r="H225" s="229"/>
      <c r="I225" s="267">
        <v>16</v>
      </c>
      <c r="J225" s="269"/>
      <c r="K225" s="280"/>
      <c r="L225" s="280"/>
      <c r="M225" s="280"/>
      <c r="N225" s="280"/>
      <c r="O225" s="280"/>
      <c r="P225" s="280"/>
      <c r="Q225" s="280"/>
      <c r="R225" s="281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</row>
    <row r="226" spans="1:31" s="22" customFormat="1" ht="19.5" customHeight="1" thickBot="1">
      <c r="A226" s="98">
        <v>218</v>
      </c>
      <c r="B226" s="359"/>
      <c r="C226" s="228">
        <v>34</v>
      </c>
      <c r="D226" s="1866" t="s">
        <v>442</v>
      </c>
      <c r="E226" s="1867"/>
      <c r="F226" s="496"/>
      <c r="G226" s="229"/>
      <c r="H226" s="229"/>
      <c r="I226" s="267">
        <v>250</v>
      </c>
      <c r="J226" s="269"/>
      <c r="K226" s="280"/>
      <c r="L226" s="280"/>
      <c r="M226" s="280"/>
      <c r="N226" s="280"/>
      <c r="O226" s="280"/>
      <c r="P226" s="280"/>
      <c r="Q226" s="280"/>
      <c r="R226" s="281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</row>
    <row r="227" spans="1:31" s="31" customFormat="1" ht="22.5" customHeight="1" thickTop="1">
      <c r="A227" s="98">
        <v>219</v>
      </c>
      <c r="B227" s="343"/>
      <c r="C227" s="1884" t="s">
        <v>408</v>
      </c>
      <c r="D227" s="1885"/>
      <c r="E227" s="1886"/>
      <c r="F227" s="648"/>
      <c r="G227" s="522">
        <f>SUM(G135:G226)</f>
        <v>1582989</v>
      </c>
      <c r="H227" s="522">
        <f>SUM(H135:H226)</f>
        <v>1675561</v>
      </c>
      <c r="I227" s="522">
        <f>SUM(I135:I226)</f>
        <v>1490907</v>
      </c>
      <c r="J227" s="525"/>
      <c r="K227" s="527"/>
      <c r="L227" s="527"/>
      <c r="M227" s="527"/>
      <c r="N227" s="527"/>
      <c r="O227" s="527"/>
      <c r="P227" s="527"/>
      <c r="Q227" s="527"/>
      <c r="R227" s="528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</row>
    <row r="228" spans="1:31" s="593" customFormat="1" ht="18" customHeight="1">
      <c r="A228" s="98">
        <v>220</v>
      </c>
      <c r="B228" s="620"/>
      <c r="C228" s="599"/>
      <c r="D228" s="638"/>
      <c r="E228" s="1126" t="s">
        <v>283</v>
      </c>
      <c r="F228" s="1127"/>
      <c r="G228" s="614"/>
      <c r="H228" s="614"/>
      <c r="I228" s="639"/>
      <c r="J228" s="640">
        <f>SUM(K228:R228)</f>
        <v>1889184</v>
      </c>
      <c r="K228" s="1124">
        <f aca="true" t="shared" si="10" ref="K228:R228">SUM(K137,K141,K145,K149,K153,K157,K161,K165,K169,K197,K202,K206)+K193+K189+K182+K178+K174</f>
        <v>1327593</v>
      </c>
      <c r="L228" s="1124">
        <f t="shared" si="10"/>
        <v>220346</v>
      </c>
      <c r="M228" s="1124">
        <f t="shared" si="10"/>
        <v>307239</v>
      </c>
      <c r="N228" s="1124">
        <f t="shared" si="10"/>
        <v>0</v>
      </c>
      <c r="O228" s="1124">
        <f t="shared" si="10"/>
        <v>0</v>
      </c>
      <c r="P228" s="1124">
        <f t="shared" si="10"/>
        <v>34006</v>
      </c>
      <c r="Q228" s="1124">
        <f t="shared" si="10"/>
        <v>0</v>
      </c>
      <c r="R228" s="1125">
        <f t="shared" si="10"/>
        <v>0</v>
      </c>
      <c r="S228" s="654"/>
      <c r="T228" s="654"/>
      <c r="U228" s="654"/>
      <c r="V228" s="654"/>
      <c r="W228" s="654"/>
      <c r="X228" s="654"/>
      <c r="Y228" s="654"/>
      <c r="Z228" s="654"/>
      <c r="AA228" s="654"/>
      <c r="AB228" s="654"/>
      <c r="AC228" s="654"/>
      <c r="AD228" s="654"/>
      <c r="AE228" s="654"/>
    </row>
    <row r="229" spans="1:31" s="593" customFormat="1" ht="18" customHeight="1">
      <c r="A229" s="98">
        <v>221</v>
      </c>
      <c r="B229" s="1427"/>
      <c r="C229" s="599"/>
      <c r="D229" s="1428"/>
      <c r="E229" s="478" t="s">
        <v>757</v>
      </c>
      <c r="F229" s="1127"/>
      <c r="G229" s="614"/>
      <c r="H229" s="614"/>
      <c r="I229" s="639"/>
      <c r="J229" s="1424">
        <f>SUM(K229:R229)</f>
        <v>2297500</v>
      </c>
      <c r="K229" s="1429">
        <f aca="true" t="shared" si="11" ref="K229:R229">SUM(K138,K142,K146,K150,K154,K158,K162,K166,K170,K198,K203,K207)+K194+K190+K183+K179+K175+K186+K213+K210</f>
        <v>1422175</v>
      </c>
      <c r="L229" s="1429">
        <f t="shared" si="11"/>
        <v>254784</v>
      </c>
      <c r="M229" s="1429">
        <f t="shared" si="11"/>
        <v>523288</v>
      </c>
      <c r="N229" s="1429">
        <f t="shared" si="11"/>
        <v>0</v>
      </c>
      <c r="O229" s="1429">
        <f t="shared" si="11"/>
        <v>47061</v>
      </c>
      <c r="P229" s="1429">
        <f t="shared" si="11"/>
        <v>50192</v>
      </c>
      <c r="Q229" s="1429">
        <f t="shared" si="11"/>
        <v>0</v>
      </c>
      <c r="R229" s="1433">
        <f t="shared" si="11"/>
        <v>0</v>
      </c>
      <c r="S229" s="654"/>
      <c r="T229" s="654"/>
      <c r="U229" s="654"/>
      <c r="V229" s="654"/>
      <c r="W229" s="654"/>
      <c r="X229" s="654"/>
      <c r="Y229" s="654"/>
      <c r="Z229" s="654"/>
      <c r="AA229" s="654"/>
      <c r="AB229" s="654"/>
      <c r="AC229" s="654"/>
      <c r="AD229" s="654"/>
      <c r="AE229" s="654"/>
    </row>
    <row r="230" spans="1:31" s="593" customFormat="1" ht="18" customHeight="1" thickBot="1">
      <c r="A230" s="98">
        <v>222</v>
      </c>
      <c r="B230" s="1130"/>
      <c r="C230" s="587"/>
      <c r="D230" s="1103"/>
      <c r="E230" s="1090" t="s">
        <v>893</v>
      </c>
      <c r="F230" s="1129"/>
      <c r="G230" s="608"/>
      <c r="H230" s="608"/>
      <c r="I230" s="630"/>
      <c r="J230" s="1111">
        <f>SUM(K230:R230)</f>
        <v>843021</v>
      </c>
      <c r="K230" s="273">
        <f aca="true" t="shared" si="12" ref="K230:R230">K208+K204+K199+K195+K191+K184+K180+K176+K171+K167+K163+K159+K155+K151+K147+K143+K139+K187+K211+K214</f>
        <v>589485</v>
      </c>
      <c r="L230" s="273">
        <f>L208+L204+L199+L195+L191+L184+L180+L176+L171+L167+L163+L159+L155+L151+L147+L143+L139+L187+L211+L214</f>
        <v>103152</v>
      </c>
      <c r="M230" s="273">
        <f t="shared" si="12"/>
        <v>102421</v>
      </c>
      <c r="N230" s="273">
        <f t="shared" si="12"/>
        <v>0</v>
      </c>
      <c r="O230" s="273">
        <f t="shared" si="12"/>
        <v>47060</v>
      </c>
      <c r="P230" s="273">
        <f t="shared" si="12"/>
        <v>903</v>
      </c>
      <c r="Q230" s="273">
        <f t="shared" si="12"/>
        <v>0</v>
      </c>
      <c r="R230" s="274">
        <f t="shared" si="12"/>
        <v>0</v>
      </c>
      <c r="S230" s="654"/>
      <c r="T230" s="654"/>
      <c r="U230" s="654"/>
      <c r="V230" s="654"/>
      <c r="W230" s="654"/>
      <c r="X230" s="654"/>
      <c r="Y230" s="654"/>
      <c r="Z230" s="654"/>
      <c r="AA230" s="654"/>
      <c r="AB230" s="654"/>
      <c r="AC230" s="654"/>
      <c r="AD230" s="654"/>
      <c r="AE230" s="654"/>
    </row>
    <row r="231" spans="1:31" s="31" customFormat="1" ht="36" customHeight="1">
      <c r="A231" s="98">
        <v>223</v>
      </c>
      <c r="B231" s="1816" t="s">
        <v>13</v>
      </c>
      <c r="C231" s="1817"/>
      <c r="D231" s="1817"/>
      <c r="E231" s="1818"/>
      <c r="F231" s="649"/>
      <c r="G231" s="619">
        <f>SUM(G227,G131)</f>
        <v>8054296</v>
      </c>
      <c r="H231" s="619">
        <f>SUM(H227,H131)</f>
        <v>8038573</v>
      </c>
      <c r="I231" s="619">
        <f>SUM(I227,I131)</f>
        <v>7660387</v>
      </c>
      <c r="J231" s="650"/>
      <c r="K231" s="619"/>
      <c r="L231" s="619"/>
      <c r="M231" s="619"/>
      <c r="N231" s="619"/>
      <c r="O231" s="619"/>
      <c r="P231" s="619"/>
      <c r="Q231" s="619"/>
      <c r="R231" s="651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</row>
    <row r="232" spans="1:31" s="593" customFormat="1" ht="18" customHeight="1">
      <c r="A232" s="98">
        <v>224</v>
      </c>
      <c r="B232" s="620"/>
      <c r="C232" s="599"/>
      <c r="D232" s="638"/>
      <c r="E232" s="1126" t="s">
        <v>283</v>
      </c>
      <c r="F232" s="1127"/>
      <c r="G232" s="614"/>
      <c r="H232" s="614"/>
      <c r="I232" s="639"/>
      <c r="J232" s="640">
        <f>SUM(K232:R232)</f>
        <v>8835002</v>
      </c>
      <c r="K232" s="1124">
        <f aca="true" t="shared" si="13" ref="K232:R233">SUM(K228,K132)</f>
        <v>5077497</v>
      </c>
      <c r="L232" s="1124">
        <f t="shared" si="13"/>
        <v>860098</v>
      </c>
      <c r="M232" s="1124">
        <f t="shared" si="13"/>
        <v>2751198</v>
      </c>
      <c r="N232" s="1124">
        <f t="shared" si="13"/>
        <v>0</v>
      </c>
      <c r="O232" s="1124">
        <f t="shared" si="13"/>
        <v>0</v>
      </c>
      <c r="P232" s="1124">
        <f t="shared" si="13"/>
        <v>146209</v>
      </c>
      <c r="Q232" s="1124">
        <f t="shared" si="13"/>
        <v>0</v>
      </c>
      <c r="R232" s="1125">
        <f t="shared" si="13"/>
        <v>0</v>
      </c>
      <c r="S232" s="654"/>
      <c r="T232" s="654"/>
      <c r="U232" s="654"/>
      <c r="V232" s="654"/>
      <c r="W232" s="654"/>
      <c r="X232" s="654"/>
      <c r="Y232" s="654"/>
      <c r="Z232" s="654"/>
      <c r="AA232" s="654"/>
      <c r="AB232" s="654"/>
      <c r="AC232" s="654"/>
      <c r="AD232" s="654"/>
      <c r="AE232" s="654"/>
    </row>
    <row r="233" spans="1:31" s="593" customFormat="1" ht="18" customHeight="1">
      <c r="A233" s="98">
        <v>225</v>
      </c>
      <c r="B233" s="620"/>
      <c r="C233" s="1430"/>
      <c r="D233" s="638"/>
      <c r="E233" s="478" t="s">
        <v>757</v>
      </c>
      <c r="F233" s="1127"/>
      <c r="G233" s="614"/>
      <c r="H233" s="614"/>
      <c r="I233" s="639"/>
      <c r="J233" s="1424">
        <f>SUM(K233:R233)</f>
        <v>9879838</v>
      </c>
      <c r="K233" s="1429">
        <f t="shared" si="13"/>
        <v>5436760</v>
      </c>
      <c r="L233" s="1429">
        <f t="shared" si="13"/>
        <v>921653</v>
      </c>
      <c r="M233" s="1429">
        <f t="shared" si="13"/>
        <v>3120042</v>
      </c>
      <c r="N233" s="1429">
        <f t="shared" si="13"/>
        <v>0</v>
      </c>
      <c r="O233" s="1429">
        <f t="shared" si="13"/>
        <v>47324</v>
      </c>
      <c r="P233" s="1429">
        <f t="shared" si="13"/>
        <v>354059</v>
      </c>
      <c r="Q233" s="1429">
        <f t="shared" si="13"/>
        <v>0</v>
      </c>
      <c r="R233" s="1433">
        <f t="shared" si="13"/>
        <v>0</v>
      </c>
      <c r="S233" s="654"/>
      <c r="T233" s="654"/>
      <c r="U233" s="654"/>
      <c r="V233" s="654"/>
      <c r="W233" s="654"/>
      <c r="X233" s="654"/>
      <c r="Y233" s="654"/>
      <c r="Z233" s="654"/>
      <c r="AA233" s="654"/>
      <c r="AB233" s="654"/>
      <c r="AC233" s="654"/>
      <c r="AD233" s="654"/>
      <c r="AE233" s="654"/>
    </row>
    <row r="234" spans="1:31" s="593" customFormat="1" ht="18" customHeight="1" thickBot="1">
      <c r="A234" s="98">
        <v>226</v>
      </c>
      <c r="B234" s="586"/>
      <c r="C234" s="1128"/>
      <c r="D234" s="628"/>
      <c r="E234" s="1090" t="s">
        <v>893</v>
      </c>
      <c r="F234" s="1129"/>
      <c r="G234" s="608"/>
      <c r="H234" s="608"/>
      <c r="I234" s="630"/>
      <c r="J234" s="1111">
        <f>SUM(K234:R234)</f>
        <v>3765567</v>
      </c>
      <c r="K234" s="1132">
        <f aca="true" t="shared" si="14" ref="K234:R234">K230+K134</f>
        <v>2341812</v>
      </c>
      <c r="L234" s="1132">
        <f t="shared" si="14"/>
        <v>359979</v>
      </c>
      <c r="M234" s="1132">
        <f t="shared" si="14"/>
        <v>926391</v>
      </c>
      <c r="N234" s="1132">
        <f t="shared" si="14"/>
        <v>0</v>
      </c>
      <c r="O234" s="1132">
        <f t="shared" si="14"/>
        <v>47322</v>
      </c>
      <c r="P234" s="1132">
        <f t="shared" si="14"/>
        <v>90063</v>
      </c>
      <c r="Q234" s="1132">
        <f t="shared" si="14"/>
        <v>0</v>
      </c>
      <c r="R234" s="1133">
        <f t="shared" si="14"/>
        <v>0</v>
      </c>
      <c r="S234" s="654"/>
      <c r="T234" s="654"/>
      <c r="U234" s="654"/>
      <c r="V234" s="654"/>
      <c r="W234" s="654"/>
      <c r="X234" s="654"/>
      <c r="Y234" s="654"/>
      <c r="Z234" s="654"/>
      <c r="AA234" s="654"/>
      <c r="AB234" s="654"/>
      <c r="AC234" s="654"/>
      <c r="AD234" s="654"/>
      <c r="AE234" s="654"/>
    </row>
    <row r="235" spans="1:31" s="29" customFormat="1" ht="15" customHeight="1">
      <c r="A235" s="98">
        <v>227</v>
      </c>
      <c r="B235" s="1887" t="s">
        <v>152</v>
      </c>
      <c r="C235" s="1888"/>
      <c r="D235" s="1888"/>
      <c r="E235" s="1889"/>
      <c r="F235" s="361"/>
      <c r="G235" s="282"/>
      <c r="H235" s="282"/>
      <c r="I235" s="362"/>
      <c r="J235" s="286"/>
      <c r="K235" s="282"/>
      <c r="L235" s="282"/>
      <c r="M235" s="282"/>
      <c r="N235" s="282"/>
      <c r="O235" s="282"/>
      <c r="P235" s="282"/>
      <c r="Q235" s="282"/>
      <c r="R235" s="283"/>
      <c r="S235" s="20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</row>
    <row r="236" spans="1:31" s="29" customFormat="1" ht="15" customHeight="1">
      <c r="A236" s="98">
        <v>228</v>
      </c>
      <c r="B236" s="1878" t="s">
        <v>153</v>
      </c>
      <c r="C236" s="1879"/>
      <c r="D236" s="1879"/>
      <c r="E236" s="1880"/>
      <c r="F236" s="1880"/>
      <c r="G236" s="265">
        <f>SUM(G66:G101,G62,G41,G127)</f>
        <v>5457000</v>
      </c>
      <c r="H236" s="265">
        <f>SUM(H66:H101,H62,H41,H127)-H70-H82-H91-H100</f>
        <v>5482717</v>
      </c>
      <c r="I236" s="360">
        <f>SUM(I66:I101,I62,I41,I127)+I102</f>
        <v>5189835</v>
      </c>
      <c r="J236" s="285"/>
      <c r="K236" s="229"/>
      <c r="L236" s="229"/>
      <c r="M236" s="229"/>
      <c r="N236" s="229"/>
      <c r="O236" s="229"/>
      <c r="P236" s="229"/>
      <c r="Q236" s="229"/>
      <c r="R236" s="242"/>
      <c r="S236" s="20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</row>
    <row r="237" spans="1:31" s="635" customFormat="1" ht="15" customHeight="1">
      <c r="A237" s="98">
        <v>229</v>
      </c>
      <c r="B237" s="655"/>
      <c r="C237" s="656"/>
      <c r="D237" s="656"/>
      <c r="E237" s="629" t="s">
        <v>283</v>
      </c>
      <c r="F237" s="657"/>
      <c r="G237" s="658"/>
      <c r="H237" s="658"/>
      <c r="I237" s="667"/>
      <c r="J237" s="652">
        <f>SUM(K237:R237)</f>
        <v>6039998</v>
      </c>
      <c r="K237" s="652">
        <f aca="true" t="shared" si="15" ref="K237:R237">SUM(K42,K63,K67,K72,K79,K88,K93,K97,K101,K128,)+K103+K84</f>
        <v>3192947</v>
      </c>
      <c r="L237" s="652">
        <f t="shared" si="15"/>
        <v>561642</v>
      </c>
      <c r="M237" s="652">
        <f t="shared" si="15"/>
        <v>2177206</v>
      </c>
      <c r="N237" s="652">
        <f t="shared" si="15"/>
        <v>0</v>
      </c>
      <c r="O237" s="652">
        <f t="shared" si="15"/>
        <v>0</v>
      </c>
      <c r="P237" s="652">
        <f t="shared" si="15"/>
        <v>108203</v>
      </c>
      <c r="Q237" s="652">
        <f t="shared" si="15"/>
        <v>0</v>
      </c>
      <c r="R237" s="653">
        <f t="shared" si="15"/>
        <v>0</v>
      </c>
      <c r="S237" s="636"/>
      <c r="T237" s="634"/>
      <c r="U237" s="634"/>
      <c r="V237" s="634"/>
      <c r="W237" s="634"/>
      <c r="X237" s="634"/>
      <c r="Y237" s="634"/>
      <c r="Z237" s="634"/>
      <c r="AA237" s="634"/>
      <c r="AB237" s="634"/>
      <c r="AC237" s="634"/>
      <c r="AD237" s="634"/>
      <c r="AE237" s="634"/>
    </row>
    <row r="238" spans="1:31" s="635" customFormat="1" ht="15" customHeight="1">
      <c r="A238" s="98">
        <v>230</v>
      </c>
      <c r="B238" s="655"/>
      <c r="C238" s="656"/>
      <c r="D238" s="656"/>
      <c r="E238" s="478" t="s">
        <v>757</v>
      </c>
      <c r="F238" s="657"/>
      <c r="G238" s="658"/>
      <c r="H238" s="658"/>
      <c r="I238" s="659"/>
      <c r="J238" s="285">
        <f>SUM(K238:R238)</f>
        <v>6463390</v>
      </c>
      <c r="K238" s="280">
        <f aca="true" t="shared" si="16" ref="K238:R238">SUM(K43,K64,K68,K73,K80,K89,K94,K98,K129,)+K104+K85+K76</f>
        <v>3359640</v>
      </c>
      <c r="L238" s="280">
        <f t="shared" si="16"/>
        <v>581390</v>
      </c>
      <c r="M238" s="280">
        <f t="shared" si="16"/>
        <v>2309082</v>
      </c>
      <c r="N238" s="280">
        <f t="shared" si="16"/>
        <v>0</v>
      </c>
      <c r="O238" s="280">
        <f t="shared" si="16"/>
        <v>0</v>
      </c>
      <c r="P238" s="280">
        <f t="shared" si="16"/>
        <v>213278</v>
      </c>
      <c r="Q238" s="280">
        <f t="shared" si="16"/>
        <v>0</v>
      </c>
      <c r="R238" s="281">
        <f t="shared" si="16"/>
        <v>0</v>
      </c>
      <c r="S238" s="636"/>
      <c r="T238" s="634"/>
      <c r="U238" s="634"/>
      <c r="V238" s="634"/>
      <c r="W238" s="634"/>
      <c r="X238" s="634"/>
      <c r="Y238" s="634"/>
      <c r="Z238" s="634"/>
      <c r="AA238" s="634"/>
      <c r="AB238" s="634"/>
      <c r="AC238" s="634"/>
      <c r="AD238" s="634"/>
      <c r="AE238" s="634"/>
    </row>
    <row r="239" spans="1:31" s="635" customFormat="1" ht="15" customHeight="1">
      <c r="A239" s="98">
        <v>231</v>
      </c>
      <c r="B239" s="655"/>
      <c r="C239" s="656"/>
      <c r="D239" s="656"/>
      <c r="E239" s="1090" t="s">
        <v>893</v>
      </c>
      <c r="F239" s="657"/>
      <c r="G239" s="658"/>
      <c r="H239" s="658"/>
      <c r="I239" s="659"/>
      <c r="J239" s="1111">
        <f>SUM(K239:R239)</f>
        <v>2525940</v>
      </c>
      <c r="K239" s="1132">
        <f>K130+K105+K99+K95+K90+K86+K81+K74+K69+K65+K44+K77</f>
        <v>1501172</v>
      </c>
      <c r="L239" s="1132">
        <f aca="true" t="shared" si="17" ref="L239:R239">L130+L105+L99+L95+L90+L86+L81+L74+L69+L65+L44+L77</f>
        <v>243272</v>
      </c>
      <c r="M239" s="1132">
        <f t="shared" si="17"/>
        <v>705403</v>
      </c>
      <c r="N239" s="1132">
        <f t="shared" si="17"/>
        <v>0</v>
      </c>
      <c r="O239" s="1132">
        <f t="shared" si="17"/>
        <v>0</v>
      </c>
      <c r="P239" s="1132">
        <f t="shared" si="17"/>
        <v>76093</v>
      </c>
      <c r="Q239" s="1132">
        <f t="shared" si="17"/>
        <v>0</v>
      </c>
      <c r="R239" s="1133">
        <f t="shared" si="17"/>
        <v>0</v>
      </c>
      <c r="S239" s="636"/>
      <c r="T239" s="634"/>
      <c r="U239" s="634"/>
      <c r="V239" s="634"/>
      <c r="W239" s="634"/>
      <c r="X239" s="634"/>
      <c r="Y239" s="634"/>
      <c r="Z239" s="634"/>
      <c r="AA239" s="634"/>
      <c r="AB239" s="634"/>
      <c r="AC239" s="634"/>
      <c r="AD239" s="634"/>
      <c r="AE239" s="634"/>
    </row>
    <row r="240" spans="1:31" s="29" customFormat="1" ht="15" customHeight="1">
      <c r="A240" s="98">
        <v>232</v>
      </c>
      <c r="B240" s="1878" t="s">
        <v>152</v>
      </c>
      <c r="C240" s="1879"/>
      <c r="D240" s="1879"/>
      <c r="E240" s="1880"/>
      <c r="F240" s="363"/>
      <c r="G240" s="265"/>
      <c r="H240" s="265"/>
      <c r="I240" s="360"/>
      <c r="J240" s="287"/>
      <c r="K240" s="265"/>
      <c r="L240" s="265"/>
      <c r="M240" s="265"/>
      <c r="N240" s="265"/>
      <c r="O240" s="265"/>
      <c r="P240" s="265"/>
      <c r="Q240" s="265"/>
      <c r="R240" s="275"/>
      <c r="S240" s="20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</row>
    <row r="241" spans="1:31" s="29" customFormat="1" ht="15" customHeight="1">
      <c r="A241" s="98">
        <v>233</v>
      </c>
      <c r="B241" s="1878" t="s">
        <v>154</v>
      </c>
      <c r="C241" s="1879"/>
      <c r="D241" s="1879"/>
      <c r="E241" s="1880"/>
      <c r="F241" s="1880"/>
      <c r="G241" s="265">
        <f>SUM(G106:G120)</f>
        <v>1014307</v>
      </c>
      <c r="H241" s="265">
        <f>SUM(H106:H120)</f>
        <v>880295</v>
      </c>
      <c r="I241" s="360">
        <f>SUM(I106:I120)</f>
        <v>979645</v>
      </c>
      <c r="J241" s="287"/>
      <c r="K241" s="265"/>
      <c r="L241" s="265"/>
      <c r="M241" s="265"/>
      <c r="N241" s="265"/>
      <c r="O241" s="265"/>
      <c r="P241" s="265"/>
      <c r="Q241" s="265"/>
      <c r="R241" s="275"/>
      <c r="S241" s="20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</row>
    <row r="242" spans="1:31" s="635" customFormat="1" ht="15" customHeight="1">
      <c r="A242" s="98">
        <v>234</v>
      </c>
      <c r="B242" s="655"/>
      <c r="C242" s="656"/>
      <c r="D242" s="656"/>
      <c r="E242" s="629" t="s">
        <v>283</v>
      </c>
      <c r="F242" s="657"/>
      <c r="G242" s="658"/>
      <c r="H242" s="658"/>
      <c r="I242" s="659"/>
      <c r="J242" s="660">
        <f>SUM(K242:R242)</f>
        <v>905820</v>
      </c>
      <c r="K242" s="652">
        <f aca="true" t="shared" si="18" ref="K242:R243">SUM(K107,K111,K120)+K116</f>
        <v>556957</v>
      </c>
      <c r="L242" s="652">
        <f t="shared" si="18"/>
        <v>78110</v>
      </c>
      <c r="M242" s="652">
        <f t="shared" si="18"/>
        <v>266753</v>
      </c>
      <c r="N242" s="652">
        <f t="shared" si="18"/>
        <v>0</v>
      </c>
      <c r="O242" s="652">
        <f t="shared" si="18"/>
        <v>0</v>
      </c>
      <c r="P242" s="652">
        <f t="shared" si="18"/>
        <v>4000</v>
      </c>
      <c r="Q242" s="652">
        <f t="shared" si="18"/>
        <v>0</v>
      </c>
      <c r="R242" s="653">
        <f t="shared" si="18"/>
        <v>0</v>
      </c>
      <c r="S242" s="636"/>
      <c r="T242" s="634"/>
      <c r="U242" s="634"/>
      <c r="V242" s="634"/>
      <c r="W242" s="634"/>
      <c r="X242" s="634"/>
      <c r="Y242" s="634"/>
      <c r="Z242" s="634"/>
      <c r="AA242" s="634"/>
      <c r="AB242" s="634"/>
      <c r="AC242" s="634"/>
      <c r="AD242" s="634"/>
      <c r="AE242" s="634"/>
    </row>
    <row r="243" spans="1:31" s="635" customFormat="1" ht="15" customHeight="1">
      <c r="A243" s="98">
        <v>235</v>
      </c>
      <c r="B243" s="655"/>
      <c r="C243" s="656"/>
      <c r="D243" s="656"/>
      <c r="E243" s="478" t="s">
        <v>757</v>
      </c>
      <c r="F243" s="657"/>
      <c r="G243" s="658"/>
      <c r="H243" s="658"/>
      <c r="I243" s="659"/>
      <c r="J243" s="285">
        <f>SUM(K243:R243)</f>
        <v>1118948</v>
      </c>
      <c r="K243" s="280">
        <f t="shared" si="18"/>
        <v>654945</v>
      </c>
      <c r="L243" s="280">
        <f t="shared" si="18"/>
        <v>85479</v>
      </c>
      <c r="M243" s="280">
        <f t="shared" si="18"/>
        <v>287672</v>
      </c>
      <c r="N243" s="280">
        <f t="shared" si="18"/>
        <v>0</v>
      </c>
      <c r="O243" s="280">
        <f t="shared" si="18"/>
        <v>263</v>
      </c>
      <c r="P243" s="280">
        <f t="shared" si="18"/>
        <v>90589</v>
      </c>
      <c r="Q243" s="280">
        <f t="shared" si="18"/>
        <v>0</v>
      </c>
      <c r="R243" s="281">
        <f t="shared" si="18"/>
        <v>0</v>
      </c>
      <c r="S243" s="636"/>
      <c r="T243" s="634"/>
      <c r="U243" s="634"/>
      <c r="V243" s="634"/>
      <c r="W243" s="634"/>
      <c r="X243" s="634"/>
      <c r="Y243" s="634"/>
      <c r="Z243" s="634"/>
      <c r="AA243" s="634"/>
      <c r="AB243" s="634"/>
      <c r="AC243" s="634"/>
      <c r="AD243" s="634"/>
      <c r="AE243" s="634"/>
    </row>
    <row r="244" spans="1:31" s="635" customFormat="1" ht="15" customHeight="1">
      <c r="A244" s="98">
        <v>236</v>
      </c>
      <c r="B244" s="655"/>
      <c r="C244" s="656"/>
      <c r="D244" s="656"/>
      <c r="E244" s="1090" t="s">
        <v>893</v>
      </c>
      <c r="F244" s="657"/>
      <c r="G244" s="658"/>
      <c r="H244" s="658"/>
      <c r="I244" s="659"/>
      <c r="J244" s="1111">
        <f>SUM(K244:R244)</f>
        <v>396606</v>
      </c>
      <c r="K244" s="1132">
        <f aca="true" t="shared" si="19" ref="K244:R244">K122+K118+K113+K109</f>
        <v>251155</v>
      </c>
      <c r="L244" s="1132">
        <f t="shared" si="19"/>
        <v>13555</v>
      </c>
      <c r="M244" s="1132">
        <f t="shared" si="19"/>
        <v>118567</v>
      </c>
      <c r="N244" s="1132">
        <f t="shared" si="19"/>
        <v>0</v>
      </c>
      <c r="O244" s="1132">
        <f t="shared" si="19"/>
        <v>262</v>
      </c>
      <c r="P244" s="1132">
        <f t="shared" si="19"/>
        <v>13067</v>
      </c>
      <c r="Q244" s="1132">
        <f t="shared" si="19"/>
        <v>0</v>
      </c>
      <c r="R244" s="1133">
        <f t="shared" si="19"/>
        <v>0</v>
      </c>
      <c r="S244" s="636"/>
      <c r="T244" s="634"/>
      <c r="U244" s="634"/>
      <c r="V244" s="634"/>
      <c r="W244" s="634"/>
      <c r="X244" s="634"/>
      <c r="Y244" s="634"/>
      <c r="Z244" s="634"/>
      <c r="AA244" s="634"/>
      <c r="AB244" s="634"/>
      <c r="AC244" s="634"/>
      <c r="AD244" s="634"/>
      <c r="AE244" s="634"/>
    </row>
    <row r="245" spans="1:31" s="29" customFormat="1" ht="15" customHeight="1">
      <c r="A245" s="98">
        <v>237</v>
      </c>
      <c r="B245" s="1878" t="s">
        <v>152</v>
      </c>
      <c r="C245" s="1879"/>
      <c r="D245" s="1879"/>
      <c r="E245" s="1880"/>
      <c r="F245" s="363"/>
      <c r="G245" s="265"/>
      <c r="H245" s="265"/>
      <c r="I245" s="360"/>
      <c r="J245" s="287"/>
      <c r="K245" s="280"/>
      <c r="L245" s="280"/>
      <c r="M245" s="280"/>
      <c r="N245" s="280"/>
      <c r="O245" s="280"/>
      <c r="P245" s="280"/>
      <c r="Q245" s="280"/>
      <c r="R245" s="281"/>
      <c r="S245" s="20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</row>
    <row r="246" spans="1:31" s="29" customFormat="1" ht="15" customHeight="1">
      <c r="A246" s="98">
        <v>238</v>
      </c>
      <c r="B246" s="1881" t="s">
        <v>155</v>
      </c>
      <c r="C246" s="1882"/>
      <c r="D246" s="1882"/>
      <c r="E246" s="1883"/>
      <c r="F246" s="1883"/>
      <c r="G246" s="263">
        <f>SUM(G227)</f>
        <v>1582989</v>
      </c>
      <c r="H246" s="263">
        <f>SUM(H227)</f>
        <v>1675561</v>
      </c>
      <c r="I246" s="364">
        <f>SUM(I227)</f>
        <v>1490907</v>
      </c>
      <c r="J246" s="287"/>
      <c r="K246" s="265"/>
      <c r="L246" s="265"/>
      <c r="M246" s="265"/>
      <c r="N246" s="265"/>
      <c r="O246" s="265"/>
      <c r="P246" s="265"/>
      <c r="Q246" s="265"/>
      <c r="R246" s="275"/>
      <c r="S246" s="20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</row>
    <row r="247" spans="1:31" s="661" customFormat="1" ht="15" customHeight="1">
      <c r="A247" s="98">
        <v>239</v>
      </c>
      <c r="B247" s="1118"/>
      <c r="C247" s="1119"/>
      <c r="D247" s="1119"/>
      <c r="E247" s="621" t="s">
        <v>283</v>
      </c>
      <c r="F247" s="1120"/>
      <c r="G247" s="1121"/>
      <c r="H247" s="1121"/>
      <c r="I247" s="1122"/>
      <c r="J247" s="1123">
        <f>SUM(K247:R247)</f>
        <v>1889184</v>
      </c>
      <c r="K247" s="1124">
        <f aca="true" t="shared" si="20" ref="K247:R249">K228</f>
        <v>1327593</v>
      </c>
      <c r="L247" s="1124">
        <f t="shared" si="20"/>
        <v>220346</v>
      </c>
      <c r="M247" s="1124">
        <f t="shared" si="20"/>
        <v>307239</v>
      </c>
      <c r="N247" s="1124">
        <f t="shared" si="20"/>
        <v>0</v>
      </c>
      <c r="O247" s="1124">
        <f t="shared" si="20"/>
        <v>0</v>
      </c>
      <c r="P247" s="1124">
        <f t="shared" si="20"/>
        <v>34006</v>
      </c>
      <c r="Q247" s="1124">
        <f t="shared" si="20"/>
        <v>0</v>
      </c>
      <c r="R247" s="1125">
        <f t="shared" si="20"/>
        <v>0</v>
      </c>
      <c r="S247" s="643"/>
      <c r="T247" s="643"/>
      <c r="U247" s="643"/>
      <c r="V247" s="643"/>
      <c r="W247" s="643"/>
      <c r="X247" s="643"/>
      <c r="Y247" s="643"/>
      <c r="Z247" s="643"/>
      <c r="AA247" s="643"/>
      <c r="AB247" s="643"/>
      <c r="AC247" s="643"/>
      <c r="AD247" s="643"/>
      <c r="AE247" s="643"/>
    </row>
    <row r="248" spans="1:31" s="661" customFormat="1" ht="15" customHeight="1">
      <c r="A248" s="98">
        <v>240</v>
      </c>
      <c r="B248" s="1118"/>
      <c r="C248" s="1119"/>
      <c r="D248" s="1119"/>
      <c r="E248" s="478" t="s">
        <v>757</v>
      </c>
      <c r="F248" s="1120"/>
      <c r="G248" s="1121"/>
      <c r="H248" s="1121"/>
      <c r="I248" s="1122"/>
      <c r="J248" s="1431">
        <f>SUM(K248:R248)</f>
        <v>2297500</v>
      </c>
      <c r="K248" s="1429">
        <f t="shared" si="20"/>
        <v>1422175</v>
      </c>
      <c r="L248" s="1429">
        <f t="shared" si="20"/>
        <v>254784</v>
      </c>
      <c r="M248" s="1429">
        <f t="shared" si="20"/>
        <v>523288</v>
      </c>
      <c r="N248" s="1429">
        <f t="shared" si="20"/>
        <v>0</v>
      </c>
      <c r="O248" s="1429">
        <f t="shared" si="20"/>
        <v>47061</v>
      </c>
      <c r="P248" s="1429">
        <f t="shared" si="20"/>
        <v>50192</v>
      </c>
      <c r="Q248" s="1429">
        <f t="shared" si="20"/>
        <v>0</v>
      </c>
      <c r="R248" s="1433">
        <f t="shared" si="20"/>
        <v>0</v>
      </c>
      <c r="S248" s="643"/>
      <c r="T248" s="643"/>
      <c r="U248" s="643"/>
      <c r="V248" s="643"/>
      <c r="W248" s="643"/>
      <c r="X248" s="643"/>
      <c r="Y248" s="643"/>
      <c r="Z248" s="643"/>
      <c r="AA248" s="643"/>
      <c r="AB248" s="643"/>
      <c r="AC248" s="643"/>
      <c r="AD248" s="643"/>
      <c r="AE248" s="643"/>
    </row>
    <row r="249" spans="1:31" s="661" customFormat="1" ht="15" customHeight="1" thickBot="1">
      <c r="A249" s="98">
        <v>241</v>
      </c>
      <c r="B249" s="1751"/>
      <c r="C249" s="1752"/>
      <c r="D249" s="1752"/>
      <c r="E249" s="1613" t="s">
        <v>893</v>
      </c>
      <c r="F249" s="1752"/>
      <c r="G249" s="1753"/>
      <c r="H249" s="1753"/>
      <c r="I249" s="1754"/>
      <c r="J249" s="1755">
        <f>SUM(K249:R249)</f>
        <v>843021</v>
      </c>
      <c r="K249" s="1756">
        <f t="shared" si="20"/>
        <v>589485</v>
      </c>
      <c r="L249" s="1756">
        <f t="shared" si="20"/>
        <v>103152</v>
      </c>
      <c r="M249" s="1756">
        <f t="shared" si="20"/>
        <v>102421</v>
      </c>
      <c r="N249" s="1756">
        <f t="shared" si="20"/>
        <v>0</v>
      </c>
      <c r="O249" s="1756">
        <f t="shared" si="20"/>
        <v>47060</v>
      </c>
      <c r="P249" s="1756">
        <f t="shared" si="20"/>
        <v>903</v>
      </c>
      <c r="Q249" s="1756">
        <f t="shared" si="20"/>
        <v>0</v>
      </c>
      <c r="R249" s="1757">
        <f t="shared" si="20"/>
        <v>0</v>
      </c>
      <c r="S249" s="643"/>
      <c r="T249" s="643"/>
      <c r="U249" s="643"/>
      <c r="V249" s="643"/>
      <c r="W249" s="643"/>
      <c r="X249" s="643"/>
      <c r="Y249" s="643"/>
      <c r="Z249" s="643"/>
      <c r="AA249" s="643"/>
      <c r="AB249" s="643"/>
      <c r="AC249" s="643"/>
      <c r="AD249" s="643"/>
      <c r="AE249" s="643"/>
    </row>
    <row r="250" spans="1:31" s="664" customFormat="1" ht="18" customHeight="1">
      <c r="A250" s="662"/>
      <c r="B250" s="666" t="s">
        <v>26</v>
      </c>
      <c r="C250" s="666"/>
      <c r="D250" s="666"/>
      <c r="E250" s="663"/>
      <c r="F250" s="433"/>
      <c r="G250" s="434"/>
      <c r="H250" s="434"/>
      <c r="I250" s="434"/>
      <c r="J250" s="435"/>
      <c r="K250" s="434"/>
      <c r="L250" s="434"/>
      <c r="M250" s="434"/>
      <c r="N250" s="434"/>
      <c r="O250" s="434"/>
      <c r="P250" s="434"/>
      <c r="Q250" s="434"/>
      <c r="R250" s="434"/>
      <c r="S250" s="1531"/>
      <c r="T250" s="1531"/>
      <c r="U250" s="1531"/>
      <c r="V250" s="1531"/>
      <c r="W250" s="1531"/>
      <c r="X250" s="1531"/>
      <c r="Y250" s="1531"/>
      <c r="Z250" s="1531"/>
      <c r="AA250" s="1531"/>
      <c r="AB250" s="1531"/>
      <c r="AC250" s="1531"/>
      <c r="AD250" s="1531"/>
      <c r="AE250" s="1531"/>
    </row>
    <row r="251" spans="1:31" s="112" customFormat="1" ht="18" customHeight="1">
      <c r="A251" s="662"/>
      <c r="B251" s="665" t="s">
        <v>27</v>
      </c>
      <c r="C251" s="665"/>
      <c r="D251" s="665"/>
      <c r="E251" s="28"/>
      <c r="F251" s="28"/>
      <c r="G251" s="28"/>
      <c r="H251" s="28"/>
      <c r="I251" s="28"/>
      <c r="J251" s="28"/>
      <c r="K251" s="88"/>
      <c r="L251" s="88"/>
      <c r="M251" s="88"/>
      <c r="N251" s="88"/>
      <c r="O251" s="88"/>
      <c r="P251" s="88"/>
      <c r="Q251" s="88"/>
      <c r="R251" s="88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</row>
    <row r="252" spans="1:31" s="27" customFormat="1" ht="18" customHeight="1">
      <c r="A252" s="662"/>
      <c r="B252" s="665" t="s">
        <v>28</v>
      </c>
      <c r="C252" s="665"/>
      <c r="D252" s="665"/>
      <c r="E252" s="28"/>
      <c r="F252" s="349"/>
      <c r="G252" s="88"/>
      <c r="H252" s="88"/>
      <c r="I252" s="88"/>
      <c r="J252" s="472"/>
      <c r="K252" s="88"/>
      <c r="L252" s="88"/>
      <c r="M252" s="88"/>
      <c r="N252" s="88"/>
      <c r="O252" s="88"/>
      <c r="P252" s="88"/>
      <c r="Q252" s="88"/>
      <c r="R252" s="88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C252" s="199"/>
      <c r="AD252" s="199"/>
      <c r="AE252" s="199"/>
    </row>
    <row r="253" spans="7:18" ht="15">
      <c r="G253" s="199">
        <f>+G231-G236-G241-G246</f>
        <v>0</v>
      </c>
      <c r="H253" s="199">
        <f>+H231-H236-H241-H246</f>
        <v>0</v>
      </c>
      <c r="I253" s="199">
        <f>+I231-I236-I241-I246</f>
        <v>0</v>
      </c>
      <c r="J253" s="114">
        <f aca="true" t="shared" si="21" ref="J253:R253">+J232-J237-J242-J247</f>
        <v>0</v>
      </c>
      <c r="K253" s="114">
        <f t="shared" si="21"/>
        <v>0</v>
      </c>
      <c r="L253" s="114">
        <f t="shared" si="21"/>
        <v>0</v>
      </c>
      <c r="M253" s="114">
        <f t="shared" si="21"/>
        <v>0</v>
      </c>
      <c r="N253" s="114">
        <f t="shared" si="21"/>
        <v>0</v>
      </c>
      <c r="O253" s="114">
        <f t="shared" si="21"/>
        <v>0</v>
      </c>
      <c r="P253" s="114">
        <f t="shared" si="21"/>
        <v>0</v>
      </c>
      <c r="Q253" s="114">
        <f t="shared" si="21"/>
        <v>0</v>
      </c>
      <c r="R253" s="114">
        <f t="shared" si="21"/>
        <v>0</v>
      </c>
    </row>
    <row r="254" spans="7:10" ht="15">
      <c r="G254" s="199">
        <f>+G231-'2.Onki'!G8</f>
        <v>0</v>
      </c>
      <c r="H254" s="199">
        <f>+H231-'2.Onki'!H8</f>
        <v>0</v>
      </c>
      <c r="J254" s="114">
        <f>+J232-'2.Onki'!J8</f>
        <v>0</v>
      </c>
    </row>
  </sheetData>
  <sheetProtection/>
  <mergeCells count="100">
    <mergeCell ref="D25:E25"/>
    <mergeCell ref="D29:E29"/>
    <mergeCell ref="D30:E30"/>
    <mergeCell ref="D34:E34"/>
    <mergeCell ref="D14:E14"/>
    <mergeCell ref="D15:E15"/>
    <mergeCell ref="D19:E19"/>
    <mergeCell ref="D20:E20"/>
    <mergeCell ref="D24:E24"/>
    <mergeCell ref="B7:B8"/>
    <mergeCell ref="C7:C8"/>
    <mergeCell ref="K7:O7"/>
    <mergeCell ref="D9:E9"/>
    <mergeCell ref="D10:E10"/>
    <mergeCell ref="P7:R7"/>
    <mergeCell ref="D7:E8"/>
    <mergeCell ref="F7:F8"/>
    <mergeCell ref="G7:G8"/>
    <mergeCell ref="H7:H8"/>
    <mergeCell ref="I7:I8"/>
    <mergeCell ref="J7:J8"/>
    <mergeCell ref="B2:G2"/>
    <mergeCell ref="B3:R3"/>
    <mergeCell ref="B4:R4"/>
    <mergeCell ref="Q5:R5"/>
    <mergeCell ref="D6:E6"/>
    <mergeCell ref="D152:E152"/>
    <mergeCell ref="D217:E217"/>
    <mergeCell ref="D160:E160"/>
    <mergeCell ref="D156:F156"/>
    <mergeCell ref="D136:E136"/>
    <mergeCell ref="D140:E140"/>
    <mergeCell ref="D144:E144"/>
    <mergeCell ref="D148:E148"/>
    <mergeCell ref="D164:F164"/>
    <mergeCell ref="D168:E168"/>
    <mergeCell ref="D172:E172"/>
    <mergeCell ref="D173:E173"/>
    <mergeCell ref="D177:E177"/>
    <mergeCell ref="D181:E181"/>
    <mergeCell ref="D185:E185"/>
    <mergeCell ref="D188:I188"/>
    <mergeCell ref="B1:M1"/>
    <mergeCell ref="B240:E240"/>
    <mergeCell ref="B241:F241"/>
    <mergeCell ref="B245:E245"/>
    <mergeCell ref="B246:F246"/>
    <mergeCell ref="D224:E224"/>
    <mergeCell ref="C227:E227"/>
    <mergeCell ref="B231:E231"/>
    <mergeCell ref="B235:E235"/>
    <mergeCell ref="B236:F236"/>
    <mergeCell ref="D220:E220"/>
    <mergeCell ref="C41:E41"/>
    <mergeCell ref="C62:E62"/>
    <mergeCell ref="D101:E101"/>
    <mergeCell ref="D114:E114"/>
    <mergeCell ref="C123:E123"/>
    <mergeCell ref="D35:E35"/>
    <mergeCell ref="D45:E45"/>
    <mergeCell ref="D49:E49"/>
    <mergeCell ref="D50:E50"/>
    <mergeCell ref="D39:E39"/>
    <mergeCell ref="D54:E54"/>
    <mergeCell ref="D61:E61"/>
    <mergeCell ref="D66:E66"/>
    <mergeCell ref="D70:E70"/>
    <mergeCell ref="D78:E78"/>
    <mergeCell ref="D75:E75"/>
    <mergeCell ref="D71:E71"/>
    <mergeCell ref="D82:E82"/>
    <mergeCell ref="D83:E83"/>
    <mergeCell ref="D87:E87"/>
    <mergeCell ref="D91:E91"/>
    <mergeCell ref="D92:F92"/>
    <mergeCell ref="D96:E96"/>
    <mergeCell ref="D100:E100"/>
    <mergeCell ref="D102:E102"/>
    <mergeCell ref="D106:E106"/>
    <mergeCell ref="D110:E110"/>
    <mergeCell ref="D115:E115"/>
    <mergeCell ref="D119:E119"/>
    <mergeCell ref="D127:E127"/>
    <mergeCell ref="D135:E135"/>
    <mergeCell ref="B131:E131"/>
    <mergeCell ref="D215:E215"/>
    <mergeCell ref="D221:E221"/>
    <mergeCell ref="D222:E222"/>
    <mergeCell ref="D196:E196"/>
    <mergeCell ref="D200:E200"/>
    <mergeCell ref="D201:E201"/>
    <mergeCell ref="D205:E205"/>
    <mergeCell ref="D216:E216"/>
    <mergeCell ref="D209:E209"/>
    <mergeCell ref="D212:E212"/>
    <mergeCell ref="D223:E223"/>
    <mergeCell ref="D225:E225"/>
    <mergeCell ref="D226:E226"/>
    <mergeCell ref="D218:E218"/>
    <mergeCell ref="D219:E219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58" r:id="rId1"/>
  <headerFooter alignWithMargins="0">
    <oddFooter>&amp;C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5"/>
  <sheetViews>
    <sheetView view="pageBreakPreview" zoomScaleSheetLayoutView="100" zoomScalePageLayoutView="0" workbookViewId="0" topLeftCell="A1">
      <pane ySplit="8" topLeftCell="A9" activePane="bottomLeft" state="frozen"/>
      <selection pane="topLeft" activeCell="B1" sqref="B1:F1"/>
      <selection pane="bottomLeft" activeCell="B4" sqref="B4:K4"/>
    </sheetView>
  </sheetViews>
  <sheetFormatPr defaultColWidth="9.125" defaultRowHeight="12.75"/>
  <cols>
    <col min="1" max="1" width="4.25390625" style="689" customWidth="1"/>
    <col min="2" max="2" width="5.75390625" style="678" customWidth="1"/>
    <col min="3" max="3" width="5.75390625" style="679" customWidth="1"/>
    <col min="4" max="4" width="59.75390625" style="680" customWidth="1"/>
    <col min="5" max="5" width="6.75390625" style="681" customWidth="1"/>
    <col min="6" max="7" width="13.75390625" style="722" customWidth="1"/>
    <col min="8" max="8" width="13.75390625" style="682" customWidth="1"/>
    <col min="9" max="10" width="15.75390625" style="682" customWidth="1"/>
    <col min="11" max="11" width="15.75390625" style="1102" customWidth="1"/>
    <col min="12" max="12" width="9.125" style="684" customWidth="1"/>
    <col min="13" max="13" width="53.75390625" style="684" customWidth="1"/>
    <col min="14" max="14" width="35.00390625" style="684" customWidth="1"/>
    <col min="15" max="16384" width="9.125" style="684" customWidth="1"/>
  </cols>
  <sheetData>
    <row r="1" spans="2:13" ht="17.25">
      <c r="B1" s="1799" t="s">
        <v>957</v>
      </c>
      <c r="C1" s="1799"/>
      <c r="D1" s="1799"/>
      <c r="E1" s="1799"/>
      <c r="F1" s="1799"/>
      <c r="G1" s="1799"/>
      <c r="H1" s="1799"/>
      <c r="I1" s="1799"/>
      <c r="J1" s="1799"/>
      <c r="K1" s="1799"/>
      <c r="L1" s="1799"/>
      <c r="M1" s="1799"/>
    </row>
    <row r="2" spans="1:247" s="676" customFormat="1" ht="18" customHeight="1">
      <c r="A2" s="793"/>
      <c r="B2" s="1932"/>
      <c r="C2" s="1932"/>
      <c r="D2" s="1932"/>
      <c r="E2" s="794"/>
      <c r="F2" s="795"/>
      <c r="G2" s="795"/>
      <c r="H2" s="796"/>
      <c r="I2" s="675"/>
      <c r="J2" s="675"/>
      <c r="K2" s="1101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  <c r="AJ2" s="797"/>
      <c r="AK2" s="797"/>
      <c r="AL2" s="797"/>
      <c r="AM2" s="797"/>
      <c r="AN2" s="797"/>
      <c r="AO2" s="797"/>
      <c r="AP2" s="797"/>
      <c r="AQ2" s="797"/>
      <c r="AR2" s="797"/>
      <c r="AS2" s="797"/>
      <c r="AT2" s="797"/>
      <c r="AU2" s="797"/>
      <c r="AV2" s="797"/>
      <c r="AW2" s="797"/>
      <c r="AX2" s="797"/>
      <c r="AY2" s="797"/>
      <c r="AZ2" s="797"/>
      <c r="BA2" s="797"/>
      <c r="BB2" s="797"/>
      <c r="BC2" s="797"/>
      <c r="BD2" s="797"/>
      <c r="BE2" s="797"/>
      <c r="BF2" s="797"/>
      <c r="BG2" s="797"/>
      <c r="BH2" s="797"/>
      <c r="BI2" s="797"/>
      <c r="BJ2" s="797"/>
      <c r="BK2" s="797"/>
      <c r="BL2" s="797"/>
      <c r="BM2" s="797"/>
      <c r="BN2" s="797"/>
      <c r="BO2" s="797"/>
      <c r="BP2" s="797"/>
      <c r="BQ2" s="797"/>
      <c r="BR2" s="797"/>
      <c r="BS2" s="797"/>
      <c r="BT2" s="797"/>
      <c r="BU2" s="797"/>
      <c r="BV2" s="797"/>
      <c r="BW2" s="797"/>
      <c r="BX2" s="797"/>
      <c r="BY2" s="797"/>
      <c r="BZ2" s="797"/>
      <c r="CA2" s="797"/>
      <c r="CB2" s="797"/>
      <c r="CC2" s="797"/>
      <c r="CD2" s="797"/>
      <c r="CE2" s="797"/>
      <c r="CF2" s="797"/>
      <c r="CG2" s="797"/>
      <c r="CH2" s="797"/>
      <c r="CI2" s="797"/>
      <c r="CJ2" s="797"/>
      <c r="CK2" s="797"/>
      <c r="CL2" s="797"/>
      <c r="CM2" s="797"/>
      <c r="CN2" s="797"/>
      <c r="CO2" s="797"/>
      <c r="CP2" s="797"/>
      <c r="CQ2" s="797"/>
      <c r="CR2" s="797"/>
      <c r="CS2" s="797"/>
      <c r="CT2" s="797"/>
      <c r="CU2" s="797"/>
      <c r="CV2" s="797"/>
      <c r="CW2" s="797"/>
      <c r="CX2" s="797"/>
      <c r="CY2" s="797"/>
      <c r="CZ2" s="797"/>
      <c r="DA2" s="797"/>
      <c r="DB2" s="797"/>
      <c r="DC2" s="797"/>
      <c r="DD2" s="797"/>
      <c r="DE2" s="797"/>
      <c r="DF2" s="797"/>
      <c r="DG2" s="797"/>
      <c r="DH2" s="797"/>
      <c r="DI2" s="797"/>
      <c r="DJ2" s="797"/>
      <c r="DK2" s="797"/>
      <c r="DL2" s="797"/>
      <c r="DM2" s="797"/>
      <c r="DN2" s="797"/>
      <c r="DO2" s="797"/>
      <c r="DP2" s="797"/>
      <c r="DQ2" s="797"/>
      <c r="DR2" s="797"/>
      <c r="DS2" s="797"/>
      <c r="DT2" s="797"/>
      <c r="DU2" s="797"/>
      <c r="DV2" s="797"/>
      <c r="DW2" s="797"/>
      <c r="DX2" s="797"/>
      <c r="DY2" s="797"/>
      <c r="DZ2" s="797"/>
      <c r="EA2" s="797"/>
      <c r="EB2" s="797"/>
      <c r="EC2" s="797"/>
      <c r="ED2" s="797"/>
      <c r="EE2" s="797"/>
      <c r="EF2" s="797"/>
      <c r="EG2" s="797"/>
      <c r="EH2" s="797"/>
      <c r="EI2" s="797"/>
      <c r="EJ2" s="797"/>
      <c r="EK2" s="797"/>
      <c r="EL2" s="797"/>
      <c r="EM2" s="797"/>
      <c r="EN2" s="797"/>
      <c r="EO2" s="797"/>
      <c r="EP2" s="797"/>
      <c r="EQ2" s="797"/>
      <c r="ER2" s="797"/>
      <c r="ES2" s="797"/>
      <c r="ET2" s="797"/>
      <c r="EU2" s="797"/>
      <c r="EV2" s="797"/>
      <c r="EW2" s="797"/>
      <c r="EX2" s="797"/>
      <c r="EY2" s="797"/>
      <c r="EZ2" s="797"/>
      <c r="FA2" s="797"/>
      <c r="FB2" s="797"/>
      <c r="FC2" s="797"/>
      <c r="FD2" s="797"/>
      <c r="FE2" s="797"/>
      <c r="FF2" s="797"/>
      <c r="FG2" s="797"/>
      <c r="FH2" s="797"/>
      <c r="FI2" s="797"/>
      <c r="FJ2" s="797"/>
      <c r="FK2" s="797"/>
      <c r="FL2" s="797"/>
      <c r="FM2" s="797"/>
      <c r="FN2" s="797"/>
      <c r="FO2" s="797"/>
      <c r="FP2" s="797"/>
      <c r="FQ2" s="797"/>
      <c r="FR2" s="797"/>
      <c r="FS2" s="797"/>
      <c r="FT2" s="797"/>
      <c r="FU2" s="797"/>
      <c r="FV2" s="797"/>
      <c r="FW2" s="797"/>
      <c r="FX2" s="797"/>
      <c r="FY2" s="797"/>
      <c r="FZ2" s="797"/>
      <c r="GA2" s="797"/>
      <c r="GB2" s="797"/>
      <c r="GC2" s="797"/>
      <c r="GD2" s="797"/>
      <c r="GE2" s="797"/>
      <c r="GF2" s="797"/>
      <c r="GG2" s="797"/>
      <c r="GH2" s="797"/>
      <c r="GI2" s="797"/>
      <c r="GJ2" s="797"/>
      <c r="GK2" s="797"/>
      <c r="GL2" s="797"/>
      <c r="GM2" s="797"/>
      <c r="GN2" s="797"/>
      <c r="GO2" s="797"/>
      <c r="GP2" s="797"/>
      <c r="GQ2" s="797"/>
      <c r="GR2" s="797"/>
      <c r="GS2" s="797"/>
      <c r="GT2" s="797"/>
      <c r="GU2" s="797"/>
      <c r="GV2" s="797"/>
      <c r="GW2" s="797"/>
      <c r="GX2" s="797"/>
      <c r="GY2" s="797"/>
      <c r="GZ2" s="797"/>
      <c r="HA2" s="797"/>
      <c r="HB2" s="797"/>
      <c r="HC2" s="797"/>
      <c r="HD2" s="797"/>
      <c r="HE2" s="797"/>
      <c r="HF2" s="797"/>
      <c r="HG2" s="797"/>
      <c r="HH2" s="797"/>
      <c r="HI2" s="797"/>
      <c r="HJ2" s="797"/>
      <c r="HK2" s="797"/>
      <c r="HL2" s="797"/>
      <c r="HM2" s="797"/>
      <c r="HN2" s="797"/>
      <c r="HO2" s="797"/>
      <c r="HP2" s="797"/>
      <c r="HQ2" s="797"/>
      <c r="HR2" s="797"/>
      <c r="HS2" s="797"/>
      <c r="HT2" s="797"/>
      <c r="HU2" s="797"/>
      <c r="HV2" s="797"/>
      <c r="HW2" s="797"/>
      <c r="HX2" s="797"/>
      <c r="HY2" s="797"/>
      <c r="HZ2" s="797"/>
      <c r="IA2" s="797"/>
      <c r="IB2" s="797"/>
      <c r="IC2" s="797"/>
      <c r="ID2" s="797"/>
      <c r="IE2" s="797"/>
      <c r="IF2" s="797"/>
      <c r="IG2" s="797"/>
      <c r="IH2" s="797"/>
      <c r="II2" s="797"/>
      <c r="IJ2" s="797"/>
      <c r="IK2" s="797"/>
      <c r="IL2" s="797"/>
      <c r="IM2" s="797"/>
    </row>
    <row r="3" spans="1:11" s="676" customFormat="1" ht="24.75" customHeight="1">
      <c r="A3" s="677"/>
      <c r="B3" s="1921" t="s">
        <v>127</v>
      </c>
      <c r="C3" s="1921"/>
      <c r="D3" s="1921"/>
      <c r="E3" s="1921"/>
      <c r="F3" s="1921"/>
      <c r="G3" s="1921"/>
      <c r="H3" s="1921"/>
      <c r="I3" s="1921"/>
      <c r="J3" s="1921"/>
      <c r="K3" s="1921"/>
    </row>
    <row r="4" spans="1:11" s="676" customFormat="1" ht="24.75" customHeight="1">
      <c r="A4" s="677"/>
      <c r="B4" s="1920" t="s">
        <v>967</v>
      </c>
      <c r="C4" s="1920"/>
      <c r="D4" s="1920"/>
      <c r="E4" s="1920"/>
      <c r="F4" s="1920"/>
      <c r="G4" s="1920"/>
      <c r="H4" s="1920"/>
      <c r="I4" s="1920"/>
      <c r="J4" s="1920"/>
      <c r="K4" s="1920"/>
    </row>
    <row r="5" spans="1:11" ht="18" customHeight="1">
      <c r="A5" s="678"/>
      <c r="K5" s="683" t="s">
        <v>0</v>
      </c>
    </row>
    <row r="6" spans="1:247" s="688" customFormat="1" ht="18" customHeight="1" thickBot="1">
      <c r="A6" s="685"/>
      <c r="B6" s="686" t="s">
        <v>1</v>
      </c>
      <c r="C6" s="687" t="s">
        <v>3</v>
      </c>
      <c r="D6" s="687" t="s">
        <v>2</v>
      </c>
      <c r="E6" s="687" t="s">
        <v>4</v>
      </c>
      <c r="F6" s="687" t="s">
        <v>5</v>
      </c>
      <c r="G6" s="687" t="s">
        <v>15</v>
      </c>
      <c r="H6" s="687" t="s">
        <v>16</v>
      </c>
      <c r="I6" s="687" t="s">
        <v>17</v>
      </c>
      <c r="J6" s="687" t="s">
        <v>33</v>
      </c>
      <c r="K6" s="685" t="s">
        <v>29</v>
      </c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685"/>
      <c r="AA6" s="685"/>
      <c r="AB6" s="685"/>
      <c r="AC6" s="685"/>
      <c r="AD6" s="685"/>
      <c r="AE6" s="685"/>
      <c r="AF6" s="685"/>
      <c r="AG6" s="685"/>
      <c r="AH6" s="685"/>
      <c r="AI6" s="685"/>
      <c r="AJ6" s="685"/>
      <c r="AK6" s="685"/>
      <c r="AL6" s="685"/>
      <c r="AM6" s="685"/>
      <c r="AN6" s="685"/>
      <c r="AO6" s="685"/>
      <c r="AP6" s="685"/>
      <c r="AQ6" s="685"/>
      <c r="AR6" s="685"/>
      <c r="AS6" s="685"/>
      <c r="AT6" s="685"/>
      <c r="AU6" s="685"/>
      <c r="AV6" s="685"/>
      <c r="AW6" s="685"/>
      <c r="AX6" s="685"/>
      <c r="AY6" s="685"/>
      <c r="AZ6" s="685"/>
      <c r="BA6" s="685"/>
      <c r="BB6" s="685"/>
      <c r="BC6" s="685"/>
      <c r="BD6" s="685"/>
      <c r="BE6" s="685"/>
      <c r="BF6" s="685"/>
      <c r="BG6" s="685"/>
      <c r="BH6" s="685"/>
      <c r="BI6" s="685"/>
      <c r="BJ6" s="685"/>
      <c r="BK6" s="685"/>
      <c r="BL6" s="685"/>
      <c r="BM6" s="685"/>
      <c r="BN6" s="685"/>
      <c r="BO6" s="685"/>
      <c r="BP6" s="685"/>
      <c r="BQ6" s="685"/>
      <c r="BR6" s="685"/>
      <c r="BS6" s="685"/>
      <c r="BT6" s="685"/>
      <c r="BU6" s="685"/>
      <c r="BV6" s="685"/>
      <c r="BW6" s="685"/>
      <c r="BX6" s="685"/>
      <c r="BY6" s="685"/>
      <c r="BZ6" s="685"/>
      <c r="CA6" s="685"/>
      <c r="CB6" s="685"/>
      <c r="CC6" s="685"/>
      <c r="CD6" s="685"/>
      <c r="CE6" s="685"/>
      <c r="CF6" s="685"/>
      <c r="CG6" s="685"/>
      <c r="CH6" s="685"/>
      <c r="CI6" s="685"/>
      <c r="CJ6" s="685"/>
      <c r="CK6" s="685"/>
      <c r="CL6" s="685"/>
      <c r="CM6" s="685"/>
      <c r="CN6" s="685"/>
      <c r="CO6" s="685"/>
      <c r="CP6" s="685"/>
      <c r="CQ6" s="685"/>
      <c r="CR6" s="685"/>
      <c r="CS6" s="685"/>
      <c r="CT6" s="685"/>
      <c r="CU6" s="685"/>
      <c r="CV6" s="685"/>
      <c r="CW6" s="685"/>
      <c r="CX6" s="685"/>
      <c r="CY6" s="685"/>
      <c r="CZ6" s="685"/>
      <c r="DA6" s="685"/>
      <c r="DB6" s="685"/>
      <c r="DC6" s="685"/>
      <c r="DD6" s="685"/>
      <c r="DE6" s="685"/>
      <c r="DF6" s="685"/>
      <c r="DG6" s="685"/>
      <c r="DH6" s="685"/>
      <c r="DI6" s="685"/>
      <c r="DJ6" s="685"/>
      <c r="DK6" s="685"/>
      <c r="DL6" s="685"/>
      <c r="DM6" s="685"/>
      <c r="DN6" s="685"/>
      <c r="DO6" s="685"/>
      <c r="DP6" s="685"/>
      <c r="DQ6" s="685"/>
      <c r="DR6" s="685"/>
      <c r="DS6" s="685"/>
      <c r="DT6" s="685"/>
      <c r="DU6" s="685"/>
      <c r="DV6" s="685"/>
      <c r="DW6" s="685"/>
      <c r="DX6" s="685"/>
      <c r="DY6" s="685"/>
      <c r="DZ6" s="685"/>
      <c r="EA6" s="685"/>
      <c r="EB6" s="685"/>
      <c r="EC6" s="685"/>
      <c r="ED6" s="685"/>
      <c r="EE6" s="685"/>
      <c r="EF6" s="685"/>
      <c r="EG6" s="685"/>
      <c r="EH6" s="685"/>
      <c r="EI6" s="685"/>
      <c r="EJ6" s="685"/>
      <c r="EK6" s="685"/>
      <c r="EL6" s="685"/>
      <c r="EM6" s="685"/>
      <c r="EN6" s="685"/>
      <c r="EO6" s="685"/>
      <c r="EP6" s="685"/>
      <c r="EQ6" s="685"/>
      <c r="ER6" s="685"/>
      <c r="ES6" s="685"/>
      <c r="ET6" s="685"/>
      <c r="EU6" s="685"/>
      <c r="EV6" s="685"/>
      <c r="EW6" s="685"/>
      <c r="EX6" s="685"/>
      <c r="EY6" s="685"/>
      <c r="EZ6" s="685"/>
      <c r="FA6" s="685"/>
      <c r="FB6" s="685"/>
      <c r="FC6" s="685"/>
      <c r="FD6" s="685"/>
      <c r="FE6" s="685"/>
      <c r="FF6" s="685"/>
      <c r="FG6" s="685"/>
      <c r="FH6" s="685"/>
      <c r="FI6" s="685"/>
      <c r="FJ6" s="685"/>
      <c r="FK6" s="685"/>
      <c r="FL6" s="685"/>
      <c r="FM6" s="685"/>
      <c r="FN6" s="685"/>
      <c r="FO6" s="685"/>
      <c r="FP6" s="685"/>
      <c r="FQ6" s="685"/>
      <c r="FR6" s="685"/>
      <c r="FS6" s="685"/>
      <c r="FT6" s="685"/>
      <c r="FU6" s="685"/>
      <c r="FV6" s="685"/>
      <c r="FW6" s="685"/>
      <c r="FX6" s="685"/>
      <c r="FY6" s="685"/>
      <c r="FZ6" s="685"/>
      <c r="GA6" s="685"/>
      <c r="GB6" s="685"/>
      <c r="GC6" s="685"/>
      <c r="GD6" s="685"/>
      <c r="GE6" s="685"/>
      <c r="GF6" s="685"/>
      <c r="GG6" s="685"/>
      <c r="GH6" s="685"/>
      <c r="GI6" s="685"/>
      <c r="GJ6" s="685"/>
      <c r="GK6" s="685"/>
      <c r="GL6" s="685"/>
      <c r="GM6" s="685"/>
      <c r="GN6" s="685"/>
      <c r="GO6" s="685"/>
      <c r="GP6" s="685"/>
      <c r="GQ6" s="685"/>
      <c r="GR6" s="685"/>
      <c r="GS6" s="685"/>
      <c r="GT6" s="685"/>
      <c r="GU6" s="685"/>
      <c r="GV6" s="685"/>
      <c r="GW6" s="685"/>
      <c r="GX6" s="685"/>
      <c r="GY6" s="685"/>
      <c r="GZ6" s="685"/>
      <c r="HA6" s="685"/>
      <c r="HB6" s="685"/>
      <c r="HC6" s="685"/>
      <c r="HD6" s="685"/>
      <c r="HE6" s="685"/>
      <c r="HF6" s="685"/>
      <c r="HG6" s="685"/>
      <c r="HH6" s="685"/>
      <c r="HI6" s="685"/>
      <c r="HJ6" s="685"/>
      <c r="HK6" s="685"/>
      <c r="HL6" s="685"/>
      <c r="HM6" s="685"/>
      <c r="HN6" s="685"/>
      <c r="HO6" s="685"/>
      <c r="HP6" s="685"/>
      <c r="HQ6" s="685"/>
      <c r="HR6" s="685"/>
      <c r="HS6" s="685"/>
      <c r="HT6" s="685"/>
      <c r="HU6" s="685"/>
      <c r="HV6" s="685"/>
      <c r="HW6" s="685"/>
      <c r="HX6" s="685"/>
      <c r="HY6" s="685"/>
      <c r="HZ6" s="685"/>
      <c r="IA6" s="685"/>
      <c r="IB6" s="685"/>
      <c r="IC6" s="685"/>
      <c r="ID6" s="685"/>
      <c r="IE6" s="685"/>
      <c r="IF6" s="685"/>
      <c r="IG6" s="685"/>
      <c r="IH6" s="685"/>
      <c r="II6" s="685"/>
      <c r="IJ6" s="685"/>
      <c r="IK6" s="685"/>
      <c r="IL6" s="685"/>
      <c r="IM6" s="685"/>
    </row>
    <row r="7" spans="2:11" ht="30" customHeight="1">
      <c r="B7" s="1933" t="s">
        <v>18</v>
      </c>
      <c r="C7" s="1935" t="s">
        <v>19</v>
      </c>
      <c r="D7" s="1937" t="s">
        <v>6</v>
      </c>
      <c r="E7" s="1912" t="s">
        <v>276</v>
      </c>
      <c r="F7" s="1914" t="s">
        <v>539</v>
      </c>
      <c r="G7" s="1914" t="s">
        <v>535</v>
      </c>
      <c r="H7" s="1916" t="s">
        <v>613</v>
      </c>
      <c r="I7" s="1922" t="s">
        <v>671</v>
      </c>
      <c r="J7" s="1924" t="s">
        <v>756</v>
      </c>
      <c r="K7" s="1918" t="s">
        <v>891</v>
      </c>
    </row>
    <row r="8" spans="2:11" ht="60.75" customHeight="1" thickBot="1">
      <c r="B8" s="1934"/>
      <c r="C8" s="1936"/>
      <c r="D8" s="1938"/>
      <c r="E8" s="1913"/>
      <c r="F8" s="1915"/>
      <c r="G8" s="1915"/>
      <c r="H8" s="1917"/>
      <c r="I8" s="1923"/>
      <c r="J8" s="1925"/>
      <c r="K8" s="1919"/>
    </row>
    <row r="9" spans="1:11" s="928" customFormat="1" ht="22.5" customHeight="1">
      <c r="A9" s="920">
        <v>1</v>
      </c>
      <c r="B9" s="921">
        <v>1</v>
      </c>
      <c r="C9" s="922" t="s">
        <v>286</v>
      </c>
      <c r="D9" s="923"/>
      <c r="E9" s="924" t="s">
        <v>22</v>
      </c>
      <c r="F9" s="925">
        <v>3100</v>
      </c>
      <c r="G9" s="926">
        <v>510</v>
      </c>
      <c r="H9" s="927">
        <v>531</v>
      </c>
      <c r="I9" s="1096"/>
      <c r="J9" s="1436"/>
      <c r="K9" s="1758"/>
    </row>
    <row r="10" spans="1:11" s="935" customFormat="1" ht="28.5" customHeight="1">
      <c r="A10" s="929">
        <v>2</v>
      </c>
      <c r="B10" s="921"/>
      <c r="C10" s="930">
        <v>1</v>
      </c>
      <c r="D10" s="931" t="s">
        <v>803</v>
      </c>
      <c r="E10" s="924"/>
      <c r="F10" s="932"/>
      <c r="G10" s="933"/>
      <c r="H10" s="934"/>
      <c r="I10" s="1097">
        <f>30+65+77+90+903</f>
        <v>1165</v>
      </c>
      <c r="J10" s="1442">
        <v>1185</v>
      </c>
      <c r="K10" s="1759">
        <v>344</v>
      </c>
    </row>
    <row r="11" spans="1:11" s="935" customFormat="1" ht="18" customHeight="1">
      <c r="A11" s="920">
        <v>3</v>
      </c>
      <c r="B11" s="921"/>
      <c r="C11" s="936">
        <v>2</v>
      </c>
      <c r="D11" s="937" t="s">
        <v>802</v>
      </c>
      <c r="E11" s="924"/>
      <c r="F11" s="932"/>
      <c r="G11" s="933"/>
      <c r="H11" s="934"/>
      <c r="I11" s="1097">
        <v>400</v>
      </c>
      <c r="J11" s="1437">
        <v>991</v>
      </c>
      <c r="K11" s="1759">
        <v>449</v>
      </c>
    </row>
    <row r="12" spans="1:11" s="935" customFormat="1" ht="18" customHeight="1">
      <c r="A12" s="920">
        <v>4</v>
      </c>
      <c r="B12" s="921"/>
      <c r="C12" s="936">
        <v>3</v>
      </c>
      <c r="D12" s="937" t="s">
        <v>546</v>
      </c>
      <c r="E12" s="924"/>
      <c r="F12" s="932"/>
      <c r="G12" s="933"/>
      <c r="H12" s="934"/>
      <c r="I12" s="1097">
        <v>500</v>
      </c>
      <c r="J12" s="1437">
        <v>500</v>
      </c>
      <c r="K12" s="1759"/>
    </row>
    <row r="13" spans="1:11" s="935" customFormat="1" ht="18" customHeight="1">
      <c r="A13" s="929">
        <v>5</v>
      </c>
      <c r="B13" s="921"/>
      <c r="C13" s="936">
        <v>4</v>
      </c>
      <c r="D13" s="937" t="s">
        <v>547</v>
      </c>
      <c r="E13" s="924"/>
      <c r="F13" s="932"/>
      <c r="G13" s="933"/>
      <c r="H13" s="934"/>
      <c r="I13" s="1097">
        <v>250</v>
      </c>
      <c r="J13" s="1437">
        <v>250</v>
      </c>
      <c r="K13" s="1759"/>
    </row>
    <row r="14" spans="1:11" s="935" customFormat="1" ht="18" customHeight="1">
      <c r="A14" s="920">
        <v>6</v>
      </c>
      <c r="B14" s="921"/>
      <c r="C14" s="936">
        <v>5</v>
      </c>
      <c r="D14" s="937" t="s">
        <v>548</v>
      </c>
      <c r="E14" s="924"/>
      <c r="F14" s="932"/>
      <c r="G14" s="933"/>
      <c r="H14" s="934"/>
      <c r="I14" s="1097">
        <v>500</v>
      </c>
      <c r="J14" s="1437">
        <v>500</v>
      </c>
      <c r="K14" s="1759"/>
    </row>
    <row r="15" spans="1:11" s="935" customFormat="1" ht="18" customHeight="1">
      <c r="A15" s="920">
        <v>7</v>
      </c>
      <c r="B15" s="921"/>
      <c r="C15" s="936">
        <v>6</v>
      </c>
      <c r="D15" s="937" t="s">
        <v>549</v>
      </c>
      <c r="E15" s="924"/>
      <c r="F15" s="932"/>
      <c r="G15" s="933"/>
      <c r="H15" s="934"/>
      <c r="I15" s="1097">
        <v>600</v>
      </c>
      <c r="J15" s="1437">
        <v>600</v>
      </c>
      <c r="K15" s="1759"/>
    </row>
    <row r="16" spans="1:11" s="935" customFormat="1" ht="18" customHeight="1">
      <c r="A16" s="929">
        <v>8</v>
      </c>
      <c r="B16" s="921"/>
      <c r="C16" s="936">
        <v>7</v>
      </c>
      <c r="D16" s="937" t="s">
        <v>753</v>
      </c>
      <c r="E16" s="924"/>
      <c r="F16" s="932"/>
      <c r="G16" s="933"/>
      <c r="H16" s="934"/>
      <c r="I16" s="1097">
        <v>200</v>
      </c>
      <c r="J16" s="1437">
        <v>200</v>
      </c>
      <c r="K16" s="1759"/>
    </row>
    <row r="17" spans="1:11" s="935" customFormat="1" ht="18" customHeight="1">
      <c r="A17" s="920">
        <v>9</v>
      </c>
      <c r="B17" s="921"/>
      <c r="C17" s="938" t="s">
        <v>345</v>
      </c>
      <c r="D17" s="939"/>
      <c r="E17" s="924"/>
      <c r="F17" s="932">
        <v>1294</v>
      </c>
      <c r="G17" s="933">
        <v>200</v>
      </c>
      <c r="H17" s="934">
        <v>15</v>
      </c>
      <c r="I17" s="1097"/>
      <c r="J17" s="1437"/>
      <c r="K17" s="1759"/>
    </row>
    <row r="18" spans="1:11" s="935" customFormat="1" ht="43.5" customHeight="1">
      <c r="A18" s="920">
        <v>10</v>
      </c>
      <c r="B18" s="921"/>
      <c r="C18" s="930">
        <v>8</v>
      </c>
      <c r="D18" s="931" t="s">
        <v>804</v>
      </c>
      <c r="E18" s="924"/>
      <c r="F18" s="932"/>
      <c r="G18" s="933"/>
      <c r="H18" s="934"/>
      <c r="I18" s="1097">
        <f>300+77</f>
        <v>377</v>
      </c>
      <c r="J18" s="1437">
        <v>804</v>
      </c>
      <c r="K18" s="1759">
        <v>634</v>
      </c>
    </row>
    <row r="19" spans="1:11" s="935" customFormat="1" ht="18" customHeight="1">
      <c r="A19" s="929">
        <v>11</v>
      </c>
      <c r="B19" s="921"/>
      <c r="C19" s="936">
        <v>9</v>
      </c>
      <c r="D19" s="937" t="s">
        <v>685</v>
      </c>
      <c r="E19" s="924"/>
      <c r="F19" s="932"/>
      <c r="G19" s="933"/>
      <c r="H19" s="934"/>
      <c r="I19" s="1097">
        <v>200</v>
      </c>
      <c r="J19" s="1437">
        <v>400</v>
      </c>
      <c r="K19" s="1759">
        <v>382</v>
      </c>
    </row>
    <row r="20" spans="1:11" s="935" customFormat="1" ht="18" customHeight="1">
      <c r="A20" s="920">
        <v>12</v>
      </c>
      <c r="B20" s="921"/>
      <c r="C20" s="936">
        <v>10</v>
      </c>
      <c r="D20" s="937" t="s">
        <v>550</v>
      </c>
      <c r="E20" s="924"/>
      <c r="F20" s="932"/>
      <c r="G20" s="933"/>
      <c r="H20" s="934"/>
      <c r="I20" s="1097">
        <v>600</v>
      </c>
      <c r="J20" s="1437">
        <v>600</v>
      </c>
      <c r="K20" s="1759"/>
    </row>
    <row r="21" spans="1:11" s="935" customFormat="1" ht="18" customHeight="1">
      <c r="A21" s="920">
        <v>13</v>
      </c>
      <c r="B21" s="921"/>
      <c r="C21" s="936">
        <v>11</v>
      </c>
      <c r="D21" s="937" t="s">
        <v>673</v>
      </c>
      <c r="E21" s="924"/>
      <c r="F21" s="932"/>
      <c r="G21" s="933"/>
      <c r="H21" s="934"/>
      <c r="I21" s="1097">
        <f>200+120</f>
        <v>320</v>
      </c>
      <c r="J21" s="1437">
        <v>320</v>
      </c>
      <c r="K21" s="1759"/>
    </row>
    <row r="22" spans="1:11" s="928" customFormat="1" ht="22.5" customHeight="1">
      <c r="A22" s="929">
        <v>14</v>
      </c>
      <c r="B22" s="921">
        <v>2</v>
      </c>
      <c r="C22" s="940" t="s">
        <v>285</v>
      </c>
      <c r="D22" s="923"/>
      <c r="E22" s="924" t="s">
        <v>22</v>
      </c>
      <c r="F22" s="925">
        <v>3496</v>
      </c>
      <c r="G22" s="926">
        <v>700</v>
      </c>
      <c r="H22" s="927">
        <v>8341</v>
      </c>
      <c r="I22" s="1096"/>
      <c r="J22" s="1438"/>
      <c r="K22" s="1760"/>
    </row>
    <row r="23" spans="1:11" s="935" customFormat="1" ht="77.25" customHeight="1">
      <c r="A23" s="920">
        <v>15</v>
      </c>
      <c r="B23" s="921"/>
      <c r="C23" s="930">
        <v>1</v>
      </c>
      <c r="D23" s="931" t="s">
        <v>816</v>
      </c>
      <c r="E23" s="924"/>
      <c r="F23" s="932"/>
      <c r="G23" s="933"/>
      <c r="H23" s="934"/>
      <c r="I23" s="1097">
        <f>950+700+100+200+100+150</f>
        <v>2200</v>
      </c>
      <c r="J23" s="1437">
        <v>3420</v>
      </c>
      <c r="K23" s="1759">
        <v>1439</v>
      </c>
    </row>
    <row r="24" spans="1:11" s="935" customFormat="1" ht="18" customHeight="1">
      <c r="A24" s="920">
        <v>16</v>
      </c>
      <c r="B24" s="921"/>
      <c r="C24" s="936">
        <v>2</v>
      </c>
      <c r="D24" s="937" t="s">
        <v>805</v>
      </c>
      <c r="E24" s="924"/>
      <c r="F24" s="932"/>
      <c r="G24" s="933"/>
      <c r="H24" s="934"/>
      <c r="I24" s="1097">
        <f>200+660</f>
        <v>860</v>
      </c>
      <c r="J24" s="1437">
        <v>1360</v>
      </c>
      <c r="K24" s="1759">
        <v>380</v>
      </c>
    </row>
    <row r="25" spans="1:11" s="935" customFormat="1" ht="18" customHeight="1">
      <c r="A25" s="929">
        <v>17</v>
      </c>
      <c r="B25" s="921"/>
      <c r="C25" s="936">
        <v>3</v>
      </c>
      <c r="D25" s="937" t="s">
        <v>551</v>
      </c>
      <c r="E25" s="924"/>
      <c r="F25" s="932"/>
      <c r="G25" s="933"/>
      <c r="H25" s="934"/>
      <c r="I25" s="1097">
        <f>150+300</f>
        <v>450</v>
      </c>
      <c r="J25" s="1437">
        <v>450</v>
      </c>
      <c r="K25" s="1759"/>
    </row>
    <row r="26" spans="1:11" s="935" customFormat="1" ht="18" customHeight="1">
      <c r="A26" s="920">
        <v>18</v>
      </c>
      <c r="B26" s="921"/>
      <c r="C26" s="936">
        <v>4</v>
      </c>
      <c r="D26" s="937" t="s">
        <v>695</v>
      </c>
      <c r="E26" s="924"/>
      <c r="F26" s="932"/>
      <c r="G26" s="933"/>
      <c r="H26" s="934"/>
      <c r="I26" s="1097"/>
      <c r="J26" s="1437">
        <v>300</v>
      </c>
      <c r="K26" s="1759"/>
    </row>
    <row r="27" spans="1:11" s="935" customFormat="1" ht="18" customHeight="1">
      <c r="A27" s="920">
        <v>19</v>
      </c>
      <c r="B27" s="921"/>
      <c r="C27" s="936">
        <v>5</v>
      </c>
      <c r="D27" s="937" t="s">
        <v>699</v>
      </c>
      <c r="E27" s="924"/>
      <c r="F27" s="932"/>
      <c r="G27" s="933"/>
      <c r="H27" s="934"/>
      <c r="I27" s="1097"/>
      <c r="J27" s="1437">
        <v>500</v>
      </c>
      <c r="K27" s="1759"/>
    </row>
    <row r="28" spans="1:11" s="935" customFormat="1" ht="18" customHeight="1">
      <c r="A28" s="929">
        <v>20</v>
      </c>
      <c r="B28" s="921"/>
      <c r="C28" s="936">
        <v>6</v>
      </c>
      <c r="D28" s="937" t="s">
        <v>700</v>
      </c>
      <c r="E28" s="924"/>
      <c r="F28" s="932"/>
      <c r="G28" s="933"/>
      <c r="H28" s="934"/>
      <c r="I28" s="1097"/>
      <c r="J28" s="1437">
        <v>1100</v>
      </c>
      <c r="K28" s="1759">
        <v>107</v>
      </c>
    </row>
    <row r="29" spans="1:11" s="935" customFormat="1" ht="18" customHeight="1">
      <c r="A29" s="920">
        <v>21</v>
      </c>
      <c r="B29" s="921"/>
      <c r="C29" s="936">
        <v>7</v>
      </c>
      <c r="D29" s="937" t="s">
        <v>806</v>
      </c>
      <c r="E29" s="924"/>
      <c r="F29" s="932"/>
      <c r="G29" s="933"/>
      <c r="H29" s="934"/>
      <c r="I29" s="1097"/>
      <c r="J29" s="1437">
        <v>300</v>
      </c>
      <c r="K29" s="1759"/>
    </row>
    <row r="30" spans="1:11" s="935" customFormat="1" ht="18" customHeight="1">
      <c r="A30" s="920">
        <v>22</v>
      </c>
      <c r="B30" s="921"/>
      <c r="C30" s="938" t="s">
        <v>346</v>
      </c>
      <c r="D30" s="939"/>
      <c r="E30" s="924"/>
      <c r="F30" s="932">
        <v>1094</v>
      </c>
      <c r="G30" s="933"/>
      <c r="H30" s="934">
        <v>3840</v>
      </c>
      <c r="I30" s="1097"/>
      <c r="J30" s="1437"/>
      <c r="K30" s="1759"/>
    </row>
    <row r="31" spans="1:11" s="935" customFormat="1" ht="45">
      <c r="A31" s="929">
        <v>23</v>
      </c>
      <c r="B31" s="921"/>
      <c r="C31" s="930">
        <v>8</v>
      </c>
      <c r="D31" s="931" t="s">
        <v>755</v>
      </c>
      <c r="E31" s="924"/>
      <c r="F31" s="932"/>
      <c r="G31" s="933"/>
      <c r="H31" s="934"/>
      <c r="I31" s="1097">
        <v>950</v>
      </c>
      <c r="J31" s="1437">
        <v>1250</v>
      </c>
      <c r="K31" s="1759">
        <v>513</v>
      </c>
    </row>
    <row r="32" spans="1:11" s="935" customFormat="1" ht="18" customHeight="1">
      <c r="A32" s="920">
        <v>24</v>
      </c>
      <c r="B32" s="921"/>
      <c r="C32" s="936">
        <v>9</v>
      </c>
      <c r="D32" s="937" t="s">
        <v>552</v>
      </c>
      <c r="E32" s="924"/>
      <c r="F32" s="932"/>
      <c r="G32" s="933"/>
      <c r="H32" s="934"/>
      <c r="I32" s="1097">
        <v>200</v>
      </c>
      <c r="J32" s="1437">
        <v>200</v>
      </c>
      <c r="K32" s="1759">
        <v>190</v>
      </c>
    </row>
    <row r="33" spans="1:11" s="935" customFormat="1" ht="18" customHeight="1">
      <c r="A33" s="920">
        <v>25</v>
      </c>
      <c r="B33" s="921"/>
      <c r="C33" s="936">
        <v>10</v>
      </c>
      <c r="D33" s="937" t="s">
        <v>551</v>
      </c>
      <c r="E33" s="924"/>
      <c r="F33" s="932"/>
      <c r="G33" s="933"/>
      <c r="H33" s="934"/>
      <c r="I33" s="1097">
        <v>150</v>
      </c>
      <c r="J33" s="1437">
        <v>150</v>
      </c>
      <c r="K33" s="1759"/>
    </row>
    <row r="34" spans="1:11" s="928" customFormat="1" ht="22.5" customHeight="1">
      <c r="A34" s="929">
        <v>26</v>
      </c>
      <c r="B34" s="921">
        <v>3</v>
      </c>
      <c r="C34" s="940" t="s">
        <v>247</v>
      </c>
      <c r="D34" s="923"/>
      <c r="E34" s="924" t="s">
        <v>22</v>
      </c>
      <c r="F34" s="925">
        <v>6208</v>
      </c>
      <c r="G34" s="926"/>
      <c r="H34" s="927">
        <v>951</v>
      </c>
      <c r="I34" s="1096"/>
      <c r="J34" s="1438"/>
      <c r="K34" s="1760"/>
    </row>
    <row r="35" spans="1:11" s="935" customFormat="1" ht="18" customHeight="1">
      <c r="A35" s="920">
        <v>27</v>
      </c>
      <c r="B35" s="921"/>
      <c r="C35" s="936">
        <v>1</v>
      </c>
      <c r="D35" s="931" t="s">
        <v>807</v>
      </c>
      <c r="E35" s="924"/>
      <c r="F35" s="932"/>
      <c r="G35" s="933"/>
      <c r="H35" s="934"/>
      <c r="I35" s="1097">
        <v>493</v>
      </c>
      <c r="J35" s="1437">
        <v>993</v>
      </c>
      <c r="K35" s="1759"/>
    </row>
    <row r="36" spans="1:11" s="935" customFormat="1" ht="31.5" customHeight="1">
      <c r="A36" s="920">
        <v>28</v>
      </c>
      <c r="B36" s="921"/>
      <c r="C36" s="936">
        <v>2</v>
      </c>
      <c r="D36" s="931" t="s">
        <v>809</v>
      </c>
      <c r="E36" s="924"/>
      <c r="F36" s="932"/>
      <c r="G36" s="933"/>
      <c r="H36" s="934"/>
      <c r="I36" s="1097">
        <v>1500</v>
      </c>
      <c r="J36" s="1437">
        <v>1040</v>
      </c>
      <c r="K36" s="1759"/>
    </row>
    <row r="37" spans="1:11" s="935" customFormat="1" ht="18" customHeight="1">
      <c r="A37" s="929">
        <v>29</v>
      </c>
      <c r="B37" s="921"/>
      <c r="C37" s="936">
        <v>3</v>
      </c>
      <c r="D37" s="937" t="s">
        <v>554</v>
      </c>
      <c r="E37" s="924"/>
      <c r="F37" s="932"/>
      <c r="G37" s="933"/>
      <c r="H37" s="934"/>
      <c r="I37" s="1097">
        <v>800</v>
      </c>
      <c r="J37" s="1437">
        <v>800</v>
      </c>
      <c r="K37" s="1759"/>
    </row>
    <row r="38" spans="1:11" s="935" customFormat="1" ht="18" customHeight="1">
      <c r="A38" s="920">
        <v>30</v>
      </c>
      <c r="B38" s="921"/>
      <c r="C38" s="936">
        <v>4</v>
      </c>
      <c r="D38" s="937" t="s">
        <v>555</v>
      </c>
      <c r="E38" s="924"/>
      <c r="F38" s="932"/>
      <c r="G38" s="933"/>
      <c r="H38" s="934"/>
      <c r="I38" s="1097">
        <v>700</v>
      </c>
      <c r="J38" s="1437">
        <v>500</v>
      </c>
      <c r="K38" s="1759"/>
    </row>
    <row r="39" spans="1:11" s="935" customFormat="1" ht="18" customHeight="1">
      <c r="A39" s="920">
        <v>31</v>
      </c>
      <c r="B39" s="921"/>
      <c r="C39" s="938" t="s">
        <v>431</v>
      </c>
      <c r="D39" s="939"/>
      <c r="E39" s="924"/>
      <c r="F39" s="932">
        <v>3386</v>
      </c>
      <c r="G39" s="933"/>
      <c r="H39" s="934">
        <v>317</v>
      </c>
      <c r="I39" s="1097"/>
      <c r="J39" s="1437"/>
      <c r="K39" s="1759"/>
    </row>
    <row r="40" spans="1:11" s="935" customFormat="1" ht="18" customHeight="1">
      <c r="A40" s="929">
        <v>32</v>
      </c>
      <c r="B40" s="921"/>
      <c r="C40" s="936">
        <v>5</v>
      </c>
      <c r="D40" s="931" t="s">
        <v>808</v>
      </c>
      <c r="E40" s="924"/>
      <c r="F40" s="932"/>
      <c r="G40" s="933"/>
      <c r="H40" s="934"/>
      <c r="I40" s="1097"/>
      <c r="J40" s="1437">
        <v>160</v>
      </c>
      <c r="K40" s="1759"/>
    </row>
    <row r="41" spans="1:14" s="928" customFormat="1" ht="22.5" customHeight="1">
      <c r="A41" s="920">
        <v>33</v>
      </c>
      <c r="B41" s="921">
        <v>4</v>
      </c>
      <c r="C41" s="940" t="s">
        <v>248</v>
      </c>
      <c r="D41" s="923"/>
      <c r="E41" s="924" t="s">
        <v>22</v>
      </c>
      <c r="F41" s="925">
        <v>1347</v>
      </c>
      <c r="G41" s="926"/>
      <c r="H41" s="927">
        <v>1115</v>
      </c>
      <c r="I41" s="1096"/>
      <c r="J41" s="1438"/>
      <c r="K41" s="1760"/>
      <c r="M41" s="1061"/>
      <c r="N41" s="1062"/>
    </row>
    <row r="42" spans="1:14" s="935" customFormat="1" ht="33" customHeight="1">
      <c r="A42" s="920">
        <v>34</v>
      </c>
      <c r="B42" s="921"/>
      <c r="C42" s="930">
        <v>1</v>
      </c>
      <c r="D42" s="931" t="s">
        <v>556</v>
      </c>
      <c r="E42" s="924"/>
      <c r="F42" s="932"/>
      <c r="G42" s="933"/>
      <c r="H42" s="934"/>
      <c r="I42" s="1097">
        <f>66+800+55+50+1070</f>
        <v>2041</v>
      </c>
      <c r="J42" s="1437">
        <v>2041</v>
      </c>
      <c r="K42" s="1759">
        <v>27</v>
      </c>
      <c r="M42" s="1061"/>
      <c r="N42" s="1062"/>
    </row>
    <row r="43" spans="1:14" s="935" customFormat="1" ht="18" customHeight="1">
      <c r="A43" s="929">
        <v>35</v>
      </c>
      <c r="B43" s="921"/>
      <c r="C43" s="936">
        <v>2</v>
      </c>
      <c r="D43" s="937" t="s">
        <v>557</v>
      </c>
      <c r="E43" s="924"/>
      <c r="F43" s="932"/>
      <c r="G43" s="933"/>
      <c r="H43" s="934"/>
      <c r="I43" s="1097">
        <v>800</v>
      </c>
      <c r="J43" s="1437">
        <v>800</v>
      </c>
      <c r="K43" s="1759"/>
      <c r="M43" s="1063"/>
      <c r="N43" s="1062"/>
    </row>
    <row r="44" spans="1:14" s="935" customFormat="1" ht="18" customHeight="1">
      <c r="A44" s="920">
        <v>36</v>
      </c>
      <c r="B44" s="921"/>
      <c r="C44" s="936">
        <v>3</v>
      </c>
      <c r="D44" s="937" t="s">
        <v>886</v>
      </c>
      <c r="E44" s="924"/>
      <c r="F44" s="932"/>
      <c r="G44" s="933"/>
      <c r="H44" s="934"/>
      <c r="I44" s="1097"/>
      <c r="J44" s="1437">
        <v>330</v>
      </c>
      <c r="K44" s="1759"/>
      <c r="M44" s="1063"/>
      <c r="N44" s="1062"/>
    </row>
    <row r="45" spans="1:14" s="935" customFormat="1" ht="18" customHeight="1">
      <c r="A45" s="920">
        <v>37</v>
      </c>
      <c r="B45" s="921"/>
      <c r="C45" s="941" t="s">
        <v>347</v>
      </c>
      <c r="D45" s="931"/>
      <c r="E45" s="924"/>
      <c r="F45" s="932">
        <v>2216</v>
      </c>
      <c r="G45" s="933"/>
      <c r="H45" s="934"/>
      <c r="I45" s="1097"/>
      <c r="J45" s="1437"/>
      <c r="K45" s="1759"/>
      <c r="M45" s="1061"/>
      <c r="N45" s="1062"/>
    </row>
    <row r="46" spans="1:14" s="935" customFormat="1" ht="30">
      <c r="A46" s="929">
        <v>38</v>
      </c>
      <c r="B46" s="921"/>
      <c r="C46" s="930">
        <v>4</v>
      </c>
      <c r="D46" s="931" t="s">
        <v>558</v>
      </c>
      <c r="E46" s="924"/>
      <c r="F46" s="932"/>
      <c r="G46" s="933"/>
      <c r="H46" s="934"/>
      <c r="I46" s="1097">
        <f>50+20+40+20+60+15+25</f>
        <v>230</v>
      </c>
      <c r="J46" s="1437">
        <v>230</v>
      </c>
      <c r="K46" s="1759">
        <v>60</v>
      </c>
      <c r="M46" s="1061"/>
      <c r="N46" s="1062"/>
    </row>
    <row r="47" spans="1:14" s="935" customFormat="1" ht="18" customHeight="1">
      <c r="A47" s="920">
        <v>39</v>
      </c>
      <c r="B47" s="921"/>
      <c r="C47" s="936">
        <v>5</v>
      </c>
      <c r="D47" s="937" t="s">
        <v>559</v>
      </c>
      <c r="E47" s="924"/>
      <c r="F47" s="932"/>
      <c r="G47" s="933"/>
      <c r="H47" s="934"/>
      <c r="I47" s="1097">
        <v>190</v>
      </c>
      <c r="J47" s="1437">
        <v>190</v>
      </c>
      <c r="K47" s="1759"/>
      <c r="M47" s="1061"/>
      <c r="N47" s="1062"/>
    </row>
    <row r="48" spans="1:11" s="928" customFormat="1" ht="22.5" customHeight="1">
      <c r="A48" s="920">
        <v>40</v>
      </c>
      <c r="B48" s="921">
        <v>5</v>
      </c>
      <c r="C48" s="940" t="s">
        <v>249</v>
      </c>
      <c r="D48" s="923"/>
      <c r="E48" s="924" t="s">
        <v>22</v>
      </c>
      <c r="F48" s="925">
        <v>6273</v>
      </c>
      <c r="G48" s="926"/>
      <c r="H48" s="927">
        <v>707</v>
      </c>
      <c r="I48" s="1096"/>
      <c r="J48" s="1438"/>
      <c r="K48" s="1760"/>
    </row>
    <row r="49" spans="1:11" s="935" customFormat="1" ht="44.25" customHeight="1">
      <c r="A49" s="929">
        <v>41</v>
      </c>
      <c r="B49" s="921"/>
      <c r="C49" s="936">
        <v>1</v>
      </c>
      <c r="D49" s="931" t="s">
        <v>754</v>
      </c>
      <c r="E49" s="924"/>
      <c r="F49" s="932"/>
      <c r="G49" s="933"/>
      <c r="H49" s="934"/>
      <c r="I49" s="1097">
        <v>494</v>
      </c>
      <c r="J49" s="1437">
        <v>950</v>
      </c>
      <c r="K49" s="1759">
        <v>219</v>
      </c>
    </row>
    <row r="50" spans="1:11" s="935" customFormat="1" ht="18" customHeight="1">
      <c r="A50" s="920">
        <v>42</v>
      </c>
      <c r="B50" s="921"/>
      <c r="C50" s="936">
        <v>2</v>
      </c>
      <c r="D50" s="931" t="s">
        <v>561</v>
      </c>
      <c r="E50" s="924"/>
      <c r="F50" s="932"/>
      <c r="G50" s="933"/>
      <c r="H50" s="934"/>
      <c r="I50" s="1097">
        <v>3500</v>
      </c>
      <c r="J50" s="1437">
        <v>3500</v>
      </c>
      <c r="K50" s="1759"/>
    </row>
    <row r="51" spans="1:11" s="935" customFormat="1" ht="18" customHeight="1">
      <c r="A51" s="920">
        <v>43</v>
      </c>
      <c r="B51" s="921"/>
      <c r="C51" s="930">
        <v>3</v>
      </c>
      <c r="D51" s="1345" t="s">
        <v>694</v>
      </c>
      <c r="E51" s="924"/>
      <c r="F51" s="932"/>
      <c r="G51" s="933"/>
      <c r="H51" s="934"/>
      <c r="I51" s="1097"/>
      <c r="J51" s="1437">
        <v>350</v>
      </c>
      <c r="K51" s="1759"/>
    </row>
    <row r="52" spans="1:11" s="935" customFormat="1" ht="18" customHeight="1">
      <c r="A52" s="929">
        <v>44</v>
      </c>
      <c r="B52" s="921"/>
      <c r="C52" s="941" t="s">
        <v>348</v>
      </c>
      <c r="D52" s="931"/>
      <c r="E52" s="924"/>
      <c r="F52" s="932">
        <v>6233</v>
      </c>
      <c r="G52" s="933"/>
      <c r="H52" s="934">
        <v>399</v>
      </c>
      <c r="I52" s="1097"/>
      <c r="J52" s="1437"/>
      <c r="K52" s="1759"/>
    </row>
    <row r="53" spans="1:11" s="935" customFormat="1" ht="18" customHeight="1">
      <c r="A53" s="920">
        <v>45</v>
      </c>
      <c r="B53" s="921"/>
      <c r="C53" s="936">
        <v>4</v>
      </c>
      <c r="D53" s="931" t="s">
        <v>562</v>
      </c>
      <c r="E53" s="924"/>
      <c r="F53" s="932"/>
      <c r="G53" s="933"/>
      <c r="H53" s="934"/>
      <c r="I53" s="1097">
        <v>3500</v>
      </c>
      <c r="J53" s="1437">
        <v>3500</v>
      </c>
      <c r="K53" s="1759"/>
    </row>
    <row r="54" spans="1:11" s="935" customFormat="1" ht="18" customHeight="1">
      <c r="A54" s="920">
        <v>46</v>
      </c>
      <c r="B54" s="921"/>
      <c r="C54" s="936">
        <v>5</v>
      </c>
      <c r="D54" s="931" t="s">
        <v>697</v>
      </c>
      <c r="E54" s="924"/>
      <c r="F54" s="932"/>
      <c r="G54" s="933"/>
      <c r="H54" s="934"/>
      <c r="I54" s="1097"/>
      <c r="J54" s="1437">
        <v>300</v>
      </c>
      <c r="K54" s="1759">
        <v>293</v>
      </c>
    </row>
    <row r="55" spans="1:11" s="935" customFormat="1" ht="18" customHeight="1">
      <c r="A55" s="929">
        <v>47</v>
      </c>
      <c r="B55" s="921"/>
      <c r="C55" s="936">
        <v>6</v>
      </c>
      <c r="D55" s="1290" t="s">
        <v>695</v>
      </c>
      <c r="E55" s="924"/>
      <c r="F55" s="932"/>
      <c r="G55" s="933"/>
      <c r="H55" s="934"/>
      <c r="I55" s="1097"/>
      <c r="J55" s="1437">
        <v>300</v>
      </c>
      <c r="K55" s="1759">
        <v>261</v>
      </c>
    </row>
    <row r="56" spans="1:11" s="935" customFormat="1" ht="30.75" customHeight="1">
      <c r="A56" s="920">
        <v>48</v>
      </c>
      <c r="B56" s="921"/>
      <c r="C56" s="930">
        <v>7</v>
      </c>
      <c r="D56" s="931" t="s">
        <v>696</v>
      </c>
      <c r="E56" s="924"/>
      <c r="F56" s="932"/>
      <c r="G56" s="933"/>
      <c r="H56" s="934"/>
      <c r="I56" s="1097"/>
      <c r="J56" s="1437">
        <v>594</v>
      </c>
      <c r="K56" s="1759">
        <v>293</v>
      </c>
    </row>
    <row r="57" spans="1:11" s="928" customFormat="1" ht="22.5" customHeight="1">
      <c r="A57" s="920">
        <v>49</v>
      </c>
      <c r="B57" s="921">
        <v>6</v>
      </c>
      <c r="C57" s="940" t="s">
        <v>250</v>
      </c>
      <c r="D57" s="923"/>
      <c r="E57" s="924" t="s">
        <v>22</v>
      </c>
      <c r="F57" s="925">
        <v>6174</v>
      </c>
      <c r="G57" s="926"/>
      <c r="H57" s="927">
        <v>2078</v>
      </c>
      <c r="I57" s="1096"/>
      <c r="J57" s="1438"/>
      <c r="K57" s="1760"/>
    </row>
    <row r="58" spans="1:11" s="935" customFormat="1" ht="30" customHeight="1">
      <c r="A58" s="929">
        <v>50</v>
      </c>
      <c r="B58" s="921"/>
      <c r="C58" s="930">
        <v>1</v>
      </c>
      <c r="D58" s="931" t="s">
        <v>563</v>
      </c>
      <c r="E58" s="924"/>
      <c r="F58" s="932"/>
      <c r="G58" s="933"/>
      <c r="H58" s="934"/>
      <c r="I58" s="1097">
        <f>100+100+165+125+80+200+209</f>
        <v>979</v>
      </c>
      <c r="J58" s="1437">
        <v>979</v>
      </c>
      <c r="K58" s="1759">
        <v>78</v>
      </c>
    </row>
    <row r="59" spans="1:11" s="935" customFormat="1" ht="18" customHeight="1">
      <c r="A59" s="920">
        <v>51</v>
      </c>
      <c r="B59" s="921"/>
      <c r="C59" s="936">
        <v>2</v>
      </c>
      <c r="D59" s="937" t="s">
        <v>564</v>
      </c>
      <c r="E59" s="924"/>
      <c r="F59" s="932"/>
      <c r="G59" s="933"/>
      <c r="H59" s="934"/>
      <c r="I59" s="1097">
        <v>700</v>
      </c>
      <c r="J59" s="1437">
        <v>700</v>
      </c>
      <c r="K59" s="1759"/>
    </row>
    <row r="60" spans="1:11" s="935" customFormat="1" ht="18" customHeight="1">
      <c r="A60" s="920">
        <v>52</v>
      </c>
      <c r="B60" s="921"/>
      <c r="C60" s="936">
        <v>3</v>
      </c>
      <c r="D60" s="937" t="s">
        <v>565</v>
      </c>
      <c r="E60" s="924"/>
      <c r="F60" s="932"/>
      <c r="G60" s="933"/>
      <c r="H60" s="934"/>
      <c r="I60" s="1097">
        <v>890</v>
      </c>
      <c r="J60" s="1437">
        <v>890</v>
      </c>
      <c r="K60" s="1759"/>
    </row>
    <row r="61" spans="1:11" s="935" customFormat="1" ht="18" customHeight="1">
      <c r="A61" s="929">
        <v>53</v>
      </c>
      <c r="B61" s="921"/>
      <c r="C61" s="936">
        <v>4</v>
      </c>
      <c r="D61" s="937" t="s">
        <v>566</v>
      </c>
      <c r="E61" s="924"/>
      <c r="F61" s="932"/>
      <c r="G61" s="933"/>
      <c r="H61" s="934"/>
      <c r="I61" s="1097">
        <f>1000+270</f>
        <v>1270</v>
      </c>
      <c r="J61" s="1437">
        <v>1270</v>
      </c>
      <c r="K61" s="1759">
        <v>911</v>
      </c>
    </row>
    <row r="62" spans="1:11" s="935" customFormat="1" ht="18" customHeight="1">
      <c r="A62" s="920">
        <v>54</v>
      </c>
      <c r="B62" s="921"/>
      <c r="C62" s="936">
        <v>5</v>
      </c>
      <c r="D62" s="937" t="s">
        <v>567</v>
      </c>
      <c r="E62" s="924"/>
      <c r="F62" s="932"/>
      <c r="G62" s="933"/>
      <c r="H62" s="934"/>
      <c r="I62" s="1097">
        <v>1140</v>
      </c>
      <c r="J62" s="1437">
        <v>1140</v>
      </c>
      <c r="K62" s="1759"/>
    </row>
    <row r="63" spans="1:11" s="935" customFormat="1" ht="18" customHeight="1">
      <c r="A63" s="920">
        <v>55</v>
      </c>
      <c r="B63" s="921"/>
      <c r="C63" s="936">
        <v>6</v>
      </c>
      <c r="D63" s="937" t="s">
        <v>568</v>
      </c>
      <c r="E63" s="924"/>
      <c r="F63" s="932"/>
      <c r="G63" s="933"/>
      <c r="H63" s="934"/>
      <c r="I63" s="1097">
        <f>1500+500+540</f>
        <v>2540</v>
      </c>
      <c r="J63" s="1437">
        <v>2540</v>
      </c>
      <c r="K63" s="1759"/>
    </row>
    <row r="64" spans="1:11" s="935" customFormat="1" ht="18" customHeight="1">
      <c r="A64" s="929">
        <v>56</v>
      </c>
      <c r="B64" s="921"/>
      <c r="C64" s="941" t="s">
        <v>349</v>
      </c>
      <c r="D64" s="931"/>
      <c r="E64" s="924"/>
      <c r="F64" s="932">
        <v>324</v>
      </c>
      <c r="G64" s="933"/>
      <c r="H64" s="934">
        <v>347</v>
      </c>
      <c r="I64" s="1097"/>
      <c r="J64" s="1437"/>
      <c r="K64" s="1759"/>
    </row>
    <row r="65" spans="1:11" s="935" customFormat="1" ht="45">
      <c r="A65" s="920">
        <v>57</v>
      </c>
      <c r="B65" s="921"/>
      <c r="C65" s="930">
        <v>7</v>
      </c>
      <c r="D65" s="931" t="s">
        <v>569</v>
      </c>
      <c r="E65" s="924"/>
      <c r="F65" s="932"/>
      <c r="G65" s="933"/>
      <c r="H65" s="934"/>
      <c r="I65" s="1346">
        <f>60+40+35+150+250+210+80+80+66+261</f>
        <v>1232</v>
      </c>
      <c r="J65" s="1439">
        <v>1232</v>
      </c>
      <c r="K65" s="1761"/>
    </row>
    <row r="66" spans="1:11" s="935" customFormat="1" ht="18" customHeight="1">
      <c r="A66" s="920">
        <v>58</v>
      </c>
      <c r="B66" s="921"/>
      <c r="C66" s="936">
        <v>8</v>
      </c>
      <c r="D66" s="937" t="s">
        <v>551</v>
      </c>
      <c r="E66" s="924"/>
      <c r="F66" s="932"/>
      <c r="G66" s="933"/>
      <c r="H66" s="934"/>
      <c r="I66" s="1097">
        <v>700</v>
      </c>
      <c r="J66" s="1437">
        <v>0</v>
      </c>
      <c r="K66" s="1759"/>
    </row>
    <row r="67" spans="1:11" s="935" customFormat="1" ht="18" customHeight="1">
      <c r="A67" s="929">
        <v>59</v>
      </c>
      <c r="B67" s="921"/>
      <c r="C67" s="936">
        <v>9</v>
      </c>
      <c r="D67" s="937" t="s">
        <v>810</v>
      </c>
      <c r="E67" s="924"/>
      <c r="F67" s="932"/>
      <c r="G67" s="933"/>
      <c r="H67" s="934"/>
      <c r="I67" s="1097"/>
      <c r="J67" s="1437">
        <v>700</v>
      </c>
      <c r="K67" s="1759"/>
    </row>
    <row r="68" spans="1:11" s="935" customFormat="1" ht="18" customHeight="1">
      <c r="A68" s="920">
        <v>60</v>
      </c>
      <c r="B68" s="921"/>
      <c r="C68" s="936">
        <v>10</v>
      </c>
      <c r="D68" s="937" t="s">
        <v>570</v>
      </c>
      <c r="E68" s="924"/>
      <c r="F68" s="932"/>
      <c r="G68" s="933"/>
      <c r="H68" s="934"/>
      <c r="I68" s="1097">
        <v>2032</v>
      </c>
      <c r="J68" s="1437">
        <v>2032</v>
      </c>
      <c r="K68" s="1759"/>
    </row>
    <row r="69" spans="1:11" s="935" customFormat="1" ht="18" customHeight="1">
      <c r="A69" s="920">
        <v>61</v>
      </c>
      <c r="B69" s="921"/>
      <c r="C69" s="936">
        <v>11</v>
      </c>
      <c r="D69" s="937" t="s">
        <v>567</v>
      </c>
      <c r="E69" s="924"/>
      <c r="F69" s="932"/>
      <c r="G69" s="933"/>
      <c r="H69" s="934"/>
      <c r="I69" s="1097">
        <v>380</v>
      </c>
      <c r="J69" s="1437">
        <v>380</v>
      </c>
      <c r="K69" s="1759"/>
    </row>
    <row r="70" spans="1:11" s="935" customFormat="1" ht="18" customHeight="1">
      <c r="A70" s="929">
        <v>62</v>
      </c>
      <c r="B70" s="921"/>
      <c r="C70" s="936">
        <v>12</v>
      </c>
      <c r="D70" s="937" t="s">
        <v>571</v>
      </c>
      <c r="E70" s="924"/>
      <c r="F70" s="932"/>
      <c r="G70" s="933"/>
      <c r="H70" s="934"/>
      <c r="I70" s="1097">
        <v>1270</v>
      </c>
      <c r="J70" s="1437">
        <v>1270</v>
      </c>
      <c r="K70" s="1759"/>
    </row>
    <row r="71" spans="1:11" s="928" customFormat="1" ht="22.5" customHeight="1">
      <c r="A71" s="920">
        <v>63</v>
      </c>
      <c r="B71" s="921">
        <v>7</v>
      </c>
      <c r="C71" s="922" t="s">
        <v>296</v>
      </c>
      <c r="D71" s="923"/>
      <c r="E71" s="924" t="s">
        <v>22</v>
      </c>
      <c r="F71" s="942"/>
      <c r="G71" s="926"/>
      <c r="H71" s="943"/>
      <c r="I71" s="1096"/>
      <c r="J71" s="1438"/>
      <c r="K71" s="1760"/>
    </row>
    <row r="72" spans="1:11" s="935" customFormat="1" ht="18" customHeight="1">
      <c r="A72" s="920">
        <v>64</v>
      </c>
      <c r="B72" s="921"/>
      <c r="C72" s="941" t="s">
        <v>381</v>
      </c>
      <c r="D72" s="944"/>
      <c r="E72" s="924"/>
      <c r="F72" s="932">
        <v>1129</v>
      </c>
      <c r="G72" s="933">
        <f>120+300</f>
        <v>420</v>
      </c>
      <c r="H72" s="1306">
        <v>438</v>
      </c>
      <c r="I72" s="1097"/>
      <c r="J72" s="1437"/>
      <c r="K72" s="1759"/>
    </row>
    <row r="73" spans="1:11" s="935" customFormat="1" ht="18" customHeight="1">
      <c r="A73" s="929">
        <v>65</v>
      </c>
      <c r="B73" s="921"/>
      <c r="C73" s="936">
        <v>1</v>
      </c>
      <c r="D73" s="931" t="s">
        <v>747</v>
      </c>
      <c r="E73" s="924"/>
      <c r="F73" s="932"/>
      <c r="G73" s="933"/>
      <c r="H73" s="934"/>
      <c r="I73" s="1097">
        <v>300</v>
      </c>
      <c r="J73" s="1437">
        <v>400</v>
      </c>
      <c r="K73" s="1759"/>
    </row>
    <row r="74" spans="1:11" s="935" customFormat="1" ht="18" customHeight="1">
      <c r="A74" s="920">
        <v>66</v>
      </c>
      <c r="B74" s="921"/>
      <c r="C74" s="936">
        <v>2</v>
      </c>
      <c r="D74" s="931" t="s">
        <v>746</v>
      </c>
      <c r="E74" s="924"/>
      <c r="F74" s="932"/>
      <c r="G74" s="933"/>
      <c r="H74" s="934"/>
      <c r="I74" s="1097"/>
      <c r="J74" s="1437">
        <v>300</v>
      </c>
      <c r="K74" s="1759"/>
    </row>
    <row r="75" spans="1:11" s="935" customFormat="1" ht="18" customHeight="1">
      <c r="A75" s="920">
        <v>67</v>
      </c>
      <c r="B75" s="921"/>
      <c r="C75" s="941" t="s">
        <v>350</v>
      </c>
      <c r="D75" s="944"/>
      <c r="E75" s="924"/>
      <c r="F75" s="932">
        <v>1450</v>
      </c>
      <c r="G75" s="933">
        <v>190</v>
      </c>
      <c r="H75" s="934">
        <v>257</v>
      </c>
      <c r="I75" s="1097"/>
      <c r="J75" s="1437"/>
      <c r="K75" s="1759"/>
    </row>
    <row r="76" spans="1:11" s="935" customFormat="1" ht="30.75" customHeight="1">
      <c r="A76" s="929">
        <v>68</v>
      </c>
      <c r="B76" s="921"/>
      <c r="C76" s="930">
        <v>3</v>
      </c>
      <c r="D76" s="931" t="s">
        <v>703</v>
      </c>
      <c r="E76" s="924"/>
      <c r="F76" s="932"/>
      <c r="G76" s="933"/>
      <c r="H76" s="934"/>
      <c r="I76" s="1346">
        <v>300</v>
      </c>
      <c r="J76" s="1439">
        <v>1200</v>
      </c>
      <c r="K76" s="1761"/>
    </row>
    <row r="77" spans="1:11" s="935" customFormat="1" ht="18" customHeight="1">
      <c r="A77" s="920">
        <v>69</v>
      </c>
      <c r="B77" s="921"/>
      <c r="C77" s="941" t="s">
        <v>351</v>
      </c>
      <c r="D77" s="944"/>
      <c r="E77" s="924"/>
      <c r="F77" s="932">
        <v>2493</v>
      </c>
      <c r="G77" s="933">
        <v>260</v>
      </c>
      <c r="H77" s="934">
        <v>172</v>
      </c>
      <c r="I77" s="1097"/>
      <c r="J77" s="1437"/>
      <c r="K77" s="1759"/>
    </row>
    <row r="78" spans="1:11" s="935" customFormat="1" ht="32.25" customHeight="1">
      <c r="A78" s="920">
        <v>70</v>
      </c>
      <c r="B78" s="921"/>
      <c r="C78" s="930">
        <v>4</v>
      </c>
      <c r="D78" s="931" t="s">
        <v>704</v>
      </c>
      <c r="E78" s="924"/>
      <c r="F78" s="932"/>
      <c r="G78" s="933"/>
      <c r="H78" s="934"/>
      <c r="I78" s="1346">
        <v>330</v>
      </c>
      <c r="J78" s="1439">
        <v>1600</v>
      </c>
      <c r="K78" s="1761"/>
    </row>
    <row r="79" spans="1:11" s="935" customFormat="1" ht="18" customHeight="1">
      <c r="A79" s="929">
        <v>71</v>
      </c>
      <c r="B79" s="921"/>
      <c r="C79" s="941" t="s">
        <v>353</v>
      </c>
      <c r="D79" s="931"/>
      <c r="E79" s="924"/>
      <c r="F79" s="932">
        <v>3057</v>
      </c>
      <c r="G79" s="933">
        <v>340</v>
      </c>
      <c r="H79" s="934">
        <v>384</v>
      </c>
      <c r="I79" s="1097"/>
      <c r="J79" s="1437"/>
      <c r="K79" s="1759"/>
    </row>
    <row r="80" spans="1:11" s="935" customFormat="1" ht="18" customHeight="1">
      <c r="A80" s="920">
        <v>72</v>
      </c>
      <c r="B80" s="921"/>
      <c r="C80" s="930">
        <v>5</v>
      </c>
      <c r="D80" s="931" t="s">
        <v>813</v>
      </c>
      <c r="E80" s="924"/>
      <c r="F80" s="932"/>
      <c r="G80" s="933"/>
      <c r="H80" s="934"/>
      <c r="I80" s="1097"/>
      <c r="J80" s="1437">
        <v>280</v>
      </c>
      <c r="K80" s="1759">
        <v>280</v>
      </c>
    </row>
    <row r="81" spans="1:11" s="935" customFormat="1" ht="30">
      <c r="A81" s="920">
        <v>73</v>
      </c>
      <c r="B81" s="921"/>
      <c r="C81" s="930">
        <v>6</v>
      </c>
      <c r="D81" s="931" t="s">
        <v>812</v>
      </c>
      <c r="E81" s="924"/>
      <c r="F81" s="932"/>
      <c r="G81" s="933"/>
      <c r="H81" s="934"/>
      <c r="I81" s="1346">
        <f>150+300+500+80+498</f>
        <v>1528</v>
      </c>
      <c r="J81" s="1439">
        <v>2668</v>
      </c>
      <c r="K81" s="1761">
        <v>368</v>
      </c>
    </row>
    <row r="82" spans="1:11" s="935" customFormat="1" ht="18" customHeight="1">
      <c r="A82" s="929">
        <v>74</v>
      </c>
      <c r="B82" s="921"/>
      <c r="C82" s="941" t="s">
        <v>352</v>
      </c>
      <c r="D82" s="944"/>
      <c r="E82" s="924"/>
      <c r="F82" s="932">
        <v>1244</v>
      </c>
      <c r="G82" s="933">
        <v>220</v>
      </c>
      <c r="H82" s="934">
        <v>290</v>
      </c>
      <c r="I82" s="1097"/>
      <c r="J82" s="1437"/>
      <c r="K82" s="1759"/>
    </row>
    <row r="83" spans="1:11" s="935" customFormat="1" ht="28.5" customHeight="1">
      <c r="A83" s="920">
        <v>75</v>
      </c>
      <c r="B83" s="921"/>
      <c r="C83" s="930">
        <v>7</v>
      </c>
      <c r="D83" s="931" t="s">
        <v>705</v>
      </c>
      <c r="E83" s="924"/>
      <c r="F83" s="932"/>
      <c r="G83" s="933"/>
      <c r="H83" s="934"/>
      <c r="I83" s="1346">
        <v>300</v>
      </c>
      <c r="J83" s="1439">
        <v>1400</v>
      </c>
      <c r="K83" s="1761">
        <v>250</v>
      </c>
    </row>
    <row r="84" spans="1:11" s="935" customFormat="1" ht="18" customHeight="1">
      <c r="A84" s="920">
        <v>76</v>
      </c>
      <c r="B84" s="921"/>
      <c r="C84" s="941" t="s">
        <v>487</v>
      </c>
      <c r="D84" s="944"/>
      <c r="E84" s="924"/>
      <c r="F84" s="932">
        <v>193</v>
      </c>
      <c r="G84" s="933"/>
      <c r="H84" s="934"/>
      <c r="I84" s="1097"/>
      <c r="J84" s="1437"/>
      <c r="K84" s="1759"/>
    </row>
    <row r="85" spans="1:11" s="935" customFormat="1" ht="18" customHeight="1">
      <c r="A85" s="929">
        <v>77</v>
      </c>
      <c r="B85" s="921"/>
      <c r="C85" s="936">
        <v>8</v>
      </c>
      <c r="D85" s="931" t="s">
        <v>706</v>
      </c>
      <c r="E85" s="924"/>
      <c r="F85" s="932"/>
      <c r="G85" s="933"/>
      <c r="H85" s="934"/>
      <c r="I85" s="1097"/>
      <c r="J85" s="1437">
        <v>100</v>
      </c>
      <c r="K85" s="1759"/>
    </row>
    <row r="86" spans="1:11" s="935" customFormat="1" ht="18" customHeight="1">
      <c r="A86" s="920">
        <v>78</v>
      </c>
      <c r="B86" s="921"/>
      <c r="C86" s="941" t="s">
        <v>320</v>
      </c>
      <c r="D86" s="931"/>
      <c r="E86" s="924"/>
      <c r="F86" s="932">
        <v>15436</v>
      </c>
      <c r="G86" s="926">
        <v>200</v>
      </c>
      <c r="H86" s="927">
        <v>941</v>
      </c>
      <c r="I86" s="1096"/>
      <c r="J86" s="1438"/>
      <c r="K86" s="1759"/>
    </row>
    <row r="87" spans="1:11" s="935" customFormat="1" ht="18" customHeight="1">
      <c r="A87" s="920">
        <v>79</v>
      </c>
      <c r="B87" s="921"/>
      <c r="C87" s="1762">
        <v>9</v>
      </c>
      <c r="D87" s="931" t="s">
        <v>726</v>
      </c>
      <c r="E87" s="924"/>
      <c r="F87" s="932"/>
      <c r="G87" s="933"/>
      <c r="H87" s="934"/>
      <c r="I87" s="1097"/>
      <c r="J87" s="1437">
        <v>1299</v>
      </c>
      <c r="K87" s="1759">
        <v>900</v>
      </c>
    </row>
    <row r="88" spans="1:11" s="935" customFormat="1" ht="18" customHeight="1">
      <c r="A88" s="929">
        <v>80</v>
      </c>
      <c r="B88" s="921"/>
      <c r="C88" s="945" t="s">
        <v>488</v>
      </c>
      <c r="D88" s="931"/>
      <c r="E88" s="924"/>
      <c r="F88" s="932"/>
      <c r="G88" s="926"/>
      <c r="H88" s="927"/>
      <c r="I88" s="1096"/>
      <c r="J88" s="1438"/>
      <c r="K88" s="1759"/>
    </row>
    <row r="89" spans="1:11" s="935" customFormat="1" ht="29.25" customHeight="1">
      <c r="A89" s="920">
        <v>81</v>
      </c>
      <c r="B89" s="921"/>
      <c r="C89" s="930">
        <v>10</v>
      </c>
      <c r="D89" s="931" t="s">
        <v>748</v>
      </c>
      <c r="E89" s="924"/>
      <c r="F89" s="932"/>
      <c r="G89" s="933"/>
      <c r="H89" s="934"/>
      <c r="I89" s="1097">
        <f>290+80+40</f>
        <v>410</v>
      </c>
      <c r="J89" s="1437">
        <v>1000</v>
      </c>
      <c r="K89" s="1759">
        <v>247</v>
      </c>
    </row>
    <row r="90" spans="1:11" s="935" customFormat="1" ht="30" customHeight="1">
      <c r="A90" s="920">
        <v>82</v>
      </c>
      <c r="B90" s="921"/>
      <c r="C90" s="930">
        <v>11</v>
      </c>
      <c r="D90" s="931" t="s">
        <v>749</v>
      </c>
      <c r="E90" s="924"/>
      <c r="F90" s="932"/>
      <c r="G90" s="933"/>
      <c r="H90" s="934"/>
      <c r="I90" s="1097">
        <f>200+80</f>
        <v>280</v>
      </c>
      <c r="J90" s="1437">
        <v>1000</v>
      </c>
      <c r="K90" s="1759">
        <v>94</v>
      </c>
    </row>
    <row r="91" spans="1:11" s="928" customFormat="1" ht="22.5" customHeight="1">
      <c r="A91" s="929">
        <v>83</v>
      </c>
      <c r="B91" s="921">
        <v>8</v>
      </c>
      <c r="C91" s="940" t="s">
        <v>113</v>
      </c>
      <c r="D91" s="923"/>
      <c r="E91" s="924" t="s">
        <v>22</v>
      </c>
      <c r="F91" s="925">
        <v>2004</v>
      </c>
      <c r="G91" s="926"/>
      <c r="H91" s="927">
        <v>291</v>
      </c>
      <c r="I91" s="1096"/>
      <c r="J91" s="1438"/>
      <c r="K91" s="1760"/>
    </row>
    <row r="92" spans="1:11" s="935" customFormat="1" ht="32.25" customHeight="1">
      <c r="A92" s="920">
        <v>84</v>
      </c>
      <c r="B92" s="921"/>
      <c r="C92" s="930">
        <v>1</v>
      </c>
      <c r="D92" s="931" t="s">
        <v>683</v>
      </c>
      <c r="E92" s="924"/>
      <c r="F92" s="932"/>
      <c r="G92" s="933"/>
      <c r="H92" s="934"/>
      <c r="I92" s="1097">
        <v>341</v>
      </c>
      <c r="J92" s="1437">
        <v>641</v>
      </c>
      <c r="K92" s="1759">
        <v>92</v>
      </c>
    </row>
    <row r="93" spans="1:11" s="935" customFormat="1" ht="18" customHeight="1">
      <c r="A93" s="920">
        <v>85</v>
      </c>
      <c r="B93" s="921"/>
      <c r="C93" s="936">
        <v>2</v>
      </c>
      <c r="D93" s="937" t="s">
        <v>684</v>
      </c>
      <c r="E93" s="924"/>
      <c r="F93" s="932"/>
      <c r="G93" s="933"/>
      <c r="H93" s="934"/>
      <c r="I93" s="1097"/>
      <c r="J93" s="1437">
        <v>200</v>
      </c>
      <c r="K93" s="1759"/>
    </row>
    <row r="94" spans="1:11" s="928" customFormat="1" ht="22.5" customHeight="1">
      <c r="A94" s="929">
        <v>86</v>
      </c>
      <c r="B94" s="921">
        <v>9</v>
      </c>
      <c r="C94" s="940" t="s">
        <v>376</v>
      </c>
      <c r="D94" s="923"/>
      <c r="E94" s="924" t="s">
        <v>22</v>
      </c>
      <c r="F94" s="925">
        <v>5998</v>
      </c>
      <c r="G94" s="926">
        <f>500+300+200+150</f>
        <v>1150</v>
      </c>
      <c r="H94" s="927">
        <v>3230</v>
      </c>
      <c r="I94" s="1096"/>
      <c r="J94" s="1438"/>
      <c r="K94" s="1760"/>
    </row>
    <row r="95" spans="1:11" s="935" customFormat="1" ht="60">
      <c r="A95" s="920">
        <v>87</v>
      </c>
      <c r="B95" s="921"/>
      <c r="C95" s="930">
        <v>1</v>
      </c>
      <c r="D95" s="931" t="s">
        <v>680</v>
      </c>
      <c r="E95" s="924"/>
      <c r="F95" s="932"/>
      <c r="G95" s="933"/>
      <c r="H95" s="934"/>
      <c r="I95" s="1097">
        <v>1500</v>
      </c>
      <c r="J95" s="1437">
        <v>1500</v>
      </c>
      <c r="K95" s="1759">
        <v>1085</v>
      </c>
    </row>
    <row r="96" spans="1:11" s="935" customFormat="1" ht="75">
      <c r="A96" s="920">
        <v>88</v>
      </c>
      <c r="B96" s="921"/>
      <c r="C96" s="930">
        <v>2</v>
      </c>
      <c r="D96" s="931" t="s">
        <v>681</v>
      </c>
      <c r="E96" s="924"/>
      <c r="F96" s="932"/>
      <c r="G96" s="933"/>
      <c r="H96" s="934"/>
      <c r="I96" s="1097">
        <v>1000</v>
      </c>
      <c r="J96" s="1437">
        <v>1000</v>
      </c>
      <c r="K96" s="1759">
        <v>902</v>
      </c>
    </row>
    <row r="97" spans="1:11" s="935" customFormat="1" ht="60">
      <c r="A97" s="929">
        <v>89</v>
      </c>
      <c r="B97" s="921"/>
      <c r="C97" s="930">
        <v>3</v>
      </c>
      <c r="D97" s="931" t="s">
        <v>682</v>
      </c>
      <c r="E97" s="924"/>
      <c r="F97" s="932"/>
      <c r="G97" s="933"/>
      <c r="H97" s="934"/>
      <c r="I97" s="1097">
        <v>1000</v>
      </c>
      <c r="J97" s="1437">
        <v>1000</v>
      </c>
      <c r="K97" s="1759">
        <v>2944</v>
      </c>
    </row>
    <row r="98" spans="1:11" s="935" customFormat="1" ht="18" customHeight="1">
      <c r="A98" s="920">
        <v>90</v>
      </c>
      <c r="B98" s="921"/>
      <c r="C98" s="936">
        <v>4</v>
      </c>
      <c r="D98" s="931" t="s">
        <v>573</v>
      </c>
      <c r="E98" s="924"/>
      <c r="F98" s="932"/>
      <c r="G98" s="933"/>
      <c r="H98" s="934"/>
      <c r="I98" s="1097">
        <f>1400+350+50+30+3800</f>
        <v>5630</v>
      </c>
      <c r="J98" s="1437">
        <v>5630</v>
      </c>
      <c r="K98" s="1759"/>
    </row>
    <row r="99" spans="1:11" s="935" customFormat="1" ht="31.5" customHeight="1">
      <c r="A99" s="920">
        <v>91</v>
      </c>
      <c r="B99" s="921"/>
      <c r="C99" s="961">
        <v>5</v>
      </c>
      <c r="D99" s="1701" t="s">
        <v>811</v>
      </c>
      <c r="E99" s="1475"/>
      <c r="F99" s="1039"/>
      <c r="G99" s="1039"/>
      <c r="H99" s="1474"/>
      <c r="I99" s="1097"/>
      <c r="J99" s="1437">
        <v>671</v>
      </c>
      <c r="K99" s="1759">
        <v>186</v>
      </c>
    </row>
    <row r="100" spans="1:11" s="928" customFormat="1" ht="22.5" customHeight="1">
      <c r="A100" s="929">
        <v>92</v>
      </c>
      <c r="B100" s="921">
        <v>10</v>
      </c>
      <c r="C100" s="922" t="s">
        <v>378</v>
      </c>
      <c r="D100" s="923"/>
      <c r="E100" s="924" t="s">
        <v>22</v>
      </c>
      <c r="F100" s="925">
        <v>4955</v>
      </c>
      <c r="G100" s="926"/>
      <c r="H100" s="927">
        <v>5225</v>
      </c>
      <c r="I100" s="1096"/>
      <c r="J100" s="1438"/>
      <c r="K100" s="1760"/>
    </row>
    <row r="101" spans="1:11" s="935" customFormat="1" ht="18" customHeight="1">
      <c r="A101" s="920">
        <v>93</v>
      </c>
      <c r="B101" s="921"/>
      <c r="C101" s="936">
        <v>1</v>
      </c>
      <c r="D101" s="931" t="s">
        <v>553</v>
      </c>
      <c r="E101" s="924"/>
      <c r="F101" s="932"/>
      <c r="G101" s="933"/>
      <c r="H101" s="934"/>
      <c r="I101" s="1097">
        <v>3000</v>
      </c>
      <c r="J101" s="1437">
        <v>0</v>
      </c>
      <c r="K101" s="1759">
        <v>616</v>
      </c>
    </row>
    <row r="102" spans="1:11" s="951" customFormat="1" ht="30" customHeight="1">
      <c r="A102" s="920">
        <v>94</v>
      </c>
      <c r="B102" s="946"/>
      <c r="C102" s="930">
        <v>2</v>
      </c>
      <c r="D102" s="947" t="s">
        <v>489</v>
      </c>
      <c r="E102" s="948"/>
      <c r="F102" s="949"/>
      <c r="G102" s="950">
        <v>4050</v>
      </c>
      <c r="H102" s="927">
        <v>0</v>
      </c>
      <c r="I102" s="1097">
        <v>4050</v>
      </c>
      <c r="J102" s="1437">
        <v>4050</v>
      </c>
      <c r="K102" s="1761"/>
    </row>
    <row r="103" spans="1:11" s="951" customFormat="1" ht="18" customHeight="1">
      <c r="A103" s="929">
        <v>95</v>
      </c>
      <c r="B103" s="946"/>
      <c r="C103" s="930">
        <v>3</v>
      </c>
      <c r="D103" s="931" t="s">
        <v>831</v>
      </c>
      <c r="E103" s="948"/>
      <c r="F103" s="949"/>
      <c r="G103" s="950"/>
      <c r="H103" s="927"/>
      <c r="I103" s="1097"/>
      <c r="J103" s="1437">
        <v>2850</v>
      </c>
      <c r="K103" s="1759">
        <v>506</v>
      </c>
    </row>
    <row r="104" spans="1:11" s="951" customFormat="1" ht="18" customHeight="1">
      <c r="A104" s="920">
        <v>96</v>
      </c>
      <c r="B104" s="946"/>
      <c r="C104" s="930">
        <v>4</v>
      </c>
      <c r="D104" s="931" t="s">
        <v>677</v>
      </c>
      <c r="E104" s="948"/>
      <c r="F104" s="949"/>
      <c r="G104" s="950"/>
      <c r="H104" s="927"/>
      <c r="I104" s="1097"/>
      <c r="J104" s="1437">
        <v>300</v>
      </c>
      <c r="K104" s="1759"/>
    </row>
    <row r="105" spans="1:11" s="951" customFormat="1" ht="18" customHeight="1">
      <c r="A105" s="920">
        <v>97</v>
      </c>
      <c r="B105" s="946"/>
      <c r="C105" s="930">
        <v>5</v>
      </c>
      <c r="D105" s="931" t="s">
        <v>678</v>
      </c>
      <c r="E105" s="948"/>
      <c r="F105" s="949"/>
      <c r="G105" s="950"/>
      <c r="H105" s="927"/>
      <c r="I105" s="1097"/>
      <c r="J105" s="1437">
        <v>400</v>
      </c>
      <c r="K105" s="1759"/>
    </row>
    <row r="106" spans="1:11" s="951" customFormat="1" ht="18" customHeight="1">
      <c r="A106" s="929">
        <v>98</v>
      </c>
      <c r="B106" s="946"/>
      <c r="C106" s="930">
        <v>6</v>
      </c>
      <c r="D106" s="931" t="s">
        <v>679</v>
      </c>
      <c r="E106" s="948"/>
      <c r="F106" s="949"/>
      <c r="G106" s="950"/>
      <c r="H106" s="927"/>
      <c r="I106" s="1097"/>
      <c r="J106" s="1442">
        <v>690</v>
      </c>
      <c r="K106" s="1759"/>
    </row>
    <row r="107" spans="1:11" s="951" customFormat="1" ht="32.25" customHeight="1">
      <c r="A107" s="920">
        <v>99</v>
      </c>
      <c r="B107" s="946"/>
      <c r="C107" s="930">
        <v>7</v>
      </c>
      <c r="D107" s="1482" t="s">
        <v>834</v>
      </c>
      <c r="E107" s="494"/>
      <c r="F107" s="949"/>
      <c r="G107" s="950"/>
      <c r="H107" s="927"/>
      <c r="I107" s="1097"/>
      <c r="J107" s="1437">
        <v>568</v>
      </c>
      <c r="K107" s="1759">
        <v>568</v>
      </c>
    </row>
    <row r="108" spans="1:11" s="951" customFormat="1" ht="18" customHeight="1">
      <c r="A108" s="920">
        <v>100</v>
      </c>
      <c r="B108" s="946"/>
      <c r="C108" s="930">
        <v>8</v>
      </c>
      <c r="D108" s="931" t="s">
        <v>835</v>
      </c>
      <c r="E108" s="1481"/>
      <c r="F108" s="949"/>
      <c r="G108" s="950"/>
      <c r="H108" s="927"/>
      <c r="I108" s="1097"/>
      <c r="J108" s="1437">
        <v>1300</v>
      </c>
      <c r="K108" s="1759">
        <v>34</v>
      </c>
    </row>
    <row r="109" spans="1:11" s="951" customFormat="1" ht="18" customHeight="1">
      <c r="A109" s="929">
        <v>101</v>
      </c>
      <c r="B109" s="946"/>
      <c r="C109" s="930">
        <v>9</v>
      </c>
      <c r="D109" s="931" t="s">
        <v>832</v>
      </c>
      <c r="E109" s="1481"/>
      <c r="F109" s="949"/>
      <c r="G109" s="950"/>
      <c r="H109" s="927"/>
      <c r="I109" s="1097"/>
      <c r="J109" s="1437">
        <v>400</v>
      </c>
      <c r="K109" s="1759"/>
    </row>
    <row r="110" spans="1:11" s="951" customFormat="1" ht="18" customHeight="1">
      <c r="A110" s="920">
        <v>102</v>
      </c>
      <c r="B110" s="946"/>
      <c r="C110" s="930">
        <v>10</v>
      </c>
      <c r="D110" s="931" t="s">
        <v>833</v>
      </c>
      <c r="E110" s="1481"/>
      <c r="F110" s="949"/>
      <c r="G110" s="950"/>
      <c r="H110" s="927"/>
      <c r="I110" s="1097"/>
      <c r="J110" s="1437">
        <v>300</v>
      </c>
      <c r="K110" s="1759"/>
    </row>
    <row r="111" spans="1:11" s="928" customFormat="1" ht="22.5" customHeight="1">
      <c r="A111" s="920">
        <v>103</v>
      </c>
      <c r="B111" s="921">
        <v>11</v>
      </c>
      <c r="C111" s="940" t="s">
        <v>370</v>
      </c>
      <c r="D111" s="923"/>
      <c r="E111" s="924" t="s">
        <v>22</v>
      </c>
      <c r="F111" s="925">
        <v>8894</v>
      </c>
      <c r="G111" s="926"/>
      <c r="H111" s="927">
        <v>1580</v>
      </c>
      <c r="I111" s="1096"/>
      <c r="J111" s="1438"/>
      <c r="K111" s="1760"/>
    </row>
    <row r="112" spans="1:11" s="935" customFormat="1" ht="18" customHeight="1">
      <c r="A112" s="929">
        <v>104</v>
      </c>
      <c r="B112" s="921"/>
      <c r="C112" s="936">
        <v>1</v>
      </c>
      <c r="D112" s="931" t="s">
        <v>572</v>
      </c>
      <c r="E112" s="924"/>
      <c r="F112" s="932"/>
      <c r="G112" s="933"/>
      <c r="H112" s="934"/>
      <c r="I112" s="1097">
        <v>600</v>
      </c>
      <c r="J112" s="1437">
        <v>800</v>
      </c>
      <c r="K112" s="1759">
        <v>820</v>
      </c>
    </row>
    <row r="113" spans="1:11" s="935" customFormat="1" ht="30" customHeight="1">
      <c r="A113" s="920">
        <v>105</v>
      </c>
      <c r="B113" s="921"/>
      <c r="C113" s="930">
        <v>2</v>
      </c>
      <c r="D113" s="931" t="s">
        <v>815</v>
      </c>
      <c r="E113" s="924"/>
      <c r="F113" s="932"/>
      <c r="G113" s="933"/>
      <c r="H113" s="934"/>
      <c r="I113" s="1097">
        <v>600</v>
      </c>
      <c r="J113" s="1437">
        <v>1000</v>
      </c>
      <c r="K113" s="1759">
        <v>234</v>
      </c>
    </row>
    <row r="114" spans="1:11" s="935" customFormat="1" ht="18" customHeight="1">
      <c r="A114" s="920">
        <v>106</v>
      </c>
      <c r="B114" s="921"/>
      <c r="C114" s="936">
        <v>3</v>
      </c>
      <c r="D114" s="931" t="s">
        <v>574</v>
      </c>
      <c r="E114" s="924"/>
      <c r="F114" s="932"/>
      <c r="G114" s="933"/>
      <c r="H114" s="934"/>
      <c r="I114" s="1097">
        <v>2000</v>
      </c>
      <c r="J114" s="1437">
        <v>2000</v>
      </c>
      <c r="K114" s="1759">
        <v>1700</v>
      </c>
    </row>
    <row r="115" spans="1:11" s="935" customFormat="1" ht="18" customHeight="1">
      <c r="A115" s="929">
        <v>107</v>
      </c>
      <c r="B115" s="921"/>
      <c r="C115" s="936">
        <v>4</v>
      </c>
      <c r="D115" s="937" t="s">
        <v>653</v>
      </c>
      <c r="E115" s="924"/>
      <c r="F115" s="932"/>
      <c r="G115" s="933"/>
      <c r="H115" s="934"/>
      <c r="I115" s="1097">
        <v>5000</v>
      </c>
      <c r="J115" s="1437">
        <v>5000</v>
      </c>
      <c r="K115" s="1759"/>
    </row>
    <row r="116" spans="1:11" s="935" customFormat="1" ht="18" customHeight="1">
      <c r="A116" s="920">
        <v>108</v>
      </c>
      <c r="B116" s="921"/>
      <c r="C116" s="936">
        <v>5</v>
      </c>
      <c r="D116" s="937" t="s">
        <v>586</v>
      </c>
      <c r="E116" s="924"/>
      <c r="F116" s="932"/>
      <c r="G116" s="933"/>
      <c r="H116" s="934"/>
      <c r="I116" s="1097"/>
      <c r="J116" s="1437">
        <v>800</v>
      </c>
      <c r="K116" s="1759">
        <v>728</v>
      </c>
    </row>
    <row r="117" spans="1:11" s="935" customFormat="1" ht="18" customHeight="1">
      <c r="A117" s="920">
        <v>109</v>
      </c>
      <c r="B117" s="921"/>
      <c r="C117" s="936">
        <v>6</v>
      </c>
      <c r="D117" s="937" t="s">
        <v>689</v>
      </c>
      <c r="E117" s="924"/>
      <c r="F117" s="932"/>
      <c r="G117" s="933"/>
      <c r="H117" s="934"/>
      <c r="I117" s="1097"/>
      <c r="J117" s="1437">
        <v>100</v>
      </c>
      <c r="K117" s="1759"/>
    </row>
    <row r="118" spans="1:11" s="935" customFormat="1" ht="18" customHeight="1">
      <c r="A118" s="929">
        <v>110</v>
      </c>
      <c r="B118" s="921"/>
      <c r="C118" s="936">
        <v>7</v>
      </c>
      <c r="D118" s="937" t="s">
        <v>814</v>
      </c>
      <c r="E118" s="924"/>
      <c r="F118" s="932"/>
      <c r="G118" s="933"/>
      <c r="H118" s="934"/>
      <c r="I118" s="1097"/>
      <c r="J118" s="1437">
        <v>750</v>
      </c>
      <c r="K118" s="1759">
        <v>953</v>
      </c>
    </row>
    <row r="119" spans="1:11" s="928" customFormat="1" ht="22.5" customHeight="1">
      <c r="A119" s="920">
        <v>111</v>
      </c>
      <c r="B119" s="921">
        <v>12</v>
      </c>
      <c r="C119" s="940" t="s">
        <v>24</v>
      </c>
      <c r="D119" s="923"/>
      <c r="E119" s="924" t="s">
        <v>22</v>
      </c>
      <c r="F119" s="925">
        <v>4783</v>
      </c>
      <c r="G119" s="926"/>
      <c r="H119" s="927">
        <v>16587</v>
      </c>
      <c r="I119" s="1096"/>
      <c r="J119" s="1438"/>
      <c r="K119" s="1760"/>
    </row>
    <row r="120" spans="1:11" s="935" customFormat="1" ht="30">
      <c r="A120" s="920">
        <v>112</v>
      </c>
      <c r="B120" s="921"/>
      <c r="C120" s="930">
        <v>1</v>
      </c>
      <c r="D120" s="931" t="s">
        <v>575</v>
      </c>
      <c r="E120" s="924"/>
      <c r="F120" s="925"/>
      <c r="G120" s="950"/>
      <c r="H120" s="934"/>
      <c r="I120" s="1097">
        <v>11550</v>
      </c>
      <c r="J120" s="1437">
        <v>12000</v>
      </c>
      <c r="K120" s="1759">
        <v>7116</v>
      </c>
    </row>
    <row r="121" spans="1:11" s="935" customFormat="1" ht="30">
      <c r="A121" s="929">
        <v>113</v>
      </c>
      <c r="B121" s="921"/>
      <c r="C121" s="930">
        <v>2</v>
      </c>
      <c r="D121" s="931" t="s">
        <v>321</v>
      </c>
      <c r="E121" s="924"/>
      <c r="F121" s="925">
        <v>20716</v>
      </c>
      <c r="G121" s="950">
        <v>16000</v>
      </c>
      <c r="H121" s="927">
        <v>66716</v>
      </c>
      <c r="I121" s="1097">
        <v>16000</v>
      </c>
      <c r="J121" s="1437">
        <v>67000</v>
      </c>
      <c r="K121" s="1759">
        <v>27155</v>
      </c>
    </row>
    <row r="122" spans="1:11" s="935" customFormat="1" ht="47.25" customHeight="1">
      <c r="A122" s="920">
        <v>114</v>
      </c>
      <c r="B122" s="921"/>
      <c r="C122" s="936">
        <v>3</v>
      </c>
      <c r="D122" s="931" t="s">
        <v>817</v>
      </c>
      <c r="E122" s="924"/>
      <c r="F122" s="925"/>
      <c r="G122" s="950"/>
      <c r="H122" s="934"/>
      <c r="I122" s="1097">
        <v>987</v>
      </c>
      <c r="J122" s="1437">
        <v>700</v>
      </c>
      <c r="K122" s="1759">
        <v>223</v>
      </c>
    </row>
    <row r="123" spans="1:11" s="935" customFormat="1" ht="18" customHeight="1">
      <c r="A123" s="920">
        <v>115</v>
      </c>
      <c r="B123" s="921"/>
      <c r="C123" s="936">
        <v>4</v>
      </c>
      <c r="D123" s="931" t="s">
        <v>576</v>
      </c>
      <c r="E123" s="924"/>
      <c r="F123" s="925"/>
      <c r="G123" s="950"/>
      <c r="H123" s="934"/>
      <c r="I123" s="1097">
        <v>717</v>
      </c>
      <c r="J123" s="1437">
        <v>717</v>
      </c>
      <c r="K123" s="1759"/>
    </row>
    <row r="124" spans="1:11" s="935" customFormat="1" ht="18" customHeight="1">
      <c r="A124" s="929">
        <v>116</v>
      </c>
      <c r="B124" s="921"/>
      <c r="C124" s="936">
        <v>5</v>
      </c>
      <c r="D124" s="931" t="s">
        <v>577</v>
      </c>
      <c r="E124" s="924"/>
      <c r="F124" s="925"/>
      <c r="G124" s="950"/>
      <c r="H124" s="934"/>
      <c r="I124" s="1097">
        <v>200</v>
      </c>
      <c r="J124" s="1437">
        <v>200</v>
      </c>
      <c r="K124" s="1759">
        <v>200</v>
      </c>
    </row>
    <row r="125" spans="1:11" s="935" customFormat="1" ht="30">
      <c r="A125" s="920">
        <v>117</v>
      </c>
      <c r="B125" s="921"/>
      <c r="C125" s="930">
        <v>6</v>
      </c>
      <c r="D125" s="931" t="s">
        <v>489</v>
      </c>
      <c r="E125" s="924"/>
      <c r="F125" s="932"/>
      <c r="G125" s="926">
        <v>2400</v>
      </c>
      <c r="H125" s="927">
        <v>0</v>
      </c>
      <c r="I125" s="1097">
        <v>2400</v>
      </c>
      <c r="J125" s="1437">
        <v>2400</v>
      </c>
      <c r="K125" s="1759"/>
    </row>
    <row r="126" spans="1:11" s="935" customFormat="1" ht="18" customHeight="1">
      <c r="A126" s="920">
        <v>118</v>
      </c>
      <c r="B126" s="921"/>
      <c r="C126" s="930">
        <v>7</v>
      </c>
      <c r="D126" s="931" t="s">
        <v>686</v>
      </c>
      <c r="E126" s="924"/>
      <c r="F126" s="932"/>
      <c r="G126" s="926"/>
      <c r="H126" s="927"/>
      <c r="I126" s="1097"/>
      <c r="J126" s="1437">
        <v>762</v>
      </c>
      <c r="K126" s="1759"/>
    </row>
    <row r="127" spans="1:11" s="935" customFormat="1" ht="18" customHeight="1">
      <c r="A127" s="929">
        <v>119</v>
      </c>
      <c r="B127" s="921"/>
      <c r="C127" s="930">
        <v>8</v>
      </c>
      <c r="D127" s="937" t="s">
        <v>687</v>
      </c>
      <c r="E127" s="924"/>
      <c r="F127" s="932"/>
      <c r="G127" s="926"/>
      <c r="H127" s="927"/>
      <c r="I127" s="1097"/>
      <c r="J127" s="1437">
        <v>225</v>
      </c>
      <c r="K127" s="1759">
        <v>205</v>
      </c>
    </row>
    <row r="128" spans="1:11" s="935" customFormat="1" ht="30.75" customHeight="1">
      <c r="A128" s="920">
        <v>120</v>
      </c>
      <c r="B128" s="921"/>
      <c r="C128" s="930">
        <v>9</v>
      </c>
      <c r="D128" s="937" t="s">
        <v>818</v>
      </c>
      <c r="E128" s="924"/>
      <c r="F128" s="932"/>
      <c r="G128" s="926"/>
      <c r="H128" s="927"/>
      <c r="I128" s="1097"/>
      <c r="J128" s="1437">
        <v>760</v>
      </c>
      <c r="K128" s="1759"/>
    </row>
    <row r="129" spans="1:11" s="928" customFormat="1" ht="22.5" customHeight="1">
      <c r="A129" s="920">
        <v>121</v>
      </c>
      <c r="B129" s="921">
        <v>13</v>
      </c>
      <c r="C129" s="940" t="s">
        <v>31</v>
      </c>
      <c r="D129" s="923"/>
      <c r="E129" s="924" t="s">
        <v>22</v>
      </c>
      <c r="F129" s="925">
        <v>50840</v>
      </c>
      <c r="G129" s="926">
        <f>700+500</f>
        <v>1200</v>
      </c>
      <c r="H129" s="927">
        <v>5908</v>
      </c>
      <c r="I129" s="1096"/>
      <c r="J129" s="1438"/>
      <c r="K129" s="1760"/>
    </row>
    <row r="130" spans="1:11" s="935" customFormat="1" ht="18" customHeight="1">
      <c r="A130" s="929">
        <v>122</v>
      </c>
      <c r="B130" s="921"/>
      <c r="C130" s="936">
        <v>1</v>
      </c>
      <c r="D130" s="931" t="s">
        <v>553</v>
      </c>
      <c r="E130" s="924"/>
      <c r="F130" s="932"/>
      <c r="G130" s="933"/>
      <c r="H130" s="934"/>
      <c r="I130" s="1097">
        <v>2500</v>
      </c>
      <c r="J130" s="1437">
        <v>3000</v>
      </c>
      <c r="K130" s="1759">
        <v>38</v>
      </c>
    </row>
    <row r="131" spans="1:11" s="935" customFormat="1" ht="18" customHeight="1">
      <c r="A131" s="920">
        <v>123</v>
      </c>
      <c r="B131" s="921"/>
      <c r="C131" s="936">
        <v>2</v>
      </c>
      <c r="D131" s="931" t="s">
        <v>578</v>
      </c>
      <c r="E131" s="924"/>
      <c r="F131" s="932"/>
      <c r="G131" s="933"/>
      <c r="H131" s="934"/>
      <c r="I131" s="1097">
        <v>1557</v>
      </c>
      <c r="J131" s="1437">
        <v>1557</v>
      </c>
      <c r="K131" s="1759">
        <v>10</v>
      </c>
    </row>
    <row r="132" spans="1:11" s="935" customFormat="1" ht="18" customHeight="1">
      <c r="A132" s="920">
        <v>124</v>
      </c>
      <c r="B132" s="921"/>
      <c r="C132" s="936">
        <v>3</v>
      </c>
      <c r="D132" s="937" t="s">
        <v>579</v>
      </c>
      <c r="E132" s="924"/>
      <c r="F132" s="932"/>
      <c r="G132" s="933"/>
      <c r="H132" s="934"/>
      <c r="I132" s="1097">
        <v>3000</v>
      </c>
      <c r="J132" s="1437">
        <v>3500</v>
      </c>
      <c r="K132" s="1759">
        <v>688</v>
      </c>
    </row>
    <row r="133" spans="1:11" s="935" customFormat="1" ht="18" customHeight="1">
      <c r="A133" s="929">
        <v>125</v>
      </c>
      <c r="B133" s="921"/>
      <c r="C133" s="936">
        <v>4</v>
      </c>
      <c r="D133" s="937" t="s">
        <v>580</v>
      </c>
      <c r="E133" s="924"/>
      <c r="F133" s="932"/>
      <c r="G133" s="933"/>
      <c r="H133" s="934"/>
      <c r="I133" s="1097">
        <v>200</v>
      </c>
      <c r="J133" s="1437">
        <v>200</v>
      </c>
      <c r="K133" s="1759"/>
    </row>
    <row r="134" spans="1:11" s="935" customFormat="1" ht="18" customHeight="1">
      <c r="A134" s="920">
        <v>126</v>
      </c>
      <c r="B134" s="921"/>
      <c r="C134" s="936">
        <v>5</v>
      </c>
      <c r="D134" s="937" t="s">
        <v>581</v>
      </c>
      <c r="E134" s="924"/>
      <c r="F134" s="932"/>
      <c r="G134" s="933"/>
      <c r="H134" s="934"/>
      <c r="I134" s="1097">
        <v>600</v>
      </c>
      <c r="J134" s="1437">
        <v>600</v>
      </c>
      <c r="K134" s="1759"/>
    </row>
    <row r="135" spans="1:11" s="935" customFormat="1" ht="18" customHeight="1">
      <c r="A135" s="920">
        <v>127</v>
      </c>
      <c r="B135" s="921"/>
      <c r="C135" s="936">
        <v>6</v>
      </c>
      <c r="D135" s="937" t="s">
        <v>582</v>
      </c>
      <c r="E135" s="924"/>
      <c r="F135" s="932"/>
      <c r="G135" s="933"/>
      <c r="H135" s="934"/>
      <c r="I135" s="1097">
        <v>200</v>
      </c>
      <c r="J135" s="1437">
        <v>200</v>
      </c>
      <c r="K135" s="1759"/>
    </row>
    <row r="136" spans="1:11" s="935" customFormat="1" ht="18" customHeight="1">
      <c r="A136" s="929">
        <v>128</v>
      </c>
      <c r="B136" s="921"/>
      <c r="C136" s="936">
        <v>7</v>
      </c>
      <c r="D136" s="937" t="s">
        <v>698</v>
      </c>
      <c r="E136" s="924"/>
      <c r="F136" s="932"/>
      <c r="G136" s="933"/>
      <c r="H136" s="934"/>
      <c r="I136" s="1097"/>
      <c r="J136" s="1437">
        <v>298</v>
      </c>
      <c r="K136" s="1759">
        <v>298</v>
      </c>
    </row>
    <row r="137" spans="1:11" s="935" customFormat="1" ht="18" customHeight="1">
      <c r="A137" s="920">
        <v>129</v>
      </c>
      <c r="B137" s="921"/>
      <c r="C137" s="936">
        <v>8</v>
      </c>
      <c r="D137" s="937" t="s">
        <v>702</v>
      </c>
      <c r="E137" s="924"/>
      <c r="F137" s="932"/>
      <c r="G137" s="933"/>
      <c r="H137" s="934"/>
      <c r="I137" s="1097"/>
      <c r="J137" s="1437">
        <v>7008</v>
      </c>
      <c r="K137" s="1759">
        <v>3503</v>
      </c>
    </row>
    <row r="138" spans="1:11" s="935" customFormat="1" ht="18" customHeight="1">
      <c r="A138" s="920">
        <v>130</v>
      </c>
      <c r="B138" s="921"/>
      <c r="C138" s="936">
        <v>9</v>
      </c>
      <c r="D138" s="937" t="s">
        <v>701</v>
      </c>
      <c r="E138" s="924"/>
      <c r="F138" s="932"/>
      <c r="G138" s="933"/>
      <c r="H138" s="934"/>
      <c r="I138" s="1097"/>
      <c r="J138" s="1437">
        <v>13000</v>
      </c>
      <c r="K138" s="1759">
        <v>13000</v>
      </c>
    </row>
    <row r="139" spans="1:11" s="935" customFormat="1" ht="18" customHeight="1">
      <c r="A139" s="929">
        <v>131</v>
      </c>
      <c r="B139" s="921"/>
      <c r="C139" s="936">
        <v>10</v>
      </c>
      <c r="D139" s="937" t="s">
        <v>819</v>
      </c>
      <c r="E139" s="924"/>
      <c r="F139" s="932"/>
      <c r="G139" s="933"/>
      <c r="H139" s="934"/>
      <c r="I139" s="1097"/>
      <c r="J139" s="1587">
        <v>203</v>
      </c>
      <c r="K139" s="1759"/>
    </row>
    <row r="140" spans="1:11" s="935" customFormat="1" ht="18" customHeight="1">
      <c r="A140" s="920">
        <v>132</v>
      </c>
      <c r="B140" s="921"/>
      <c r="C140" s="936">
        <v>11</v>
      </c>
      <c r="D140" s="937" t="s">
        <v>820</v>
      </c>
      <c r="E140" s="924"/>
      <c r="F140" s="932"/>
      <c r="G140" s="933"/>
      <c r="H140" s="934"/>
      <c r="I140" s="1097"/>
      <c r="J140" s="1587">
        <v>470</v>
      </c>
      <c r="K140" s="1759"/>
    </row>
    <row r="141" spans="1:11" s="935" customFormat="1" ht="18" customHeight="1">
      <c r="A141" s="920">
        <v>133</v>
      </c>
      <c r="B141" s="921"/>
      <c r="C141" s="936">
        <v>12</v>
      </c>
      <c r="D141" s="937" t="s">
        <v>821</v>
      </c>
      <c r="E141" s="924"/>
      <c r="F141" s="932"/>
      <c r="G141" s="933"/>
      <c r="H141" s="934"/>
      <c r="I141" s="1097"/>
      <c r="J141" s="1587">
        <v>1150</v>
      </c>
      <c r="K141" s="1759"/>
    </row>
    <row r="142" spans="1:11" s="935" customFormat="1" ht="18" customHeight="1">
      <c r="A142" s="929">
        <v>134</v>
      </c>
      <c r="B142" s="921"/>
      <c r="C142" s="936">
        <v>13</v>
      </c>
      <c r="D142" s="937" t="s">
        <v>822</v>
      </c>
      <c r="E142" s="924"/>
      <c r="F142" s="932"/>
      <c r="G142" s="933"/>
      <c r="H142" s="934"/>
      <c r="I142" s="1097"/>
      <c r="J142" s="1587">
        <v>500</v>
      </c>
      <c r="K142" s="1759"/>
    </row>
    <row r="143" spans="1:11" s="935" customFormat="1" ht="18" customHeight="1">
      <c r="A143" s="920">
        <v>135</v>
      </c>
      <c r="B143" s="921"/>
      <c r="C143" s="936">
        <v>14</v>
      </c>
      <c r="D143" s="937" t="s">
        <v>845</v>
      </c>
      <c r="E143" s="924"/>
      <c r="F143" s="932"/>
      <c r="G143" s="933"/>
      <c r="H143" s="934"/>
      <c r="I143" s="1097"/>
      <c r="J143" s="1587">
        <v>3000</v>
      </c>
      <c r="K143" s="1759">
        <v>1120</v>
      </c>
    </row>
    <row r="144" spans="1:11" s="935" customFormat="1" ht="18" customHeight="1">
      <c r="A144" s="920">
        <v>136</v>
      </c>
      <c r="B144" s="921"/>
      <c r="C144" s="936">
        <v>15</v>
      </c>
      <c r="D144" s="937" t="s">
        <v>846</v>
      </c>
      <c r="E144" s="924"/>
      <c r="F144" s="932"/>
      <c r="G144" s="933"/>
      <c r="H144" s="934"/>
      <c r="I144" s="1097"/>
      <c r="J144" s="1587">
        <v>700</v>
      </c>
      <c r="K144" s="1759"/>
    </row>
    <row r="145" spans="1:11" s="935" customFormat="1" ht="45" customHeight="1">
      <c r="A145" s="929">
        <v>137</v>
      </c>
      <c r="B145" s="921"/>
      <c r="C145" s="930">
        <v>16</v>
      </c>
      <c r="D145" s="952" t="s">
        <v>490</v>
      </c>
      <c r="E145" s="924"/>
      <c r="F145" s="953">
        <v>54424</v>
      </c>
      <c r="G145" s="933"/>
      <c r="H145" s="934"/>
      <c r="I145" s="1097"/>
      <c r="J145" s="1437"/>
      <c r="K145" s="1759"/>
    </row>
    <row r="146" spans="1:11" s="928" customFormat="1" ht="22.5" customHeight="1">
      <c r="A146" s="920">
        <v>138</v>
      </c>
      <c r="B146" s="921">
        <v>14</v>
      </c>
      <c r="C146" s="940" t="s">
        <v>371</v>
      </c>
      <c r="D146" s="923"/>
      <c r="E146" s="924" t="s">
        <v>23</v>
      </c>
      <c r="F146" s="925">
        <v>2197</v>
      </c>
      <c r="G146" s="926"/>
      <c r="H146" s="927">
        <v>3173</v>
      </c>
      <c r="I146" s="1096"/>
      <c r="J146" s="1438"/>
      <c r="K146" s="1760"/>
    </row>
    <row r="147" spans="1:11" s="935" customFormat="1" ht="31.5" customHeight="1">
      <c r="A147" s="920">
        <v>139</v>
      </c>
      <c r="B147" s="921"/>
      <c r="C147" s="930">
        <v>1</v>
      </c>
      <c r="D147" s="931" t="s">
        <v>843</v>
      </c>
      <c r="E147" s="924"/>
      <c r="F147" s="932"/>
      <c r="G147" s="933"/>
      <c r="H147" s="934"/>
      <c r="I147" s="1097">
        <v>1000</v>
      </c>
      <c r="J147" s="1437">
        <v>1080</v>
      </c>
      <c r="K147" s="1759">
        <v>910</v>
      </c>
    </row>
    <row r="148" spans="1:11" s="935" customFormat="1" ht="18" customHeight="1">
      <c r="A148" s="929">
        <v>140</v>
      </c>
      <c r="B148" s="921"/>
      <c r="C148" s="936">
        <v>2</v>
      </c>
      <c r="D148" s="937" t="s">
        <v>828</v>
      </c>
      <c r="E148" s="924"/>
      <c r="F148" s="932"/>
      <c r="G148" s="933"/>
      <c r="H148" s="934"/>
      <c r="I148" s="1097"/>
      <c r="J148" s="1587">
        <v>3000</v>
      </c>
      <c r="K148" s="1759"/>
    </row>
    <row r="149" spans="1:11" s="935" customFormat="1" ht="18" customHeight="1">
      <c r="A149" s="920">
        <v>141</v>
      </c>
      <c r="B149" s="921"/>
      <c r="C149" s="936">
        <v>3</v>
      </c>
      <c r="D149" s="937" t="s">
        <v>829</v>
      </c>
      <c r="E149" s="924"/>
      <c r="F149" s="932"/>
      <c r="G149" s="933"/>
      <c r="H149" s="934"/>
      <c r="I149" s="1097"/>
      <c r="J149" s="1587">
        <v>240</v>
      </c>
      <c r="K149" s="1759"/>
    </row>
    <row r="150" spans="1:11" s="935" customFormat="1" ht="18" customHeight="1">
      <c r="A150" s="920">
        <v>142</v>
      </c>
      <c r="B150" s="921"/>
      <c r="C150" s="936">
        <v>4</v>
      </c>
      <c r="D150" s="937" t="s">
        <v>830</v>
      </c>
      <c r="E150" s="924"/>
      <c r="F150" s="932"/>
      <c r="G150" s="933"/>
      <c r="H150" s="934"/>
      <c r="I150" s="1097"/>
      <c r="J150" s="1587">
        <v>160</v>
      </c>
      <c r="K150" s="1759"/>
    </row>
    <row r="151" spans="1:11" s="935" customFormat="1" ht="30">
      <c r="A151" s="929">
        <v>143</v>
      </c>
      <c r="B151" s="921"/>
      <c r="C151" s="930">
        <v>5</v>
      </c>
      <c r="D151" s="937" t="s">
        <v>491</v>
      </c>
      <c r="E151" s="924"/>
      <c r="F151" s="953">
        <v>835</v>
      </c>
      <c r="G151" s="950">
        <v>2831</v>
      </c>
      <c r="H151" s="927">
        <v>868</v>
      </c>
      <c r="I151" s="1097"/>
      <c r="J151" s="1437"/>
      <c r="K151" s="1759"/>
    </row>
    <row r="152" spans="1:11" s="928" customFormat="1" ht="22.5" customHeight="1">
      <c r="A152" s="920">
        <v>144</v>
      </c>
      <c r="B152" s="921">
        <v>15</v>
      </c>
      <c r="C152" s="940" t="s">
        <v>142</v>
      </c>
      <c r="D152" s="923"/>
      <c r="E152" s="924" t="s">
        <v>23</v>
      </c>
      <c r="F152" s="925">
        <v>22457</v>
      </c>
      <c r="G152" s="926">
        <v>2000</v>
      </c>
      <c r="H152" s="927">
        <v>25055</v>
      </c>
      <c r="I152" s="1096"/>
      <c r="J152" s="1438"/>
      <c r="K152" s="1760"/>
    </row>
    <row r="153" spans="1:11" s="935" customFormat="1" ht="18" customHeight="1">
      <c r="A153" s="920">
        <v>145</v>
      </c>
      <c r="B153" s="921"/>
      <c r="C153" s="936">
        <v>1</v>
      </c>
      <c r="D153" s="931" t="s">
        <v>560</v>
      </c>
      <c r="E153" s="924"/>
      <c r="F153" s="932"/>
      <c r="G153" s="933"/>
      <c r="H153" s="934"/>
      <c r="I153" s="1097">
        <v>3000</v>
      </c>
      <c r="J153" s="1437">
        <v>3000</v>
      </c>
      <c r="K153" s="1759">
        <f>2560-28</f>
        <v>2532</v>
      </c>
    </row>
    <row r="154" spans="1:11" s="935" customFormat="1" ht="31.5" customHeight="1">
      <c r="A154" s="929">
        <v>146</v>
      </c>
      <c r="B154" s="921"/>
      <c r="C154" s="1353">
        <v>2</v>
      </c>
      <c r="D154" s="937" t="s">
        <v>688</v>
      </c>
      <c r="E154" s="924"/>
      <c r="F154" s="932"/>
      <c r="G154" s="933"/>
      <c r="H154" s="934"/>
      <c r="I154" s="1097"/>
      <c r="J154" s="1439">
        <v>3000</v>
      </c>
      <c r="K154" s="1761">
        <f>440+28</f>
        <v>468</v>
      </c>
    </row>
    <row r="155" spans="1:11" s="935" customFormat="1" ht="18" customHeight="1">
      <c r="A155" s="920">
        <v>147</v>
      </c>
      <c r="B155" s="921"/>
      <c r="C155" s="961">
        <v>3</v>
      </c>
      <c r="D155" s="937" t="s">
        <v>823</v>
      </c>
      <c r="E155" s="924"/>
      <c r="F155" s="932"/>
      <c r="G155" s="933"/>
      <c r="H155" s="934"/>
      <c r="I155" s="1097"/>
      <c r="J155" s="1587">
        <v>10414</v>
      </c>
      <c r="K155" s="1759">
        <v>7969</v>
      </c>
    </row>
    <row r="156" spans="1:11" s="935" customFormat="1" ht="18" customHeight="1">
      <c r="A156" s="920">
        <v>148</v>
      </c>
      <c r="B156" s="921"/>
      <c r="C156" s="961">
        <v>4</v>
      </c>
      <c r="D156" s="937" t="s">
        <v>824</v>
      </c>
      <c r="E156" s="924"/>
      <c r="F156" s="932"/>
      <c r="G156" s="933"/>
      <c r="H156" s="934"/>
      <c r="I156" s="1097"/>
      <c r="J156" s="1587">
        <v>31451</v>
      </c>
      <c r="K156" s="1791"/>
    </row>
    <row r="157" spans="1:11" s="935" customFormat="1" ht="18" customHeight="1">
      <c r="A157" s="929">
        <v>149</v>
      </c>
      <c r="B157" s="921"/>
      <c r="C157" s="961">
        <v>5</v>
      </c>
      <c r="D157" s="937" t="s">
        <v>825</v>
      </c>
      <c r="E157" s="924"/>
      <c r="F157" s="932"/>
      <c r="G157" s="933"/>
      <c r="H157" s="934"/>
      <c r="I157" s="1097"/>
      <c r="J157" s="1587">
        <v>23008</v>
      </c>
      <c r="K157" s="1759"/>
    </row>
    <row r="158" spans="1:11" s="935" customFormat="1" ht="18" customHeight="1">
      <c r="A158" s="920">
        <v>150</v>
      </c>
      <c r="B158" s="921"/>
      <c r="C158" s="961">
        <v>6</v>
      </c>
      <c r="D158" s="937" t="s">
        <v>826</v>
      </c>
      <c r="E158" s="924"/>
      <c r="F158" s="932"/>
      <c r="G158" s="933"/>
      <c r="H158" s="934"/>
      <c r="I158" s="1097"/>
      <c r="J158" s="1587">
        <v>10552</v>
      </c>
      <c r="K158" s="1759"/>
    </row>
    <row r="159" spans="1:11" s="935" customFormat="1" ht="18" customHeight="1">
      <c r="A159" s="920">
        <v>151</v>
      </c>
      <c r="B159" s="921"/>
      <c r="C159" s="961">
        <v>7</v>
      </c>
      <c r="D159" s="937" t="s">
        <v>827</v>
      </c>
      <c r="E159" s="924"/>
      <c r="F159" s="932"/>
      <c r="G159" s="933"/>
      <c r="H159" s="934"/>
      <c r="I159" s="1097"/>
      <c r="J159" s="1587">
        <v>4684</v>
      </c>
      <c r="K159" s="1759">
        <v>1188</v>
      </c>
    </row>
    <row r="160" spans="1:15" s="928" customFormat="1" ht="22.5" customHeight="1">
      <c r="A160" s="929">
        <v>152</v>
      </c>
      <c r="B160" s="921">
        <v>16</v>
      </c>
      <c r="C160" s="954" t="s">
        <v>251</v>
      </c>
      <c r="D160" s="923"/>
      <c r="E160" s="924" t="s">
        <v>22</v>
      </c>
      <c r="F160" s="925">
        <v>9248</v>
      </c>
      <c r="G160" s="926"/>
      <c r="H160" s="927">
        <v>4398</v>
      </c>
      <c r="I160" s="1096"/>
      <c r="J160" s="1438"/>
      <c r="K160" s="1760"/>
      <c r="N160" s="1061"/>
      <c r="O160" s="1064"/>
    </row>
    <row r="161" spans="1:15" s="935" customFormat="1" ht="29.25" customHeight="1">
      <c r="A161" s="920">
        <v>153</v>
      </c>
      <c r="B161" s="955"/>
      <c r="C161" s="930">
        <v>1</v>
      </c>
      <c r="D161" s="931" t="s">
        <v>693</v>
      </c>
      <c r="E161" s="956"/>
      <c r="F161" s="957"/>
      <c r="G161" s="958"/>
      <c r="H161" s="959"/>
      <c r="I161" s="1098">
        <f>70+50</f>
        <v>120</v>
      </c>
      <c r="J161" s="1440">
        <v>370</v>
      </c>
      <c r="K161" s="1759">
        <v>782</v>
      </c>
      <c r="N161" s="1061"/>
      <c r="O161" s="1064"/>
    </row>
    <row r="162" spans="1:15" s="935" customFormat="1" ht="18" customHeight="1">
      <c r="A162" s="920">
        <v>154</v>
      </c>
      <c r="B162" s="955"/>
      <c r="C162" s="936">
        <v>2</v>
      </c>
      <c r="D162" s="931" t="s">
        <v>583</v>
      </c>
      <c r="E162" s="956"/>
      <c r="F162" s="957"/>
      <c r="G162" s="958"/>
      <c r="H162" s="959"/>
      <c r="I162" s="1098">
        <v>1500</v>
      </c>
      <c r="J162" s="1440">
        <v>1500</v>
      </c>
      <c r="K162" s="1759">
        <v>521</v>
      </c>
      <c r="N162" s="1061"/>
      <c r="O162" s="1064"/>
    </row>
    <row r="163" spans="1:15" s="935" customFormat="1" ht="18" customHeight="1">
      <c r="A163" s="929">
        <v>155</v>
      </c>
      <c r="B163" s="955"/>
      <c r="C163" s="936">
        <v>3</v>
      </c>
      <c r="D163" s="931" t="s">
        <v>584</v>
      </c>
      <c r="E163" s="956"/>
      <c r="F163" s="957"/>
      <c r="G163" s="958"/>
      <c r="H163" s="959"/>
      <c r="I163" s="1098">
        <v>1200</v>
      </c>
      <c r="J163" s="1440">
        <v>1200</v>
      </c>
      <c r="K163" s="1759">
        <v>1092</v>
      </c>
      <c r="N163" s="1061"/>
      <c r="O163" s="1064"/>
    </row>
    <row r="164" spans="1:15" s="935" customFormat="1" ht="32.25" customHeight="1">
      <c r="A164" s="920">
        <v>156</v>
      </c>
      <c r="B164" s="1282"/>
      <c r="C164" s="1289">
        <v>4</v>
      </c>
      <c r="D164" s="1283" t="s">
        <v>692</v>
      </c>
      <c r="E164" s="1284"/>
      <c r="F164" s="1285"/>
      <c r="G164" s="1286"/>
      <c r="H164" s="1287"/>
      <c r="I164" s="1288"/>
      <c r="J164" s="1441">
        <v>1430</v>
      </c>
      <c r="K164" s="1759">
        <v>55</v>
      </c>
      <c r="N164" s="1061"/>
      <c r="O164" s="1064"/>
    </row>
    <row r="165" spans="1:15" s="935" customFormat="1" ht="18" customHeight="1">
      <c r="A165" s="920">
        <v>157</v>
      </c>
      <c r="B165" s="1274"/>
      <c r="C165" s="1275">
        <v>5</v>
      </c>
      <c r="D165" s="1276" t="s">
        <v>691</v>
      </c>
      <c r="E165" s="1277"/>
      <c r="F165" s="1278"/>
      <c r="G165" s="1279"/>
      <c r="H165" s="1280"/>
      <c r="I165" s="1281"/>
      <c r="J165" s="1442">
        <v>220</v>
      </c>
      <c r="K165" s="1759"/>
      <c r="N165" s="1061"/>
      <c r="O165" s="1064"/>
    </row>
    <row r="166" spans="1:15" s="935" customFormat="1" ht="18" customHeight="1" thickBot="1">
      <c r="A166" s="929">
        <v>158</v>
      </c>
      <c r="B166" s="1274"/>
      <c r="C166" s="1275">
        <v>6</v>
      </c>
      <c r="D166" s="1276" t="s">
        <v>690</v>
      </c>
      <c r="E166" s="1277"/>
      <c r="F166" s="1278"/>
      <c r="G166" s="1279"/>
      <c r="H166" s="1280"/>
      <c r="I166" s="1281"/>
      <c r="J166" s="1441">
        <v>120</v>
      </c>
      <c r="K166" s="1763"/>
      <c r="N166" s="1061"/>
      <c r="O166" s="1064"/>
    </row>
    <row r="167" spans="1:15" s="690" customFormat="1" ht="36" customHeight="1" thickBot="1" thickTop="1">
      <c r="A167" s="920">
        <v>159</v>
      </c>
      <c r="B167" s="1926" t="s">
        <v>433</v>
      </c>
      <c r="C167" s="1927"/>
      <c r="D167" s="1928"/>
      <c r="E167" s="725"/>
      <c r="F167" s="726">
        <f aca="true" t="shared" si="0" ref="F167:K167">SUM(F9:F166)</f>
        <v>253498</v>
      </c>
      <c r="G167" s="727">
        <f t="shared" si="0"/>
        <v>32671</v>
      </c>
      <c r="H167" s="728">
        <f t="shared" si="0"/>
        <v>154154</v>
      </c>
      <c r="I167" s="1099">
        <f t="shared" si="0"/>
        <v>112203</v>
      </c>
      <c r="J167" s="1444">
        <f t="shared" si="0"/>
        <v>303867</v>
      </c>
      <c r="K167" s="1764">
        <f t="shared" si="0"/>
        <v>89160</v>
      </c>
      <c r="N167" s="1061"/>
      <c r="O167" s="1064"/>
    </row>
    <row r="168" spans="1:15" s="928" customFormat="1" ht="22.5" customHeight="1">
      <c r="A168" s="920">
        <v>160</v>
      </c>
      <c r="B168" s="921">
        <v>17</v>
      </c>
      <c r="C168" s="960" t="s">
        <v>25</v>
      </c>
      <c r="D168" s="923"/>
      <c r="E168" s="924" t="s">
        <v>22</v>
      </c>
      <c r="F168" s="925">
        <f>23823-F179</f>
        <v>23823</v>
      </c>
      <c r="G168" s="926">
        <f>34365-G179</f>
        <v>34365</v>
      </c>
      <c r="H168" s="927"/>
      <c r="I168" s="1096"/>
      <c r="J168" s="1436"/>
      <c r="K168" s="1758"/>
      <c r="N168" s="1061"/>
      <c r="O168" s="1064"/>
    </row>
    <row r="169" spans="1:11" s="928" customFormat="1" ht="22.5" customHeight="1">
      <c r="A169" s="929">
        <v>161</v>
      </c>
      <c r="B169" s="921"/>
      <c r="C169" s="941"/>
      <c r="D169" s="923" t="s">
        <v>151</v>
      </c>
      <c r="E169" s="924"/>
      <c r="F169" s="925"/>
      <c r="G169" s="926"/>
      <c r="H169" s="927">
        <v>2257</v>
      </c>
      <c r="I169" s="1096"/>
      <c r="J169" s="1443"/>
      <c r="K169" s="1760"/>
    </row>
    <row r="170" spans="1:11" s="935" customFormat="1" ht="18" customHeight="1">
      <c r="A170" s="920">
        <v>162</v>
      </c>
      <c r="B170" s="921"/>
      <c r="C170" s="961">
        <v>1</v>
      </c>
      <c r="D170" s="931" t="s">
        <v>585</v>
      </c>
      <c r="E170" s="924"/>
      <c r="F170" s="932"/>
      <c r="G170" s="933"/>
      <c r="H170" s="934"/>
      <c r="I170" s="1097">
        <v>1524</v>
      </c>
      <c r="J170" s="1437">
        <v>1524</v>
      </c>
      <c r="K170" s="1759"/>
    </row>
    <row r="171" spans="1:11" s="935" customFormat="1" ht="18" customHeight="1">
      <c r="A171" s="920">
        <v>163</v>
      </c>
      <c r="B171" s="921"/>
      <c r="C171" s="961">
        <v>2</v>
      </c>
      <c r="D171" s="931" t="s">
        <v>672</v>
      </c>
      <c r="E171" s="924"/>
      <c r="F171" s="932"/>
      <c r="G171" s="933"/>
      <c r="H171" s="934"/>
      <c r="I171" s="1097">
        <v>8001</v>
      </c>
      <c r="J171" s="1437">
        <v>8001</v>
      </c>
      <c r="K171" s="1759"/>
    </row>
    <row r="172" spans="1:11" s="935" customFormat="1" ht="18" customHeight="1">
      <c r="A172" s="929">
        <v>164</v>
      </c>
      <c r="B172" s="921"/>
      <c r="C172" s="961">
        <v>3</v>
      </c>
      <c r="D172" s="931" t="s">
        <v>322</v>
      </c>
      <c r="E172" s="924"/>
      <c r="F172" s="932"/>
      <c r="G172" s="933"/>
      <c r="H172" s="934"/>
      <c r="I172" s="1097">
        <v>381</v>
      </c>
      <c r="J172" s="1437">
        <v>381</v>
      </c>
      <c r="K172" s="1759">
        <v>236</v>
      </c>
    </row>
    <row r="173" spans="1:11" s="935" customFormat="1" ht="18" customHeight="1">
      <c r="A173" s="920">
        <v>165</v>
      </c>
      <c r="B173" s="921"/>
      <c r="C173" s="961">
        <v>4</v>
      </c>
      <c r="D173" s="931" t="s">
        <v>586</v>
      </c>
      <c r="E173" s="924"/>
      <c r="F173" s="932"/>
      <c r="G173" s="933"/>
      <c r="H173" s="934"/>
      <c r="I173" s="1097">
        <v>2000</v>
      </c>
      <c r="J173" s="1437">
        <v>2000</v>
      </c>
      <c r="K173" s="1759"/>
    </row>
    <row r="174" spans="1:11" s="935" customFormat="1" ht="48" customHeight="1">
      <c r="A174" s="920">
        <v>166</v>
      </c>
      <c r="B174" s="921"/>
      <c r="C174" s="1353">
        <v>5</v>
      </c>
      <c r="D174" s="931" t="s">
        <v>869</v>
      </c>
      <c r="E174" s="924"/>
      <c r="F174" s="932"/>
      <c r="G174" s="933"/>
      <c r="H174" s="934"/>
      <c r="I174" s="1346">
        <v>1905</v>
      </c>
      <c r="J174" s="1439">
        <v>8166</v>
      </c>
      <c r="K174" s="1765">
        <f>540-236</f>
        <v>304</v>
      </c>
    </row>
    <row r="175" spans="1:11" s="935" customFormat="1" ht="18" customHeight="1">
      <c r="A175" s="929">
        <v>167</v>
      </c>
      <c r="B175" s="921"/>
      <c r="C175" s="924">
        <v>6</v>
      </c>
      <c r="D175" s="931" t="s">
        <v>587</v>
      </c>
      <c r="E175" s="924"/>
      <c r="F175" s="932"/>
      <c r="G175" s="933"/>
      <c r="H175" s="934"/>
      <c r="I175" s="1097">
        <v>95</v>
      </c>
      <c r="J175" s="1437">
        <v>295</v>
      </c>
      <c r="K175" s="1759">
        <v>153</v>
      </c>
    </row>
    <row r="176" spans="1:11" s="935" customFormat="1" ht="18" customHeight="1">
      <c r="A176" s="920">
        <v>168</v>
      </c>
      <c r="B176" s="921"/>
      <c r="C176" s="961"/>
      <c r="D176" s="923" t="s">
        <v>588</v>
      </c>
      <c r="E176" s="924"/>
      <c r="F176" s="932"/>
      <c r="G176" s="933"/>
      <c r="H176" s="934"/>
      <c r="I176" s="1097"/>
      <c r="J176" s="1437"/>
      <c r="K176" s="1759"/>
    </row>
    <row r="177" spans="1:11" s="935" customFormat="1" ht="18" customHeight="1">
      <c r="A177" s="920">
        <v>169</v>
      </c>
      <c r="B177" s="921"/>
      <c r="C177" s="924">
        <v>7</v>
      </c>
      <c r="D177" s="931" t="s">
        <v>32</v>
      </c>
      <c r="E177" s="924"/>
      <c r="F177" s="932">
        <v>22105</v>
      </c>
      <c r="G177" s="933">
        <v>18380</v>
      </c>
      <c r="H177" s="934">
        <v>14849</v>
      </c>
      <c r="I177" s="1097">
        <v>20100</v>
      </c>
      <c r="J177" s="1441">
        <v>29325</v>
      </c>
      <c r="K177" s="1759">
        <v>210</v>
      </c>
    </row>
    <row r="178" spans="1:11" s="935" customFormat="1" ht="22.5" customHeight="1">
      <c r="A178" s="929">
        <v>170</v>
      </c>
      <c r="B178" s="921"/>
      <c r="C178" s="961"/>
      <c r="D178" s="923" t="s">
        <v>854</v>
      </c>
      <c r="E178" s="924"/>
      <c r="F178" s="932"/>
      <c r="G178" s="933"/>
      <c r="H178" s="934"/>
      <c r="I178" s="1097"/>
      <c r="J178" s="1442"/>
      <c r="K178" s="1759"/>
    </row>
    <row r="179" spans="1:11" s="935" customFormat="1" ht="18" customHeight="1" thickBot="1">
      <c r="A179" s="920">
        <v>171</v>
      </c>
      <c r="B179" s="921"/>
      <c r="C179" s="924">
        <v>8</v>
      </c>
      <c r="D179" s="931" t="s">
        <v>855</v>
      </c>
      <c r="E179" s="924"/>
      <c r="F179" s="932"/>
      <c r="G179" s="933"/>
      <c r="H179" s="934"/>
      <c r="I179" s="1097"/>
      <c r="J179" s="1441">
        <v>500</v>
      </c>
      <c r="K179" s="1763"/>
    </row>
    <row r="180" spans="1:11" s="690" customFormat="1" ht="36" customHeight="1" thickBot="1" thickTop="1">
      <c r="A180" s="920">
        <v>172</v>
      </c>
      <c r="B180" s="1926" t="s">
        <v>434</v>
      </c>
      <c r="C180" s="1927"/>
      <c r="D180" s="1928"/>
      <c r="E180" s="725"/>
      <c r="F180" s="726">
        <f>SUM(F168:F179)</f>
        <v>45928</v>
      </c>
      <c r="G180" s="727">
        <f>SUM(G168:G179)</f>
        <v>52745</v>
      </c>
      <c r="H180" s="728">
        <f>SUM(H168:H179)</f>
        <v>17106</v>
      </c>
      <c r="I180" s="1099">
        <f>SUM(I168:I179)</f>
        <v>34006</v>
      </c>
      <c r="J180" s="1444">
        <f>SUM(J168:J179)</f>
        <v>50192</v>
      </c>
      <c r="K180" s="1764">
        <f>SUM(K168:K179)</f>
        <v>903</v>
      </c>
    </row>
    <row r="181" spans="1:11" s="690" customFormat="1" ht="36" customHeight="1" thickBot="1">
      <c r="A181" s="929">
        <v>173</v>
      </c>
      <c r="B181" s="1929" t="s">
        <v>435</v>
      </c>
      <c r="C181" s="1930"/>
      <c r="D181" s="1931"/>
      <c r="E181" s="729"/>
      <c r="F181" s="730">
        <f>SUM(F180,F167)</f>
        <v>299426</v>
      </c>
      <c r="G181" s="731">
        <f>SUM(G180,G167)</f>
        <v>85416</v>
      </c>
      <c r="H181" s="732">
        <f>SUM(H180,H167)</f>
        <v>171260</v>
      </c>
      <c r="I181" s="1100">
        <f>SUM(I180,I167)</f>
        <v>146209</v>
      </c>
      <c r="J181" s="1445">
        <f>SUM(J180,J167)</f>
        <v>354059</v>
      </c>
      <c r="K181" s="1766">
        <f>SUM(K180,K167)</f>
        <v>90063</v>
      </c>
    </row>
    <row r="182" spans="2:10" ht="18" customHeight="1">
      <c r="B182" s="798"/>
      <c r="C182" s="799" t="s">
        <v>26</v>
      </c>
      <c r="D182" s="798"/>
      <c r="E182" s="800"/>
      <c r="F182" s="723"/>
      <c r="G182" s="724"/>
      <c r="H182" s="691"/>
      <c r="I182" s="691"/>
      <c r="J182" s="691"/>
    </row>
    <row r="183" spans="1:247" s="692" customFormat="1" ht="18" customHeight="1">
      <c r="A183" s="689"/>
      <c r="B183" s="798" t="s">
        <v>27</v>
      </c>
      <c r="C183" s="798"/>
      <c r="D183" s="798"/>
      <c r="E183" s="800"/>
      <c r="F183" s="801"/>
      <c r="G183" s="724"/>
      <c r="H183" s="691"/>
      <c r="I183" s="691"/>
      <c r="J183" s="691"/>
      <c r="K183" s="1102"/>
      <c r="L183" s="684"/>
      <c r="M183" s="684"/>
      <c r="N183" s="684"/>
      <c r="O183" s="684"/>
      <c r="P183" s="684"/>
      <c r="Q183" s="684"/>
      <c r="R183" s="684"/>
      <c r="S183" s="684"/>
      <c r="T183" s="684"/>
      <c r="U183" s="684"/>
      <c r="V183" s="684"/>
      <c r="W183" s="684"/>
      <c r="X183" s="684"/>
      <c r="Y183" s="684"/>
      <c r="Z183" s="684"/>
      <c r="AA183" s="684"/>
      <c r="AB183" s="684"/>
      <c r="AC183" s="684"/>
      <c r="AD183" s="684"/>
      <c r="AE183" s="684"/>
      <c r="AF183" s="684"/>
      <c r="AG183" s="684"/>
      <c r="AH183" s="684"/>
      <c r="AI183" s="684"/>
      <c r="AJ183" s="684"/>
      <c r="AK183" s="684"/>
      <c r="AL183" s="684"/>
      <c r="AM183" s="684"/>
      <c r="AN183" s="684"/>
      <c r="AO183" s="684"/>
      <c r="AP183" s="684"/>
      <c r="AQ183" s="684"/>
      <c r="AR183" s="684"/>
      <c r="AS183" s="684"/>
      <c r="AT183" s="684"/>
      <c r="AU183" s="684"/>
      <c r="AV183" s="684"/>
      <c r="AW183" s="684"/>
      <c r="AX183" s="684"/>
      <c r="AY183" s="684"/>
      <c r="AZ183" s="684"/>
      <c r="BA183" s="684"/>
      <c r="BB183" s="684"/>
      <c r="BC183" s="684"/>
      <c r="BD183" s="684"/>
      <c r="BE183" s="684"/>
      <c r="BF183" s="684"/>
      <c r="BG183" s="684"/>
      <c r="BH183" s="684"/>
      <c r="BI183" s="684"/>
      <c r="BJ183" s="684"/>
      <c r="BK183" s="684"/>
      <c r="BL183" s="684"/>
      <c r="BM183" s="684"/>
      <c r="BN183" s="684"/>
      <c r="BO183" s="684"/>
      <c r="BP183" s="684"/>
      <c r="BQ183" s="684"/>
      <c r="BR183" s="684"/>
      <c r="BS183" s="684"/>
      <c r="BT183" s="684"/>
      <c r="BU183" s="684"/>
      <c r="BV183" s="684"/>
      <c r="BW183" s="684"/>
      <c r="BX183" s="684"/>
      <c r="BY183" s="684"/>
      <c r="BZ183" s="684"/>
      <c r="CA183" s="684"/>
      <c r="CB183" s="684"/>
      <c r="CC183" s="684"/>
      <c r="CD183" s="684"/>
      <c r="CE183" s="684"/>
      <c r="CF183" s="684"/>
      <c r="CG183" s="684"/>
      <c r="CH183" s="684"/>
      <c r="CI183" s="684"/>
      <c r="CJ183" s="684"/>
      <c r="CK183" s="684"/>
      <c r="CL183" s="684"/>
      <c r="CM183" s="684"/>
      <c r="CN183" s="684"/>
      <c r="CO183" s="684"/>
      <c r="CP183" s="684"/>
      <c r="CQ183" s="684"/>
      <c r="CR183" s="684"/>
      <c r="CS183" s="684"/>
      <c r="CT183" s="684"/>
      <c r="CU183" s="684"/>
      <c r="CV183" s="684"/>
      <c r="CW183" s="684"/>
      <c r="CX183" s="684"/>
      <c r="CY183" s="684"/>
      <c r="CZ183" s="684"/>
      <c r="DA183" s="684"/>
      <c r="DB183" s="684"/>
      <c r="DC183" s="684"/>
      <c r="DD183" s="684"/>
      <c r="DE183" s="684"/>
      <c r="DF183" s="684"/>
      <c r="DG183" s="684"/>
      <c r="DH183" s="684"/>
      <c r="DI183" s="684"/>
      <c r="DJ183" s="684"/>
      <c r="DK183" s="684"/>
      <c r="DL183" s="684"/>
      <c r="DM183" s="684"/>
      <c r="DN183" s="684"/>
      <c r="DO183" s="684"/>
      <c r="DP183" s="684"/>
      <c r="DQ183" s="684"/>
      <c r="DR183" s="684"/>
      <c r="DS183" s="684"/>
      <c r="DT183" s="684"/>
      <c r="DU183" s="684"/>
      <c r="DV183" s="684"/>
      <c r="DW183" s="684"/>
      <c r="DX183" s="684"/>
      <c r="DY183" s="684"/>
      <c r="DZ183" s="684"/>
      <c r="EA183" s="684"/>
      <c r="EB183" s="684"/>
      <c r="EC183" s="684"/>
      <c r="ED183" s="684"/>
      <c r="EE183" s="684"/>
      <c r="EF183" s="684"/>
      <c r="EG183" s="684"/>
      <c r="EH183" s="684"/>
      <c r="EI183" s="684"/>
      <c r="EJ183" s="684"/>
      <c r="EK183" s="684"/>
      <c r="EL183" s="684"/>
      <c r="EM183" s="684"/>
      <c r="EN183" s="684"/>
      <c r="EO183" s="684"/>
      <c r="EP183" s="684"/>
      <c r="EQ183" s="684"/>
      <c r="ER183" s="684"/>
      <c r="ES183" s="684"/>
      <c r="ET183" s="684"/>
      <c r="EU183" s="684"/>
      <c r="EV183" s="684"/>
      <c r="EW183" s="684"/>
      <c r="EX183" s="684"/>
      <c r="EY183" s="684"/>
      <c r="EZ183" s="684"/>
      <c r="FA183" s="684"/>
      <c r="FB183" s="684"/>
      <c r="FC183" s="684"/>
      <c r="FD183" s="684"/>
      <c r="FE183" s="684"/>
      <c r="FF183" s="684"/>
      <c r="FG183" s="684"/>
      <c r="FH183" s="684"/>
      <c r="FI183" s="684"/>
      <c r="FJ183" s="684"/>
      <c r="FK183" s="684"/>
      <c r="FL183" s="684"/>
      <c r="FM183" s="684"/>
      <c r="FN183" s="684"/>
      <c r="FO183" s="684"/>
      <c r="FP183" s="684"/>
      <c r="FQ183" s="684"/>
      <c r="FR183" s="684"/>
      <c r="FS183" s="684"/>
      <c r="FT183" s="684"/>
      <c r="FU183" s="684"/>
      <c r="FV183" s="684"/>
      <c r="FW183" s="684"/>
      <c r="FX183" s="684"/>
      <c r="FY183" s="684"/>
      <c r="FZ183" s="684"/>
      <c r="GA183" s="684"/>
      <c r="GB183" s="684"/>
      <c r="GC183" s="684"/>
      <c r="GD183" s="684"/>
      <c r="GE183" s="684"/>
      <c r="GF183" s="684"/>
      <c r="GG183" s="684"/>
      <c r="GH183" s="684"/>
      <c r="GI183" s="684"/>
      <c r="GJ183" s="684"/>
      <c r="GK183" s="684"/>
      <c r="GL183" s="684"/>
      <c r="GM183" s="684"/>
      <c r="GN183" s="684"/>
      <c r="GO183" s="684"/>
      <c r="GP183" s="684"/>
      <c r="GQ183" s="684"/>
      <c r="GR183" s="684"/>
      <c r="GS183" s="684"/>
      <c r="GT183" s="684"/>
      <c r="GU183" s="684"/>
      <c r="GV183" s="684"/>
      <c r="GW183" s="684"/>
      <c r="GX183" s="684"/>
      <c r="GY183" s="684"/>
      <c r="GZ183" s="684"/>
      <c r="HA183" s="684"/>
      <c r="HB183" s="684"/>
      <c r="HC183" s="684"/>
      <c r="HD183" s="684"/>
      <c r="HE183" s="684"/>
      <c r="HF183" s="684"/>
      <c r="HG183" s="684"/>
      <c r="HH183" s="684"/>
      <c r="HI183" s="684"/>
      <c r="HJ183" s="684"/>
      <c r="HK183" s="684"/>
      <c r="HL183" s="684"/>
      <c r="HM183" s="684"/>
      <c r="HN183" s="684"/>
      <c r="HO183" s="684"/>
      <c r="HP183" s="684"/>
      <c r="HQ183" s="684"/>
      <c r="HR183" s="684"/>
      <c r="HS183" s="684"/>
      <c r="HT183" s="684"/>
      <c r="HU183" s="684"/>
      <c r="HV183" s="684"/>
      <c r="HW183" s="684"/>
      <c r="HX183" s="684"/>
      <c r="HY183" s="684"/>
      <c r="HZ183" s="684"/>
      <c r="IA183" s="684"/>
      <c r="IB183" s="684"/>
      <c r="IC183" s="684"/>
      <c r="ID183" s="684"/>
      <c r="IE183" s="684"/>
      <c r="IF183" s="684"/>
      <c r="IG183" s="684"/>
      <c r="IH183" s="684"/>
      <c r="II183" s="684"/>
      <c r="IJ183" s="684"/>
      <c r="IK183" s="684"/>
      <c r="IL183" s="684"/>
      <c r="IM183" s="684"/>
    </row>
    <row r="184" spans="1:247" s="692" customFormat="1" ht="18" customHeight="1">
      <c r="A184" s="689"/>
      <c r="B184" s="798" t="s">
        <v>28</v>
      </c>
      <c r="C184" s="798"/>
      <c r="D184" s="798"/>
      <c r="E184" s="800"/>
      <c r="F184" s="801"/>
      <c r="G184" s="724"/>
      <c r="H184" s="691"/>
      <c r="I184" s="691"/>
      <c r="J184" s="691"/>
      <c r="K184" s="1102"/>
      <c r="L184" s="684"/>
      <c r="M184" s="684"/>
      <c r="N184" s="684"/>
      <c r="O184" s="684"/>
      <c r="P184" s="684"/>
      <c r="Q184" s="684"/>
      <c r="R184" s="684"/>
      <c r="S184" s="684"/>
      <c r="T184" s="684"/>
      <c r="U184" s="684"/>
      <c r="V184" s="684"/>
      <c r="W184" s="684"/>
      <c r="X184" s="684"/>
      <c r="Y184" s="684"/>
      <c r="Z184" s="684"/>
      <c r="AA184" s="684"/>
      <c r="AB184" s="684"/>
      <c r="AC184" s="684"/>
      <c r="AD184" s="684"/>
      <c r="AE184" s="684"/>
      <c r="AF184" s="684"/>
      <c r="AG184" s="684"/>
      <c r="AH184" s="684"/>
      <c r="AI184" s="684"/>
      <c r="AJ184" s="684"/>
      <c r="AK184" s="684"/>
      <c r="AL184" s="684"/>
      <c r="AM184" s="684"/>
      <c r="AN184" s="684"/>
      <c r="AO184" s="684"/>
      <c r="AP184" s="684"/>
      <c r="AQ184" s="684"/>
      <c r="AR184" s="684"/>
      <c r="AS184" s="684"/>
      <c r="AT184" s="684"/>
      <c r="AU184" s="684"/>
      <c r="AV184" s="684"/>
      <c r="AW184" s="684"/>
      <c r="AX184" s="684"/>
      <c r="AY184" s="684"/>
      <c r="AZ184" s="684"/>
      <c r="BA184" s="684"/>
      <c r="BB184" s="684"/>
      <c r="BC184" s="684"/>
      <c r="BD184" s="684"/>
      <c r="BE184" s="684"/>
      <c r="BF184" s="684"/>
      <c r="BG184" s="684"/>
      <c r="BH184" s="684"/>
      <c r="BI184" s="684"/>
      <c r="BJ184" s="684"/>
      <c r="BK184" s="684"/>
      <c r="BL184" s="684"/>
      <c r="BM184" s="684"/>
      <c r="BN184" s="684"/>
      <c r="BO184" s="684"/>
      <c r="BP184" s="684"/>
      <c r="BQ184" s="684"/>
      <c r="BR184" s="684"/>
      <c r="BS184" s="684"/>
      <c r="BT184" s="684"/>
      <c r="BU184" s="684"/>
      <c r="BV184" s="684"/>
      <c r="BW184" s="684"/>
      <c r="BX184" s="684"/>
      <c r="BY184" s="684"/>
      <c r="BZ184" s="684"/>
      <c r="CA184" s="684"/>
      <c r="CB184" s="684"/>
      <c r="CC184" s="684"/>
      <c r="CD184" s="684"/>
      <c r="CE184" s="684"/>
      <c r="CF184" s="684"/>
      <c r="CG184" s="684"/>
      <c r="CH184" s="684"/>
      <c r="CI184" s="684"/>
      <c r="CJ184" s="684"/>
      <c r="CK184" s="684"/>
      <c r="CL184" s="684"/>
      <c r="CM184" s="684"/>
      <c r="CN184" s="684"/>
      <c r="CO184" s="684"/>
      <c r="CP184" s="684"/>
      <c r="CQ184" s="684"/>
      <c r="CR184" s="684"/>
      <c r="CS184" s="684"/>
      <c r="CT184" s="684"/>
      <c r="CU184" s="684"/>
      <c r="CV184" s="684"/>
      <c r="CW184" s="684"/>
      <c r="CX184" s="684"/>
      <c r="CY184" s="684"/>
      <c r="CZ184" s="684"/>
      <c r="DA184" s="684"/>
      <c r="DB184" s="684"/>
      <c r="DC184" s="684"/>
      <c r="DD184" s="684"/>
      <c r="DE184" s="684"/>
      <c r="DF184" s="684"/>
      <c r="DG184" s="684"/>
      <c r="DH184" s="684"/>
      <c r="DI184" s="684"/>
      <c r="DJ184" s="684"/>
      <c r="DK184" s="684"/>
      <c r="DL184" s="684"/>
      <c r="DM184" s="684"/>
      <c r="DN184" s="684"/>
      <c r="DO184" s="684"/>
      <c r="DP184" s="684"/>
      <c r="DQ184" s="684"/>
      <c r="DR184" s="684"/>
      <c r="DS184" s="684"/>
      <c r="DT184" s="684"/>
      <c r="DU184" s="684"/>
      <c r="DV184" s="684"/>
      <c r="DW184" s="684"/>
      <c r="DX184" s="684"/>
      <c r="DY184" s="684"/>
      <c r="DZ184" s="684"/>
      <c r="EA184" s="684"/>
      <c r="EB184" s="684"/>
      <c r="EC184" s="684"/>
      <c r="ED184" s="684"/>
      <c r="EE184" s="684"/>
      <c r="EF184" s="684"/>
      <c r="EG184" s="684"/>
      <c r="EH184" s="684"/>
      <c r="EI184" s="684"/>
      <c r="EJ184" s="684"/>
      <c r="EK184" s="684"/>
      <c r="EL184" s="684"/>
      <c r="EM184" s="684"/>
      <c r="EN184" s="684"/>
      <c r="EO184" s="684"/>
      <c r="EP184" s="684"/>
      <c r="EQ184" s="684"/>
      <c r="ER184" s="684"/>
      <c r="ES184" s="684"/>
      <c r="ET184" s="684"/>
      <c r="EU184" s="684"/>
      <c r="EV184" s="684"/>
      <c r="EW184" s="684"/>
      <c r="EX184" s="684"/>
      <c r="EY184" s="684"/>
      <c r="EZ184" s="684"/>
      <c r="FA184" s="684"/>
      <c r="FB184" s="684"/>
      <c r="FC184" s="684"/>
      <c r="FD184" s="684"/>
      <c r="FE184" s="684"/>
      <c r="FF184" s="684"/>
      <c r="FG184" s="684"/>
      <c r="FH184" s="684"/>
      <c r="FI184" s="684"/>
      <c r="FJ184" s="684"/>
      <c r="FK184" s="684"/>
      <c r="FL184" s="684"/>
      <c r="FM184" s="684"/>
      <c r="FN184" s="684"/>
      <c r="FO184" s="684"/>
      <c r="FP184" s="684"/>
      <c r="FQ184" s="684"/>
      <c r="FR184" s="684"/>
      <c r="FS184" s="684"/>
      <c r="FT184" s="684"/>
      <c r="FU184" s="684"/>
      <c r="FV184" s="684"/>
      <c r="FW184" s="684"/>
      <c r="FX184" s="684"/>
      <c r="FY184" s="684"/>
      <c r="FZ184" s="684"/>
      <c r="GA184" s="684"/>
      <c r="GB184" s="684"/>
      <c r="GC184" s="684"/>
      <c r="GD184" s="684"/>
      <c r="GE184" s="684"/>
      <c r="GF184" s="684"/>
      <c r="GG184" s="684"/>
      <c r="GH184" s="684"/>
      <c r="GI184" s="684"/>
      <c r="GJ184" s="684"/>
      <c r="GK184" s="684"/>
      <c r="GL184" s="684"/>
      <c r="GM184" s="684"/>
      <c r="GN184" s="684"/>
      <c r="GO184" s="684"/>
      <c r="GP184" s="684"/>
      <c r="GQ184" s="684"/>
      <c r="GR184" s="684"/>
      <c r="GS184" s="684"/>
      <c r="GT184" s="684"/>
      <c r="GU184" s="684"/>
      <c r="GV184" s="684"/>
      <c r="GW184" s="684"/>
      <c r="GX184" s="684"/>
      <c r="GY184" s="684"/>
      <c r="GZ184" s="684"/>
      <c r="HA184" s="684"/>
      <c r="HB184" s="684"/>
      <c r="HC184" s="684"/>
      <c r="HD184" s="684"/>
      <c r="HE184" s="684"/>
      <c r="HF184" s="684"/>
      <c r="HG184" s="684"/>
      <c r="HH184" s="684"/>
      <c r="HI184" s="684"/>
      <c r="HJ184" s="684"/>
      <c r="HK184" s="684"/>
      <c r="HL184" s="684"/>
      <c r="HM184" s="684"/>
      <c r="HN184" s="684"/>
      <c r="HO184" s="684"/>
      <c r="HP184" s="684"/>
      <c r="HQ184" s="684"/>
      <c r="HR184" s="684"/>
      <c r="HS184" s="684"/>
      <c r="HT184" s="684"/>
      <c r="HU184" s="684"/>
      <c r="HV184" s="684"/>
      <c r="HW184" s="684"/>
      <c r="HX184" s="684"/>
      <c r="HY184" s="684"/>
      <c r="HZ184" s="684"/>
      <c r="IA184" s="684"/>
      <c r="IB184" s="684"/>
      <c r="IC184" s="684"/>
      <c r="ID184" s="684"/>
      <c r="IE184" s="684"/>
      <c r="IF184" s="684"/>
      <c r="IG184" s="684"/>
      <c r="IH184" s="684"/>
      <c r="II184" s="684"/>
      <c r="IJ184" s="684"/>
      <c r="IK184" s="684"/>
      <c r="IL184" s="684"/>
      <c r="IM184" s="684"/>
    </row>
    <row r="185" spans="1:247" s="692" customFormat="1" ht="15">
      <c r="A185" s="689"/>
      <c r="B185" s="678"/>
      <c r="C185" s="679"/>
      <c r="D185" s="680"/>
      <c r="E185" s="681"/>
      <c r="F185" s="722">
        <f>+F181-'2.Onki'!G11</f>
        <v>22105</v>
      </c>
      <c r="G185" s="722">
        <f>+G181-'2.Onki'!H11</f>
        <v>18380</v>
      </c>
      <c r="H185" s="682">
        <f>+H181-'2.Onki'!I11</f>
        <v>0</v>
      </c>
      <c r="I185" s="682">
        <f>+I181-'2.Onki'!J11</f>
        <v>0</v>
      </c>
      <c r="J185" s="682"/>
      <c r="K185" s="683">
        <f>+K181-'2.Onki'!L11</f>
        <v>0</v>
      </c>
      <c r="L185" s="684"/>
      <c r="M185" s="684"/>
      <c r="N185" s="684"/>
      <c r="O185" s="684"/>
      <c r="P185" s="684"/>
      <c r="Q185" s="684"/>
      <c r="R185" s="684"/>
      <c r="S185" s="684"/>
      <c r="T185" s="684"/>
      <c r="U185" s="684"/>
      <c r="V185" s="684"/>
      <c r="W185" s="684"/>
      <c r="X185" s="684"/>
      <c r="Y185" s="684"/>
      <c r="Z185" s="684"/>
      <c r="AA185" s="684"/>
      <c r="AB185" s="684"/>
      <c r="AC185" s="684"/>
      <c r="AD185" s="684"/>
      <c r="AE185" s="684"/>
      <c r="AF185" s="684"/>
      <c r="AG185" s="684"/>
      <c r="AH185" s="684"/>
      <c r="AI185" s="684"/>
      <c r="AJ185" s="684"/>
      <c r="AK185" s="684"/>
      <c r="AL185" s="684"/>
      <c r="AM185" s="684"/>
      <c r="AN185" s="684"/>
      <c r="AO185" s="684"/>
      <c r="AP185" s="684"/>
      <c r="AQ185" s="684"/>
      <c r="AR185" s="684"/>
      <c r="AS185" s="684"/>
      <c r="AT185" s="684"/>
      <c r="AU185" s="684"/>
      <c r="AV185" s="684"/>
      <c r="AW185" s="684"/>
      <c r="AX185" s="684"/>
      <c r="AY185" s="684"/>
      <c r="AZ185" s="684"/>
      <c r="BA185" s="684"/>
      <c r="BB185" s="684"/>
      <c r="BC185" s="684"/>
      <c r="BD185" s="684"/>
      <c r="BE185" s="684"/>
      <c r="BF185" s="684"/>
      <c r="BG185" s="684"/>
      <c r="BH185" s="684"/>
      <c r="BI185" s="684"/>
      <c r="BJ185" s="684"/>
      <c r="BK185" s="684"/>
      <c r="BL185" s="684"/>
      <c r="BM185" s="684"/>
      <c r="BN185" s="684"/>
      <c r="BO185" s="684"/>
      <c r="BP185" s="684"/>
      <c r="BQ185" s="684"/>
      <c r="BR185" s="684"/>
      <c r="BS185" s="684"/>
      <c r="BT185" s="684"/>
      <c r="BU185" s="684"/>
      <c r="BV185" s="684"/>
      <c r="BW185" s="684"/>
      <c r="BX185" s="684"/>
      <c r="BY185" s="684"/>
      <c r="BZ185" s="684"/>
      <c r="CA185" s="684"/>
      <c r="CB185" s="684"/>
      <c r="CC185" s="684"/>
      <c r="CD185" s="684"/>
      <c r="CE185" s="684"/>
      <c r="CF185" s="684"/>
      <c r="CG185" s="684"/>
      <c r="CH185" s="684"/>
      <c r="CI185" s="684"/>
      <c r="CJ185" s="684"/>
      <c r="CK185" s="684"/>
      <c r="CL185" s="684"/>
      <c r="CM185" s="684"/>
      <c r="CN185" s="684"/>
      <c r="CO185" s="684"/>
      <c r="CP185" s="684"/>
      <c r="CQ185" s="684"/>
      <c r="CR185" s="684"/>
      <c r="CS185" s="684"/>
      <c r="CT185" s="684"/>
      <c r="CU185" s="684"/>
      <c r="CV185" s="684"/>
      <c r="CW185" s="684"/>
      <c r="CX185" s="684"/>
      <c r="CY185" s="684"/>
      <c r="CZ185" s="684"/>
      <c r="DA185" s="684"/>
      <c r="DB185" s="684"/>
      <c r="DC185" s="684"/>
      <c r="DD185" s="684"/>
      <c r="DE185" s="684"/>
      <c r="DF185" s="684"/>
      <c r="DG185" s="684"/>
      <c r="DH185" s="684"/>
      <c r="DI185" s="684"/>
      <c r="DJ185" s="684"/>
      <c r="DK185" s="684"/>
      <c r="DL185" s="684"/>
      <c r="DM185" s="684"/>
      <c r="DN185" s="684"/>
      <c r="DO185" s="684"/>
      <c r="DP185" s="684"/>
      <c r="DQ185" s="684"/>
      <c r="DR185" s="684"/>
      <c r="DS185" s="684"/>
      <c r="DT185" s="684"/>
      <c r="DU185" s="684"/>
      <c r="DV185" s="684"/>
      <c r="DW185" s="684"/>
      <c r="DX185" s="684"/>
      <c r="DY185" s="684"/>
      <c r="DZ185" s="684"/>
      <c r="EA185" s="684"/>
      <c r="EB185" s="684"/>
      <c r="EC185" s="684"/>
      <c r="ED185" s="684"/>
      <c r="EE185" s="684"/>
      <c r="EF185" s="684"/>
      <c r="EG185" s="684"/>
      <c r="EH185" s="684"/>
      <c r="EI185" s="684"/>
      <c r="EJ185" s="684"/>
      <c r="EK185" s="684"/>
      <c r="EL185" s="684"/>
      <c r="EM185" s="684"/>
      <c r="EN185" s="684"/>
      <c r="EO185" s="684"/>
      <c r="EP185" s="684"/>
      <c r="EQ185" s="684"/>
      <c r="ER185" s="684"/>
      <c r="ES185" s="684"/>
      <c r="ET185" s="684"/>
      <c r="EU185" s="684"/>
      <c r="EV185" s="684"/>
      <c r="EW185" s="684"/>
      <c r="EX185" s="684"/>
      <c r="EY185" s="684"/>
      <c r="EZ185" s="684"/>
      <c r="FA185" s="684"/>
      <c r="FB185" s="684"/>
      <c r="FC185" s="684"/>
      <c r="FD185" s="684"/>
      <c r="FE185" s="684"/>
      <c r="FF185" s="684"/>
      <c r="FG185" s="684"/>
      <c r="FH185" s="684"/>
      <c r="FI185" s="684"/>
      <c r="FJ185" s="684"/>
      <c r="FK185" s="684"/>
      <c r="FL185" s="684"/>
      <c r="FM185" s="684"/>
      <c r="FN185" s="684"/>
      <c r="FO185" s="684"/>
      <c r="FP185" s="684"/>
      <c r="FQ185" s="684"/>
      <c r="FR185" s="684"/>
      <c r="FS185" s="684"/>
      <c r="FT185" s="684"/>
      <c r="FU185" s="684"/>
      <c r="FV185" s="684"/>
      <c r="FW185" s="684"/>
      <c r="FX185" s="684"/>
      <c r="FY185" s="684"/>
      <c r="FZ185" s="684"/>
      <c r="GA185" s="684"/>
      <c r="GB185" s="684"/>
      <c r="GC185" s="684"/>
      <c r="GD185" s="684"/>
      <c r="GE185" s="684"/>
      <c r="GF185" s="684"/>
      <c r="GG185" s="684"/>
      <c r="GH185" s="684"/>
      <c r="GI185" s="684"/>
      <c r="GJ185" s="684"/>
      <c r="GK185" s="684"/>
      <c r="GL185" s="684"/>
      <c r="GM185" s="684"/>
      <c r="GN185" s="684"/>
      <c r="GO185" s="684"/>
      <c r="GP185" s="684"/>
      <c r="GQ185" s="684"/>
      <c r="GR185" s="684"/>
      <c r="GS185" s="684"/>
      <c r="GT185" s="684"/>
      <c r="GU185" s="684"/>
      <c r="GV185" s="684"/>
      <c r="GW185" s="684"/>
      <c r="GX185" s="684"/>
      <c r="GY185" s="684"/>
      <c r="GZ185" s="684"/>
      <c r="HA185" s="684"/>
      <c r="HB185" s="684"/>
      <c r="HC185" s="684"/>
      <c r="HD185" s="684"/>
      <c r="HE185" s="684"/>
      <c r="HF185" s="684"/>
      <c r="HG185" s="684"/>
      <c r="HH185" s="684"/>
      <c r="HI185" s="684"/>
      <c r="HJ185" s="684"/>
      <c r="HK185" s="684"/>
      <c r="HL185" s="684"/>
      <c r="HM185" s="684"/>
      <c r="HN185" s="684"/>
      <c r="HO185" s="684"/>
      <c r="HP185" s="684"/>
      <c r="HQ185" s="684"/>
      <c r="HR185" s="684"/>
      <c r="HS185" s="684"/>
      <c r="HT185" s="684"/>
      <c r="HU185" s="684"/>
      <c r="HV185" s="684"/>
      <c r="HW185" s="684"/>
      <c r="HX185" s="684"/>
      <c r="HY185" s="684"/>
      <c r="HZ185" s="684"/>
      <c r="IA185" s="684"/>
      <c r="IB185" s="684"/>
      <c r="IC185" s="684"/>
      <c r="ID185" s="684"/>
      <c r="IE185" s="684"/>
      <c r="IF185" s="684"/>
      <c r="IG185" s="684"/>
      <c r="IH185" s="684"/>
      <c r="II185" s="684"/>
      <c r="IJ185" s="684"/>
      <c r="IK185" s="684"/>
      <c r="IL185" s="684"/>
      <c r="IM185" s="684"/>
    </row>
  </sheetData>
  <sheetProtection/>
  <mergeCells count="17">
    <mergeCell ref="B180:D180"/>
    <mergeCell ref="B181:D181"/>
    <mergeCell ref="B2:D2"/>
    <mergeCell ref="B7:B8"/>
    <mergeCell ref="C7:C8"/>
    <mergeCell ref="D7:D8"/>
    <mergeCell ref="B167:D167"/>
    <mergeCell ref="E7:E8"/>
    <mergeCell ref="F7:F8"/>
    <mergeCell ref="G7:G8"/>
    <mergeCell ref="H7:H8"/>
    <mergeCell ref="B1:M1"/>
    <mergeCell ref="K7:K8"/>
    <mergeCell ref="B4:K4"/>
    <mergeCell ref="B3:K3"/>
    <mergeCell ref="I7:I8"/>
    <mergeCell ref="J7:J8"/>
  </mergeCells>
  <printOptions horizontalCentered="1"/>
  <pageMargins left="0.1968503937007874" right="0.1968503937007874" top="0.5905511811023623" bottom="0.3937007874015748" header="0.5118110236220472" footer="0.31496062992125984"/>
  <pageSetup fitToHeight="0" fitToWidth="1" horizontalDpi="600" verticalDpi="600" orientation="portrait" paperSize="9" scale="5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31"/>
  <sheetViews>
    <sheetView view="pageBreakPreview" zoomScale="75" zoomScaleNormal="75" zoomScaleSheetLayoutView="75" zoomScalePageLayoutView="0" workbookViewId="0" topLeftCell="A1">
      <selection activeCell="B4" sqref="B4:N4"/>
    </sheetView>
  </sheetViews>
  <sheetFormatPr defaultColWidth="9.125" defaultRowHeight="12.75"/>
  <cols>
    <col min="1" max="1" width="3.75390625" style="451" customWidth="1"/>
    <col min="2" max="2" width="5.75390625" style="3" customWidth="1"/>
    <col min="3" max="3" width="5.75390625" style="7" customWidth="1"/>
    <col min="4" max="4" width="87.75390625" style="16" customWidth="1"/>
    <col min="5" max="7" width="11.75390625" style="4" customWidth="1"/>
    <col min="8" max="8" width="6.75390625" style="3" customWidth="1"/>
    <col min="9" max="9" width="12.75390625" style="13" customWidth="1"/>
    <col min="10" max="14" width="12.75390625" style="293" customWidth="1"/>
    <col min="15" max="15" width="9.25390625" style="4" bestFit="1" customWidth="1"/>
    <col min="16" max="16384" width="9.125" style="4" customWidth="1"/>
  </cols>
  <sheetData>
    <row r="1" spans="2:13" ht="17.25">
      <c r="B1" s="1799" t="s">
        <v>958</v>
      </c>
      <c r="C1" s="1799"/>
      <c r="D1" s="1799"/>
      <c r="E1" s="1799"/>
      <c r="F1" s="1799"/>
      <c r="G1" s="1799"/>
      <c r="H1" s="1799"/>
      <c r="I1" s="1799"/>
      <c r="J1" s="1799"/>
      <c r="K1" s="1799"/>
      <c r="L1" s="1799"/>
      <c r="M1" s="1799"/>
    </row>
    <row r="2" spans="1:14" ht="16.5">
      <c r="A2" s="696"/>
      <c r="B2" s="1948"/>
      <c r="C2" s="1948"/>
      <c r="D2" s="1948"/>
      <c r="G2" s="1949"/>
      <c r="H2" s="1949"/>
      <c r="I2" s="1949"/>
      <c r="J2" s="697"/>
      <c r="K2" s="697"/>
      <c r="L2" s="697"/>
      <c r="M2" s="697"/>
      <c r="N2" s="697"/>
    </row>
    <row r="3" spans="1:14" ht="24.75" customHeight="1">
      <c r="A3" s="696"/>
      <c r="B3" s="1950" t="s">
        <v>14</v>
      </c>
      <c r="C3" s="1950"/>
      <c r="D3" s="1950"/>
      <c r="E3" s="1950"/>
      <c r="F3" s="1950"/>
      <c r="G3" s="1950"/>
      <c r="H3" s="1950"/>
      <c r="I3" s="1950"/>
      <c r="J3" s="1950"/>
      <c r="K3" s="1950"/>
      <c r="L3" s="1950"/>
      <c r="M3" s="1950"/>
      <c r="N3" s="1950"/>
    </row>
    <row r="4" spans="1:14" s="6" customFormat="1" ht="24.75" customHeight="1">
      <c r="A4" s="696"/>
      <c r="B4" s="1951" t="s">
        <v>968</v>
      </c>
      <c r="C4" s="1951"/>
      <c r="D4" s="1951"/>
      <c r="E4" s="1951"/>
      <c r="F4" s="1951"/>
      <c r="G4" s="1951"/>
      <c r="H4" s="1951"/>
      <c r="I4" s="1951"/>
      <c r="J4" s="1951"/>
      <c r="K4" s="1951"/>
      <c r="L4" s="1951"/>
      <c r="M4" s="1951"/>
      <c r="N4" s="1951"/>
    </row>
    <row r="5" spans="1:14" s="291" customFormat="1" ht="15">
      <c r="A5" s="695"/>
      <c r="B5" s="698"/>
      <c r="C5" s="699"/>
      <c r="D5" s="700"/>
      <c r="G5" s="701"/>
      <c r="H5" s="702"/>
      <c r="I5" s="703"/>
      <c r="J5" s="672"/>
      <c r="K5" s="672"/>
      <c r="L5" s="672"/>
      <c r="M5" s="1952" t="s">
        <v>0</v>
      </c>
      <c r="N5" s="1952"/>
    </row>
    <row r="6" spans="1:14" s="89" customFormat="1" ht="15" thickBot="1">
      <c r="A6" s="704"/>
      <c r="B6" s="89" t="s">
        <v>1</v>
      </c>
      <c r="C6" s="705" t="s">
        <v>3</v>
      </c>
      <c r="D6" s="706" t="s">
        <v>2</v>
      </c>
      <c r="E6" s="89" t="s">
        <v>4</v>
      </c>
      <c r="F6" s="89" t="s">
        <v>5</v>
      </c>
      <c r="G6" s="89" t="s">
        <v>15</v>
      </c>
      <c r="H6" s="707" t="s">
        <v>16</v>
      </c>
      <c r="I6" s="705" t="s">
        <v>17</v>
      </c>
      <c r="J6" s="705" t="s">
        <v>33</v>
      </c>
      <c r="K6" s="705" t="s">
        <v>29</v>
      </c>
      <c r="L6" s="705" t="s">
        <v>22</v>
      </c>
      <c r="M6" s="705" t="s">
        <v>34</v>
      </c>
      <c r="N6" s="705" t="s">
        <v>35</v>
      </c>
    </row>
    <row r="7" spans="1:14" s="442" customFormat="1" ht="34.5" customHeight="1">
      <c r="A7" s="451"/>
      <c r="B7" s="1963" t="s">
        <v>18</v>
      </c>
      <c r="C7" s="1965" t="s">
        <v>19</v>
      </c>
      <c r="D7" s="1969" t="s">
        <v>6</v>
      </c>
      <c r="E7" s="1961" t="s">
        <v>513</v>
      </c>
      <c r="F7" s="1961" t="s">
        <v>535</v>
      </c>
      <c r="G7" s="1967" t="s">
        <v>613</v>
      </c>
      <c r="H7" s="1974" t="s">
        <v>20</v>
      </c>
      <c r="I7" s="1957" t="s">
        <v>536</v>
      </c>
      <c r="J7" s="1959" t="s">
        <v>36</v>
      </c>
      <c r="K7" s="1959"/>
      <c r="L7" s="1959"/>
      <c r="M7" s="1959"/>
      <c r="N7" s="1960"/>
    </row>
    <row r="8" spans="1:14" s="442" customFormat="1" ht="45.75" thickBot="1">
      <c r="A8" s="451"/>
      <c r="B8" s="1964"/>
      <c r="C8" s="1966"/>
      <c r="D8" s="1970"/>
      <c r="E8" s="1962"/>
      <c r="F8" s="1962"/>
      <c r="G8" s="1968"/>
      <c r="H8" s="1975"/>
      <c r="I8" s="1958"/>
      <c r="J8" s="1702" t="s">
        <v>37</v>
      </c>
      <c r="K8" s="1702" t="s">
        <v>38</v>
      </c>
      <c r="L8" s="1702" t="s">
        <v>39</v>
      </c>
      <c r="M8" s="1702" t="s">
        <v>205</v>
      </c>
      <c r="N8" s="694" t="s">
        <v>40</v>
      </c>
    </row>
    <row r="9" spans="1:14" s="442" customFormat="1" ht="23.25" customHeight="1">
      <c r="A9" s="451">
        <v>1</v>
      </c>
      <c r="B9" s="708">
        <v>18</v>
      </c>
      <c r="C9" s="709" t="s">
        <v>432</v>
      </c>
      <c r="D9" s="710"/>
      <c r="E9" s="711"/>
      <c r="F9" s="711"/>
      <c r="G9" s="716"/>
      <c r="H9" s="715"/>
      <c r="I9" s="712"/>
      <c r="J9" s="713"/>
      <c r="K9" s="713"/>
      <c r="L9" s="713"/>
      <c r="M9" s="713"/>
      <c r="N9" s="714"/>
    </row>
    <row r="10" spans="1:14" s="3" customFormat="1" ht="22.5" customHeight="1">
      <c r="A10" s="451">
        <v>2</v>
      </c>
      <c r="B10" s="143"/>
      <c r="C10" s="693">
        <v>1</v>
      </c>
      <c r="D10" s="445" t="s">
        <v>41</v>
      </c>
      <c r="E10" s="149">
        <v>1779</v>
      </c>
      <c r="F10" s="149">
        <v>0</v>
      </c>
      <c r="G10" s="150">
        <v>239</v>
      </c>
      <c r="H10" s="455" t="s">
        <v>22</v>
      </c>
      <c r="I10" s="438"/>
      <c r="J10" s="148"/>
      <c r="K10" s="148"/>
      <c r="L10" s="148"/>
      <c r="M10" s="148"/>
      <c r="N10" s="155"/>
    </row>
    <row r="11" spans="1:14" s="8" customFormat="1" ht="18" customHeight="1">
      <c r="A11" s="451">
        <v>3</v>
      </c>
      <c r="B11" s="124"/>
      <c r="C11" s="125"/>
      <c r="D11" s="874" t="s">
        <v>283</v>
      </c>
      <c r="E11" s="122"/>
      <c r="F11" s="122"/>
      <c r="G11" s="123"/>
      <c r="H11" s="453"/>
      <c r="I11" s="867">
        <f>SUM(J11:N11)</f>
        <v>500</v>
      </c>
      <c r="J11" s="1017"/>
      <c r="K11" s="1017"/>
      <c r="L11" s="868">
        <v>500</v>
      </c>
      <c r="M11" s="1017"/>
      <c r="N11" s="1018"/>
    </row>
    <row r="12" spans="1:14" s="8" customFormat="1" ht="18" customHeight="1">
      <c r="A12" s="451">
        <v>4</v>
      </c>
      <c r="B12" s="124"/>
      <c r="C12" s="125"/>
      <c r="D12" s="478" t="s">
        <v>757</v>
      </c>
      <c r="E12" s="122"/>
      <c r="F12" s="122"/>
      <c r="G12" s="123"/>
      <c r="H12" s="453"/>
      <c r="I12" s="1135">
        <f>SUM(J12:N12)</f>
        <v>428</v>
      </c>
      <c r="J12" s="148"/>
      <c r="K12" s="148"/>
      <c r="L12" s="1136">
        <v>428</v>
      </c>
      <c r="M12" s="1020"/>
      <c r="N12" s="1021"/>
    </row>
    <row r="13" spans="1:14" s="8" customFormat="1" ht="18" customHeight="1">
      <c r="A13" s="451">
        <v>5</v>
      </c>
      <c r="B13" s="124"/>
      <c r="C13" s="125"/>
      <c r="D13" s="1090" t="s">
        <v>892</v>
      </c>
      <c r="E13" s="122"/>
      <c r="F13" s="122"/>
      <c r="G13" s="123"/>
      <c r="H13" s="453"/>
      <c r="I13" s="1138">
        <f>SUM(J13:N13)</f>
        <v>120</v>
      </c>
      <c r="J13" s="1140"/>
      <c r="K13" s="1140"/>
      <c r="L13" s="1708">
        <v>120</v>
      </c>
      <c r="M13" s="1140"/>
      <c r="N13" s="1141"/>
    </row>
    <row r="14" spans="1:16" s="3" customFormat="1" ht="22.5" customHeight="1">
      <c r="A14" s="451">
        <v>6</v>
      </c>
      <c r="B14" s="119"/>
      <c r="C14" s="120">
        <v>2</v>
      </c>
      <c r="D14" s="446" t="s">
        <v>837</v>
      </c>
      <c r="E14" s="122">
        <v>3685</v>
      </c>
      <c r="F14" s="122">
        <v>0</v>
      </c>
      <c r="G14" s="123">
        <v>1719</v>
      </c>
      <c r="H14" s="453" t="s">
        <v>23</v>
      </c>
      <c r="I14" s="1019"/>
      <c r="J14" s="1020"/>
      <c r="K14" s="1020"/>
      <c r="L14" s="1020"/>
      <c r="M14" s="1020"/>
      <c r="N14" s="1021"/>
      <c r="P14" s="8"/>
    </row>
    <row r="15" spans="1:14" s="8" customFormat="1" ht="18" customHeight="1">
      <c r="A15" s="451">
        <v>7</v>
      </c>
      <c r="B15" s="124"/>
      <c r="C15" s="125"/>
      <c r="D15" s="126" t="s">
        <v>283</v>
      </c>
      <c r="E15" s="122"/>
      <c r="F15" s="122"/>
      <c r="G15" s="123"/>
      <c r="H15" s="453"/>
      <c r="I15" s="867">
        <f>SUM(J15:N15)</f>
        <v>1700</v>
      </c>
      <c r="J15" s="1017"/>
      <c r="K15" s="1017"/>
      <c r="L15" s="868">
        <v>1700</v>
      </c>
      <c r="M15" s="1017"/>
      <c r="N15" s="1018"/>
    </row>
    <row r="16" spans="1:14" s="8" customFormat="1" ht="18" customHeight="1">
      <c r="A16" s="451">
        <v>8</v>
      </c>
      <c r="B16" s="124"/>
      <c r="C16" s="125"/>
      <c r="D16" s="478" t="s">
        <v>757</v>
      </c>
      <c r="E16" s="122"/>
      <c r="F16" s="122"/>
      <c r="G16" s="123"/>
      <c r="H16" s="453"/>
      <c r="I16" s="1135">
        <f>SUM(J16:N16)</f>
        <v>4193</v>
      </c>
      <c r="J16" s="1453"/>
      <c r="K16" s="1453"/>
      <c r="L16" s="1142">
        <v>4193</v>
      </c>
      <c r="M16" s="1017"/>
      <c r="N16" s="1018"/>
    </row>
    <row r="17" spans="1:14" s="8" customFormat="1" ht="18" customHeight="1">
      <c r="A17" s="451">
        <v>9</v>
      </c>
      <c r="B17" s="124"/>
      <c r="C17" s="125"/>
      <c r="D17" s="1090" t="s">
        <v>892</v>
      </c>
      <c r="E17" s="122"/>
      <c r="F17" s="122"/>
      <c r="G17" s="123"/>
      <c r="H17" s="453"/>
      <c r="I17" s="1138">
        <f>SUM(J17:N17)</f>
        <v>415</v>
      </c>
      <c r="J17" s="1453"/>
      <c r="K17" s="1453"/>
      <c r="L17" s="1144">
        <v>415</v>
      </c>
      <c r="M17" s="1017"/>
      <c r="N17" s="1018"/>
    </row>
    <row r="18" spans="1:16" s="3" customFormat="1" ht="22.5" customHeight="1">
      <c r="A18" s="451">
        <v>10</v>
      </c>
      <c r="B18" s="119"/>
      <c r="C18" s="120">
        <v>3</v>
      </c>
      <c r="D18" s="446" t="s">
        <v>42</v>
      </c>
      <c r="E18" s="122">
        <v>7056</v>
      </c>
      <c r="F18" s="122">
        <v>3000</v>
      </c>
      <c r="G18" s="123">
        <v>1449</v>
      </c>
      <c r="H18" s="453" t="s">
        <v>23</v>
      </c>
      <c r="I18" s="1022"/>
      <c r="J18" s="1023"/>
      <c r="K18" s="1023"/>
      <c r="L18" s="1023"/>
      <c r="M18" s="1023"/>
      <c r="N18" s="1024"/>
      <c r="P18" s="8"/>
    </row>
    <row r="19" spans="1:16" s="3" customFormat="1" ht="22.5" customHeight="1">
      <c r="A19" s="451">
        <v>11</v>
      </c>
      <c r="B19" s="119"/>
      <c r="C19" s="120">
        <v>4</v>
      </c>
      <c r="D19" s="446" t="s">
        <v>43</v>
      </c>
      <c r="E19" s="122">
        <v>13218</v>
      </c>
      <c r="F19" s="122">
        <v>0</v>
      </c>
      <c r="G19" s="123">
        <v>3555</v>
      </c>
      <c r="H19" s="453" t="s">
        <v>23</v>
      </c>
      <c r="I19" s="867"/>
      <c r="J19" s="1017"/>
      <c r="K19" s="1017"/>
      <c r="L19" s="1017"/>
      <c r="M19" s="1017"/>
      <c r="N19" s="1018"/>
      <c r="P19" s="8"/>
    </row>
    <row r="20" spans="1:14" s="8" customFormat="1" ht="18" customHeight="1">
      <c r="A20" s="451">
        <v>12</v>
      </c>
      <c r="B20" s="124"/>
      <c r="C20" s="125"/>
      <c r="D20" s="874" t="s">
        <v>283</v>
      </c>
      <c r="E20" s="827"/>
      <c r="F20" s="827"/>
      <c r="G20" s="1309"/>
      <c r="H20" s="453"/>
      <c r="I20" s="867">
        <f>SUM(J20:N20)</f>
        <v>7500</v>
      </c>
      <c r="J20" s="1017"/>
      <c r="K20" s="1017"/>
      <c r="L20" s="868">
        <f>6000+1500</f>
        <v>7500</v>
      </c>
      <c r="M20" s="1017"/>
      <c r="N20" s="1018"/>
    </row>
    <row r="21" spans="1:14" s="8" customFormat="1" ht="18" customHeight="1">
      <c r="A21" s="451">
        <v>13</v>
      </c>
      <c r="B21" s="124"/>
      <c r="C21" s="125"/>
      <c r="D21" s="478" t="s">
        <v>757</v>
      </c>
      <c r="E21" s="827"/>
      <c r="F21" s="827"/>
      <c r="G21" s="1309"/>
      <c r="H21" s="453"/>
      <c r="I21" s="1135">
        <f>SUM(J21:N21)</f>
        <v>8023</v>
      </c>
      <c r="J21" s="1453"/>
      <c r="K21" s="1453"/>
      <c r="L21" s="1142">
        <v>8023</v>
      </c>
      <c r="M21" s="1017"/>
      <c r="N21" s="1018"/>
    </row>
    <row r="22" spans="1:14" s="8" customFormat="1" ht="18" customHeight="1">
      <c r="A22" s="451">
        <v>14</v>
      </c>
      <c r="B22" s="124"/>
      <c r="C22" s="125"/>
      <c r="D22" s="1090" t="s">
        <v>892</v>
      </c>
      <c r="E22" s="827"/>
      <c r="F22" s="827"/>
      <c r="G22" s="1309"/>
      <c r="H22" s="453"/>
      <c r="I22" s="1138">
        <f>SUM(J22:N22)</f>
        <v>445</v>
      </c>
      <c r="J22" s="1453"/>
      <c r="K22" s="1453"/>
      <c r="L22" s="1144">
        <v>445</v>
      </c>
      <c r="M22" s="1017"/>
      <c r="N22" s="1018"/>
    </row>
    <row r="23" spans="1:16" s="3" customFormat="1" ht="22.5" customHeight="1">
      <c r="A23" s="451">
        <v>15</v>
      </c>
      <c r="B23" s="119"/>
      <c r="C23" s="120">
        <v>5</v>
      </c>
      <c r="D23" s="446" t="s">
        <v>12</v>
      </c>
      <c r="E23" s="122">
        <v>9366</v>
      </c>
      <c r="F23" s="122">
        <v>9601</v>
      </c>
      <c r="G23" s="123">
        <v>7724</v>
      </c>
      <c r="H23" s="453" t="s">
        <v>23</v>
      </c>
      <c r="I23" s="1022"/>
      <c r="J23" s="1023"/>
      <c r="K23" s="1023"/>
      <c r="L23" s="1023"/>
      <c r="M23" s="1023"/>
      <c r="N23" s="1024"/>
      <c r="O23" s="8"/>
      <c r="P23" s="8"/>
    </row>
    <row r="24" spans="1:14" s="878" customFormat="1" ht="18" customHeight="1">
      <c r="A24" s="451">
        <v>16</v>
      </c>
      <c r="B24" s="872"/>
      <c r="C24" s="873"/>
      <c r="D24" s="874" t="s">
        <v>283</v>
      </c>
      <c r="E24" s="875"/>
      <c r="F24" s="875"/>
      <c r="G24" s="876"/>
      <c r="H24" s="877"/>
      <c r="I24" s="867">
        <f>SUM(J24:N24)</f>
        <v>1000</v>
      </c>
      <c r="J24" s="868">
        <v>500</v>
      </c>
      <c r="K24" s="868">
        <v>100</v>
      </c>
      <c r="L24" s="868">
        <v>400</v>
      </c>
      <c r="M24" s="868"/>
      <c r="N24" s="869"/>
    </row>
    <row r="25" spans="1:14" s="878" customFormat="1" ht="18" customHeight="1">
      <c r="A25" s="451">
        <v>17</v>
      </c>
      <c r="B25" s="872"/>
      <c r="C25" s="873"/>
      <c r="D25" s="478" t="s">
        <v>757</v>
      </c>
      <c r="E25" s="875"/>
      <c r="F25" s="875"/>
      <c r="G25" s="876"/>
      <c r="H25" s="877"/>
      <c r="I25" s="1135">
        <f>SUM(J25:N25)</f>
        <v>4913</v>
      </c>
      <c r="J25" s="1142">
        <v>1500</v>
      </c>
      <c r="K25" s="1142">
        <v>300</v>
      </c>
      <c r="L25" s="1142">
        <v>3113</v>
      </c>
      <c r="M25" s="868"/>
      <c r="N25" s="869"/>
    </row>
    <row r="26" spans="1:14" s="878" customFormat="1" ht="18" customHeight="1">
      <c r="A26" s="451">
        <v>18</v>
      </c>
      <c r="B26" s="872"/>
      <c r="C26" s="873"/>
      <c r="D26" s="1090" t="s">
        <v>892</v>
      </c>
      <c r="E26" s="875"/>
      <c r="F26" s="875"/>
      <c r="G26" s="876"/>
      <c r="H26" s="877"/>
      <c r="I26" s="1138">
        <f>SUM(J26:N26)</f>
        <v>3394</v>
      </c>
      <c r="J26" s="1144">
        <v>913</v>
      </c>
      <c r="K26" s="1144">
        <v>55</v>
      </c>
      <c r="L26" s="1144">
        <v>2426</v>
      </c>
      <c r="M26" s="1142"/>
      <c r="N26" s="869"/>
    </row>
    <row r="27" spans="1:14" s="9" customFormat="1" ht="23.25" customHeight="1">
      <c r="A27" s="451">
        <v>19</v>
      </c>
      <c r="B27" s="129"/>
      <c r="C27" s="120">
        <v>6</v>
      </c>
      <c r="D27" s="446" t="s">
        <v>838</v>
      </c>
      <c r="E27" s="130"/>
      <c r="F27" s="130"/>
      <c r="G27" s="131"/>
      <c r="H27" s="454"/>
      <c r="I27" s="1137"/>
      <c r="J27" s="1025"/>
      <c r="K27" s="1025"/>
      <c r="L27" s="1025"/>
      <c r="M27" s="1025"/>
      <c r="N27" s="1143"/>
    </row>
    <row r="28" spans="1:14" s="9" customFormat="1" ht="23.25" customHeight="1">
      <c r="A28" s="451">
        <v>20</v>
      </c>
      <c r="B28" s="129"/>
      <c r="C28" s="120"/>
      <c r="D28" s="478" t="s">
        <v>757</v>
      </c>
      <c r="E28" s="130"/>
      <c r="F28" s="130"/>
      <c r="G28" s="131"/>
      <c r="H28" s="454"/>
      <c r="I28" s="1135">
        <f>SUM(J28:N28)</f>
        <v>7500</v>
      </c>
      <c r="J28" s="1142">
        <f aca="true" t="shared" si="0" ref="J28:N29">J31+J34+J37+J40</f>
        <v>0</v>
      </c>
      <c r="K28" s="1142">
        <f t="shared" si="0"/>
        <v>0</v>
      </c>
      <c r="L28" s="1142">
        <f t="shared" si="0"/>
        <v>7500</v>
      </c>
      <c r="M28" s="1142">
        <f t="shared" si="0"/>
        <v>0</v>
      </c>
      <c r="N28" s="1148">
        <f t="shared" si="0"/>
        <v>0</v>
      </c>
    </row>
    <row r="29" spans="1:14" s="9" customFormat="1" ht="18" customHeight="1">
      <c r="A29" s="451">
        <v>21</v>
      </c>
      <c r="B29" s="129"/>
      <c r="C29" s="125"/>
      <c r="D29" s="1090" t="s">
        <v>896</v>
      </c>
      <c r="E29" s="130"/>
      <c r="F29" s="130"/>
      <c r="G29" s="131"/>
      <c r="H29" s="454"/>
      <c r="I29" s="1138">
        <f>SUM(J29:N29)</f>
        <v>1150</v>
      </c>
      <c r="J29" s="1144">
        <f t="shared" si="0"/>
        <v>0</v>
      </c>
      <c r="K29" s="1144">
        <f t="shared" si="0"/>
        <v>0</v>
      </c>
      <c r="L29" s="1144">
        <f t="shared" si="0"/>
        <v>1150</v>
      </c>
      <c r="M29" s="1144">
        <f t="shared" si="0"/>
        <v>0</v>
      </c>
      <c r="N29" s="1143">
        <f t="shared" si="0"/>
        <v>0</v>
      </c>
    </row>
    <row r="30" spans="1:14" s="9" customFormat="1" ht="18" customHeight="1">
      <c r="A30" s="451">
        <v>22</v>
      </c>
      <c r="B30" s="129"/>
      <c r="C30" s="125"/>
      <c r="D30" s="344" t="s">
        <v>839</v>
      </c>
      <c r="E30" s="130"/>
      <c r="F30" s="130"/>
      <c r="G30" s="131"/>
      <c r="H30" s="453" t="s">
        <v>23</v>
      </c>
      <c r="I30" s="1137"/>
      <c r="J30" s="1025"/>
      <c r="K30" s="1025"/>
      <c r="L30" s="1025"/>
      <c r="M30" s="1025"/>
      <c r="N30" s="1143"/>
    </row>
    <row r="31" spans="1:14" s="9" customFormat="1" ht="18" customHeight="1">
      <c r="A31" s="451">
        <v>23</v>
      </c>
      <c r="B31" s="129"/>
      <c r="C31" s="125"/>
      <c r="D31" s="1134" t="s">
        <v>757</v>
      </c>
      <c r="E31" s="130"/>
      <c r="F31" s="130"/>
      <c r="G31" s="131"/>
      <c r="H31" s="453"/>
      <c r="I31" s="1137">
        <f>SUM(J31:N31)</f>
        <v>1150</v>
      </c>
      <c r="J31" s="1025"/>
      <c r="K31" s="1025"/>
      <c r="L31" s="1145">
        <v>1150</v>
      </c>
      <c r="M31" s="1025"/>
      <c r="N31" s="1143"/>
    </row>
    <row r="32" spans="1:14" s="9" customFormat="1" ht="18" customHeight="1">
      <c r="A32" s="451">
        <v>24</v>
      </c>
      <c r="B32" s="129"/>
      <c r="C32" s="125"/>
      <c r="D32" s="1134" t="s">
        <v>893</v>
      </c>
      <c r="E32" s="130"/>
      <c r="F32" s="130"/>
      <c r="G32" s="131"/>
      <c r="H32" s="453"/>
      <c r="I32" s="1138">
        <f>SUM(J32:N32)</f>
        <v>1150</v>
      </c>
      <c r="J32" s="1144"/>
      <c r="K32" s="1144"/>
      <c r="L32" s="1144">
        <v>1150</v>
      </c>
      <c r="M32" s="1025"/>
      <c r="N32" s="1143"/>
    </row>
    <row r="33" spans="1:14" s="9" customFormat="1" ht="18" customHeight="1">
      <c r="A33" s="451">
        <v>25</v>
      </c>
      <c r="B33" s="129"/>
      <c r="C33" s="125"/>
      <c r="D33" s="1534" t="s">
        <v>840</v>
      </c>
      <c r="E33" s="130"/>
      <c r="F33" s="130"/>
      <c r="G33" s="131"/>
      <c r="H33" s="453" t="s">
        <v>22</v>
      </c>
      <c r="I33" s="1137"/>
      <c r="J33" s="1025"/>
      <c r="K33" s="1025"/>
      <c r="L33" s="1144"/>
      <c r="M33" s="1025"/>
      <c r="N33" s="1143"/>
    </row>
    <row r="34" spans="1:14" s="9" customFormat="1" ht="18" customHeight="1">
      <c r="A34" s="451">
        <v>26</v>
      </c>
      <c r="B34" s="129"/>
      <c r="C34" s="125"/>
      <c r="D34" s="1134" t="s">
        <v>757</v>
      </c>
      <c r="E34" s="130"/>
      <c r="F34" s="130"/>
      <c r="G34" s="131"/>
      <c r="H34" s="453"/>
      <c r="I34" s="1137">
        <f>SUM(J34:N34)</f>
        <v>4000</v>
      </c>
      <c r="J34" s="1025"/>
      <c r="K34" s="1025"/>
      <c r="L34" s="1145">
        <v>4000</v>
      </c>
      <c r="M34" s="1025"/>
      <c r="N34" s="1143"/>
    </row>
    <row r="35" spans="1:14" s="9" customFormat="1" ht="18" customHeight="1">
      <c r="A35" s="451">
        <v>27</v>
      </c>
      <c r="B35" s="129"/>
      <c r="C35" s="125"/>
      <c r="D35" s="1486" t="s">
        <v>893</v>
      </c>
      <c r="E35" s="130"/>
      <c r="F35" s="130"/>
      <c r="G35" s="131"/>
      <c r="H35" s="453"/>
      <c r="I35" s="1138">
        <f>SUM(J35:N35)</f>
        <v>0</v>
      </c>
      <c r="J35" s="1144"/>
      <c r="K35" s="1144"/>
      <c r="L35" s="1144">
        <v>0</v>
      </c>
      <c r="M35" s="1025"/>
      <c r="N35" s="1143"/>
    </row>
    <row r="36" spans="1:14" s="9" customFormat="1" ht="18" customHeight="1">
      <c r="A36" s="451">
        <v>28</v>
      </c>
      <c r="B36" s="129"/>
      <c r="C36" s="125"/>
      <c r="D36" s="1534" t="s">
        <v>841</v>
      </c>
      <c r="E36" s="130">
        <v>0</v>
      </c>
      <c r="F36" s="130">
        <v>1000</v>
      </c>
      <c r="G36" s="131">
        <v>0</v>
      </c>
      <c r="H36" s="453" t="s">
        <v>23</v>
      </c>
      <c r="I36" s="1137"/>
      <c r="J36" s="1025"/>
      <c r="K36" s="1025"/>
      <c r="L36" s="1144"/>
      <c r="M36" s="1025"/>
      <c r="N36" s="1143"/>
    </row>
    <row r="37" spans="1:14" s="9" customFormat="1" ht="18" customHeight="1">
      <c r="A37" s="451">
        <v>29</v>
      </c>
      <c r="B37" s="129"/>
      <c r="C37" s="125"/>
      <c r="D37" s="1134" t="s">
        <v>757</v>
      </c>
      <c r="E37" s="130"/>
      <c r="F37" s="130"/>
      <c r="G37" s="131"/>
      <c r="H37" s="453"/>
      <c r="I37" s="1137">
        <f>SUM(J37:N37)</f>
        <v>2000</v>
      </c>
      <c r="J37" s="1025"/>
      <c r="K37" s="1025"/>
      <c r="L37" s="1145">
        <v>2000</v>
      </c>
      <c r="M37" s="1025"/>
      <c r="N37" s="1143"/>
    </row>
    <row r="38" spans="1:14" s="9" customFormat="1" ht="18" customHeight="1">
      <c r="A38" s="451">
        <v>30</v>
      </c>
      <c r="B38" s="129"/>
      <c r="C38" s="125"/>
      <c r="D38" s="1486" t="s">
        <v>893</v>
      </c>
      <c r="E38" s="130"/>
      <c r="F38" s="130"/>
      <c r="G38" s="131"/>
      <c r="H38" s="453"/>
      <c r="I38" s="1138">
        <f>SUM(J38:N38)</f>
        <v>0</v>
      </c>
      <c r="J38" s="1144"/>
      <c r="K38" s="1144"/>
      <c r="L38" s="1144">
        <v>0</v>
      </c>
      <c r="M38" s="1025"/>
      <c r="N38" s="1143"/>
    </row>
    <row r="39" spans="1:14" s="9" customFormat="1" ht="18" customHeight="1">
      <c r="A39" s="451">
        <v>31</v>
      </c>
      <c r="B39" s="129"/>
      <c r="C39" s="125"/>
      <c r="D39" s="1534" t="s">
        <v>842</v>
      </c>
      <c r="E39" s="130"/>
      <c r="F39" s="130"/>
      <c r="G39" s="131"/>
      <c r="H39" s="453" t="s">
        <v>22</v>
      </c>
      <c r="I39" s="1137"/>
      <c r="J39" s="1025"/>
      <c r="K39" s="1025"/>
      <c r="L39" s="1144"/>
      <c r="M39" s="1025"/>
      <c r="N39" s="1143"/>
    </row>
    <row r="40" spans="1:14" s="9" customFormat="1" ht="18" customHeight="1">
      <c r="A40" s="451">
        <v>32</v>
      </c>
      <c r="B40" s="129"/>
      <c r="C40" s="125"/>
      <c r="D40" s="1134" t="s">
        <v>757</v>
      </c>
      <c r="E40" s="130"/>
      <c r="F40" s="130"/>
      <c r="G40" s="131"/>
      <c r="H40" s="453"/>
      <c r="I40" s="1137">
        <f>SUM(J40:N40)</f>
        <v>350</v>
      </c>
      <c r="J40" s="1025"/>
      <c r="K40" s="1025"/>
      <c r="L40" s="1145">
        <v>350</v>
      </c>
      <c r="M40" s="1025"/>
      <c r="N40" s="1143"/>
    </row>
    <row r="41" spans="1:14" s="9" customFormat="1" ht="18" customHeight="1">
      <c r="A41" s="451">
        <v>33</v>
      </c>
      <c r="B41" s="129"/>
      <c r="C41" s="125"/>
      <c r="D41" s="1486" t="s">
        <v>893</v>
      </c>
      <c r="E41" s="130"/>
      <c r="F41" s="130"/>
      <c r="G41" s="131"/>
      <c r="H41" s="454"/>
      <c r="I41" s="1138">
        <f>SUM(J41:N41)</f>
        <v>0</v>
      </c>
      <c r="J41" s="1144"/>
      <c r="K41" s="1144"/>
      <c r="L41" s="1144">
        <v>0</v>
      </c>
      <c r="M41" s="1025"/>
      <c r="N41" s="1143"/>
    </row>
    <row r="42" spans="1:16" s="3" customFormat="1" ht="22.5" customHeight="1">
      <c r="A42" s="451">
        <v>34</v>
      </c>
      <c r="B42" s="119"/>
      <c r="C42" s="120">
        <v>7</v>
      </c>
      <c r="D42" s="446" t="s">
        <v>10</v>
      </c>
      <c r="E42" s="122">
        <f>SUM(E46,E50,E54,E58,E66,E62)</f>
        <v>74000</v>
      </c>
      <c r="F42" s="122">
        <f>SUM(F46,F50,F54,F58,F66,F62)</f>
        <v>0</v>
      </c>
      <c r="G42" s="123">
        <f>SUM(G46,G50,G54,G58,G66,G62)</f>
        <v>0</v>
      </c>
      <c r="H42" s="453" t="s">
        <v>23</v>
      </c>
      <c r="I42" s="1022"/>
      <c r="J42" s="1023"/>
      <c r="K42" s="1023"/>
      <c r="L42" s="1023"/>
      <c r="M42" s="1023"/>
      <c r="N42" s="1024"/>
      <c r="O42" s="8"/>
      <c r="P42" s="8"/>
    </row>
    <row r="43" spans="1:14" s="8" customFormat="1" ht="18" customHeight="1">
      <c r="A43" s="451">
        <v>35</v>
      </c>
      <c r="B43" s="124"/>
      <c r="C43" s="125"/>
      <c r="D43" s="874" t="s">
        <v>283</v>
      </c>
      <c r="E43" s="122"/>
      <c r="F43" s="122"/>
      <c r="G43" s="123"/>
      <c r="H43" s="453"/>
      <c r="I43" s="867">
        <f>SUM(J43:N43)</f>
        <v>36000</v>
      </c>
      <c r="J43" s="868">
        <f>SUM(J47,J51,J55,J59,J63)</f>
        <v>0</v>
      </c>
      <c r="K43" s="868">
        <f>SUM(K47,K51,K55,K59,K63)</f>
        <v>0</v>
      </c>
      <c r="L43" s="868">
        <f>SUM(L47,L51,L55,L59,L63)</f>
        <v>7500</v>
      </c>
      <c r="M43" s="868">
        <f>SUM(M47,M51,M55,M59,M63)</f>
        <v>0</v>
      </c>
      <c r="N43" s="869">
        <f>SUM(N47,N51,N55,N59,N63)</f>
        <v>28500</v>
      </c>
    </row>
    <row r="44" spans="1:14" s="8" customFormat="1" ht="18" customHeight="1">
      <c r="A44" s="451">
        <v>36</v>
      </c>
      <c r="B44" s="124"/>
      <c r="C44" s="125"/>
      <c r="D44" s="478" t="s">
        <v>757</v>
      </c>
      <c r="E44" s="122"/>
      <c r="F44" s="122"/>
      <c r="G44" s="123"/>
      <c r="H44" s="453"/>
      <c r="I44" s="1135">
        <f>SUM(J44:N44)</f>
        <v>28500</v>
      </c>
      <c r="J44" s="1142">
        <f>SUM(J48,J52,J56,J60,J64)</f>
        <v>0</v>
      </c>
      <c r="K44" s="1142">
        <f>SUM(K48,K52,K56,K60,K64)</f>
        <v>0</v>
      </c>
      <c r="L44" s="1142">
        <f>SUM(L48,L52,L56,L60,L64)</f>
        <v>0</v>
      </c>
      <c r="M44" s="1142"/>
      <c r="N44" s="1148">
        <f>SUM(N48,N52,N56,N60,N64)</f>
        <v>28500</v>
      </c>
    </row>
    <row r="45" spans="1:14" s="8" customFormat="1" ht="18" customHeight="1">
      <c r="A45" s="451">
        <v>37</v>
      </c>
      <c r="B45" s="124"/>
      <c r="C45" s="125"/>
      <c r="D45" s="1090" t="s">
        <v>893</v>
      </c>
      <c r="E45" s="122"/>
      <c r="F45" s="122"/>
      <c r="G45" s="123"/>
      <c r="H45" s="453"/>
      <c r="I45" s="1138">
        <f>SUM(J45:N45)</f>
        <v>28500</v>
      </c>
      <c r="J45" s="1145">
        <f>J49+J53+J57+J61+J65</f>
        <v>0</v>
      </c>
      <c r="K45" s="1145">
        <f>K49+K53+K57+K61+K65</f>
        <v>0</v>
      </c>
      <c r="L45" s="1145">
        <f>L49+L53+L57+L61+L65</f>
        <v>0</v>
      </c>
      <c r="M45" s="1145">
        <f>M49+M53+M57+M61+M65</f>
        <v>0</v>
      </c>
      <c r="N45" s="1146">
        <f>N49+N53+N57+N61+N65</f>
        <v>28500</v>
      </c>
    </row>
    <row r="46" spans="1:16" s="9" customFormat="1" ht="18" customHeight="1">
      <c r="A46" s="451">
        <v>38</v>
      </c>
      <c r="B46" s="129"/>
      <c r="C46" s="437"/>
      <c r="D46" s="344" t="s">
        <v>44</v>
      </c>
      <c r="E46" s="130">
        <v>30000</v>
      </c>
      <c r="F46" s="130">
        <v>0</v>
      </c>
      <c r="G46" s="131">
        <v>0</v>
      </c>
      <c r="H46" s="454"/>
      <c r="I46" s="870"/>
      <c r="J46" s="1025"/>
      <c r="K46" s="1025"/>
      <c r="L46" s="1025"/>
      <c r="M46" s="1025"/>
      <c r="N46" s="1026"/>
      <c r="P46" s="8"/>
    </row>
    <row r="47" spans="1:16" s="9" customFormat="1" ht="18" customHeight="1">
      <c r="A47" s="451">
        <v>39</v>
      </c>
      <c r="B47" s="129"/>
      <c r="C47" s="125"/>
      <c r="D47" s="1051" t="s">
        <v>283</v>
      </c>
      <c r="E47" s="130"/>
      <c r="F47" s="130"/>
      <c r="G47" s="131"/>
      <c r="H47" s="454"/>
      <c r="I47" s="870">
        <f>SUM(J47:N47)</f>
        <v>15000</v>
      </c>
      <c r="J47" s="1025"/>
      <c r="K47" s="1025"/>
      <c r="L47" s="1025"/>
      <c r="M47" s="1025"/>
      <c r="N47" s="1026">
        <v>15000</v>
      </c>
      <c r="P47" s="8"/>
    </row>
    <row r="48" spans="1:16" s="9" customFormat="1" ht="18" customHeight="1">
      <c r="A48" s="451">
        <v>40</v>
      </c>
      <c r="B48" s="129"/>
      <c r="C48" s="125"/>
      <c r="D48" s="1134" t="s">
        <v>757</v>
      </c>
      <c r="E48" s="130"/>
      <c r="F48" s="130"/>
      <c r="G48" s="131"/>
      <c r="H48" s="454"/>
      <c r="I48" s="1137">
        <f>SUM(J48:N48)</f>
        <v>15000</v>
      </c>
      <c r="J48" s="1144"/>
      <c r="K48" s="1144"/>
      <c r="L48" s="1144"/>
      <c r="M48" s="1144"/>
      <c r="N48" s="1143">
        <v>15000</v>
      </c>
      <c r="P48" s="8"/>
    </row>
    <row r="49" spans="1:16" s="9" customFormat="1" ht="18" customHeight="1">
      <c r="A49" s="451">
        <v>41</v>
      </c>
      <c r="B49" s="129"/>
      <c r="C49" s="125"/>
      <c r="D49" s="1134" t="s">
        <v>893</v>
      </c>
      <c r="E49" s="130"/>
      <c r="F49" s="130"/>
      <c r="G49" s="131"/>
      <c r="H49" s="454"/>
      <c r="I49" s="1138">
        <f>SUM(J49:N49)</f>
        <v>15000</v>
      </c>
      <c r="J49" s="1144"/>
      <c r="K49" s="1144"/>
      <c r="L49" s="1144"/>
      <c r="M49" s="1144"/>
      <c r="N49" s="1143">
        <v>15000</v>
      </c>
      <c r="P49" s="8"/>
    </row>
    <row r="50" spans="1:16" s="9" customFormat="1" ht="18" customHeight="1">
      <c r="A50" s="451">
        <v>42</v>
      </c>
      <c r="B50" s="129"/>
      <c r="C50" s="437"/>
      <c r="D50" s="344" t="s">
        <v>45</v>
      </c>
      <c r="E50" s="130">
        <v>15000</v>
      </c>
      <c r="F50" s="130">
        <v>0</v>
      </c>
      <c r="G50" s="131">
        <v>0</v>
      </c>
      <c r="H50" s="454"/>
      <c r="I50" s="1027"/>
      <c r="J50" s="1028"/>
      <c r="K50" s="1028"/>
      <c r="L50" s="1028"/>
      <c r="M50" s="1028"/>
      <c r="N50" s="1029"/>
      <c r="P50" s="8"/>
    </row>
    <row r="51" spans="1:16" s="9" customFormat="1" ht="18" customHeight="1">
      <c r="A51" s="451">
        <v>43</v>
      </c>
      <c r="B51" s="129"/>
      <c r="C51" s="125"/>
      <c r="D51" s="1051" t="s">
        <v>283</v>
      </c>
      <c r="E51" s="130"/>
      <c r="F51" s="130"/>
      <c r="G51" s="131"/>
      <c r="H51" s="454"/>
      <c r="I51" s="870">
        <f>SUM(J51:N51)</f>
        <v>7500</v>
      </c>
      <c r="J51" s="1025"/>
      <c r="K51" s="1025"/>
      <c r="L51" s="1025">
        <v>7500</v>
      </c>
      <c r="M51" s="1025"/>
      <c r="N51" s="1026"/>
      <c r="P51" s="8"/>
    </row>
    <row r="52" spans="1:16" s="9" customFormat="1" ht="18" customHeight="1">
      <c r="A52" s="451">
        <v>44</v>
      </c>
      <c r="B52" s="129"/>
      <c r="C52" s="125"/>
      <c r="D52" s="1134" t="s">
        <v>757</v>
      </c>
      <c r="E52" s="130"/>
      <c r="F52" s="130"/>
      <c r="G52" s="131"/>
      <c r="H52" s="454"/>
      <c r="I52" s="1137">
        <f>SUM(J52:N52)</f>
        <v>0</v>
      </c>
      <c r="J52" s="1144"/>
      <c r="K52" s="1144"/>
      <c r="L52" s="1144">
        <v>0</v>
      </c>
      <c r="M52" s="1025"/>
      <c r="N52" s="1026"/>
      <c r="P52" s="8"/>
    </row>
    <row r="53" spans="1:16" s="9" customFormat="1" ht="18" customHeight="1">
      <c r="A53" s="451">
        <v>45</v>
      </c>
      <c r="B53" s="129"/>
      <c r="C53" s="125"/>
      <c r="D53" s="1134" t="s">
        <v>892</v>
      </c>
      <c r="E53" s="130"/>
      <c r="F53" s="130"/>
      <c r="G53" s="131"/>
      <c r="H53" s="454"/>
      <c r="I53" s="1138">
        <f>SUM(J53:N53)</f>
        <v>0</v>
      </c>
      <c r="J53" s="1025"/>
      <c r="K53" s="1025"/>
      <c r="L53" s="1144"/>
      <c r="M53" s="1025"/>
      <c r="N53" s="1026"/>
      <c r="P53" s="8"/>
    </row>
    <row r="54" spans="1:16" s="9" customFormat="1" ht="18" customHeight="1">
      <c r="A54" s="451">
        <v>46</v>
      </c>
      <c r="B54" s="129"/>
      <c r="C54" s="437"/>
      <c r="D54" s="344" t="s">
        <v>46</v>
      </c>
      <c r="E54" s="130">
        <v>2000</v>
      </c>
      <c r="F54" s="130">
        <v>0</v>
      </c>
      <c r="G54" s="131">
        <v>0</v>
      </c>
      <c r="H54" s="454"/>
      <c r="I54" s="1027"/>
      <c r="J54" s="1028"/>
      <c r="K54" s="1028"/>
      <c r="L54" s="1028"/>
      <c r="M54" s="1028"/>
      <c r="N54" s="1029"/>
      <c r="P54" s="8"/>
    </row>
    <row r="55" spans="1:16" s="9" customFormat="1" ht="18" customHeight="1">
      <c r="A55" s="451">
        <v>47</v>
      </c>
      <c r="B55" s="129"/>
      <c r="C55" s="125"/>
      <c r="D55" s="1051" t="s">
        <v>283</v>
      </c>
      <c r="E55" s="130"/>
      <c r="F55" s="130"/>
      <c r="G55" s="131"/>
      <c r="H55" s="454"/>
      <c r="I55" s="870">
        <f>SUM(J55:N55)</f>
        <v>1000</v>
      </c>
      <c r="J55" s="1025"/>
      <c r="K55" s="1025"/>
      <c r="L55" s="1025"/>
      <c r="M55" s="1025"/>
      <c r="N55" s="1026">
        <v>1000</v>
      </c>
      <c r="P55" s="8"/>
    </row>
    <row r="56" spans="1:16" s="9" customFormat="1" ht="18" customHeight="1">
      <c r="A56" s="451">
        <v>48</v>
      </c>
      <c r="B56" s="129"/>
      <c r="C56" s="125"/>
      <c r="D56" s="1134" t="s">
        <v>757</v>
      </c>
      <c r="E56" s="130"/>
      <c r="F56" s="130"/>
      <c r="G56" s="131"/>
      <c r="H56" s="454"/>
      <c r="I56" s="1137">
        <f>SUM(J56:N56)</f>
        <v>1000</v>
      </c>
      <c r="J56" s="1144"/>
      <c r="K56" s="1144"/>
      <c r="L56" s="1144"/>
      <c r="M56" s="1144"/>
      <c r="N56" s="1143">
        <v>1000</v>
      </c>
      <c r="P56" s="8"/>
    </row>
    <row r="57" spans="1:16" s="9" customFormat="1" ht="18" customHeight="1">
      <c r="A57" s="451">
        <v>49</v>
      </c>
      <c r="B57" s="129"/>
      <c r="C57" s="125"/>
      <c r="D57" s="1134" t="s">
        <v>893</v>
      </c>
      <c r="E57" s="130"/>
      <c r="F57" s="130"/>
      <c r="G57" s="131"/>
      <c r="H57" s="454"/>
      <c r="I57" s="1138">
        <f>SUM(J57:N57)</f>
        <v>1000</v>
      </c>
      <c r="J57" s="1144"/>
      <c r="K57" s="1144"/>
      <c r="L57" s="1144"/>
      <c r="M57" s="1144"/>
      <c r="N57" s="1143">
        <v>1000</v>
      </c>
      <c r="P57" s="8"/>
    </row>
    <row r="58" spans="1:16" s="9" customFormat="1" ht="18" customHeight="1">
      <c r="A58" s="451">
        <v>50</v>
      </c>
      <c r="B58" s="129"/>
      <c r="C58" s="437"/>
      <c r="D58" s="344" t="s">
        <v>47</v>
      </c>
      <c r="E58" s="130">
        <v>15000</v>
      </c>
      <c r="F58" s="130">
        <v>0</v>
      </c>
      <c r="G58" s="131">
        <v>0</v>
      </c>
      <c r="H58" s="454"/>
      <c r="I58" s="1027"/>
      <c r="J58" s="1028"/>
      <c r="K58" s="1028"/>
      <c r="L58" s="1028"/>
      <c r="M58" s="1028"/>
      <c r="N58" s="1029"/>
      <c r="P58" s="8"/>
    </row>
    <row r="59" spans="1:16" s="9" customFormat="1" ht="18" customHeight="1">
      <c r="A59" s="451">
        <v>51</v>
      </c>
      <c r="B59" s="129"/>
      <c r="C59" s="125"/>
      <c r="D59" s="1051" t="s">
        <v>283</v>
      </c>
      <c r="E59" s="130"/>
      <c r="F59" s="130"/>
      <c r="G59" s="131"/>
      <c r="H59" s="454"/>
      <c r="I59" s="870">
        <f>SUM(J59:N59)</f>
        <v>7500</v>
      </c>
      <c r="J59" s="1025"/>
      <c r="K59" s="1025"/>
      <c r="L59" s="1025"/>
      <c r="M59" s="1025"/>
      <c r="N59" s="1026">
        <v>7500</v>
      </c>
      <c r="P59" s="8"/>
    </row>
    <row r="60" spans="1:16" s="9" customFormat="1" ht="18" customHeight="1">
      <c r="A60" s="451">
        <v>52</v>
      </c>
      <c r="B60" s="129"/>
      <c r="C60" s="125"/>
      <c r="D60" s="1134" t="s">
        <v>757</v>
      </c>
      <c r="E60" s="130"/>
      <c r="F60" s="130"/>
      <c r="G60" s="131"/>
      <c r="H60" s="454"/>
      <c r="I60" s="1137">
        <f>SUM(J60:N60)</f>
        <v>7500</v>
      </c>
      <c r="J60" s="1144"/>
      <c r="K60" s="1144"/>
      <c r="L60" s="1144"/>
      <c r="M60" s="1144"/>
      <c r="N60" s="1143">
        <v>7500</v>
      </c>
      <c r="P60" s="8"/>
    </row>
    <row r="61" spans="1:16" s="9" customFormat="1" ht="18" customHeight="1">
      <c r="A61" s="451">
        <v>53</v>
      </c>
      <c r="B61" s="129"/>
      <c r="C61" s="125"/>
      <c r="D61" s="1134" t="s">
        <v>893</v>
      </c>
      <c r="E61" s="130"/>
      <c r="F61" s="130"/>
      <c r="G61" s="131"/>
      <c r="H61" s="454"/>
      <c r="I61" s="1138">
        <f>SUM(J61:N61)</f>
        <v>7500</v>
      </c>
      <c r="J61" s="1144"/>
      <c r="K61" s="1144"/>
      <c r="L61" s="1144"/>
      <c r="M61" s="1144"/>
      <c r="N61" s="1143">
        <v>7500</v>
      </c>
      <c r="P61" s="8"/>
    </row>
    <row r="62" spans="1:14" s="9" customFormat="1" ht="18" customHeight="1">
      <c r="A62" s="451">
        <v>54</v>
      </c>
      <c r="B62" s="129"/>
      <c r="C62" s="125"/>
      <c r="D62" s="344" t="s">
        <v>48</v>
      </c>
      <c r="E62" s="130">
        <v>10000</v>
      </c>
      <c r="F62" s="130">
        <v>0</v>
      </c>
      <c r="G62" s="131">
        <v>0</v>
      </c>
      <c r="H62" s="454"/>
      <c r="I62" s="1027"/>
      <c r="J62" s="1028"/>
      <c r="K62" s="1028"/>
      <c r="L62" s="1028"/>
      <c r="M62" s="1028"/>
      <c r="N62" s="1029"/>
    </row>
    <row r="63" spans="1:14" s="9" customFormat="1" ht="18" customHeight="1">
      <c r="A63" s="451">
        <v>55</v>
      </c>
      <c r="B63" s="129"/>
      <c r="C63" s="125"/>
      <c r="D63" s="1051" t="s">
        <v>283</v>
      </c>
      <c r="E63" s="130"/>
      <c r="F63" s="130"/>
      <c r="G63" s="131"/>
      <c r="H63" s="454"/>
      <c r="I63" s="870">
        <f>SUM(J63:N63)</f>
        <v>5000</v>
      </c>
      <c r="J63" s="1025"/>
      <c r="K63" s="1025"/>
      <c r="L63" s="1025"/>
      <c r="M63" s="1025"/>
      <c r="N63" s="1026">
        <v>5000</v>
      </c>
    </row>
    <row r="64" spans="1:14" s="9" customFormat="1" ht="18" customHeight="1">
      <c r="A64" s="451">
        <v>56</v>
      </c>
      <c r="B64" s="129"/>
      <c r="C64" s="125"/>
      <c r="D64" s="1134" t="s">
        <v>757</v>
      </c>
      <c r="E64" s="130"/>
      <c r="F64" s="130"/>
      <c r="G64" s="131"/>
      <c r="H64" s="454"/>
      <c r="I64" s="1137">
        <f>SUM(J64:N64)</f>
        <v>5000</v>
      </c>
      <c r="J64" s="1144"/>
      <c r="K64" s="1144"/>
      <c r="L64" s="1144"/>
      <c r="M64" s="1144"/>
      <c r="N64" s="1143">
        <v>5000</v>
      </c>
    </row>
    <row r="65" spans="1:14" s="9" customFormat="1" ht="18" customHeight="1">
      <c r="A65" s="451">
        <v>57</v>
      </c>
      <c r="B65" s="129"/>
      <c r="C65" s="125"/>
      <c r="D65" s="1134" t="s">
        <v>893</v>
      </c>
      <c r="E65" s="130"/>
      <c r="F65" s="130"/>
      <c r="G65" s="131"/>
      <c r="H65" s="454"/>
      <c r="I65" s="1138">
        <f>SUM(J65:N65)</f>
        <v>5000</v>
      </c>
      <c r="J65" s="1144"/>
      <c r="K65" s="1144"/>
      <c r="L65" s="1144"/>
      <c r="M65" s="1144"/>
      <c r="N65" s="1143">
        <v>5000</v>
      </c>
    </row>
    <row r="66" spans="1:16" s="9" customFormat="1" ht="23.25" customHeight="1">
      <c r="A66" s="451">
        <v>58</v>
      </c>
      <c r="B66" s="129"/>
      <c r="C66" s="120">
        <v>8</v>
      </c>
      <c r="D66" s="446" t="s">
        <v>476</v>
      </c>
      <c r="E66" s="122">
        <v>2000</v>
      </c>
      <c r="F66" s="130">
        <v>0</v>
      </c>
      <c r="G66" s="131">
        <v>0</v>
      </c>
      <c r="H66" s="453" t="s">
        <v>23</v>
      </c>
      <c r="I66" s="870"/>
      <c r="J66" s="1025"/>
      <c r="K66" s="1025"/>
      <c r="L66" s="1025"/>
      <c r="M66" s="1025"/>
      <c r="N66" s="1026"/>
      <c r="P66" s="8"/>
    </row>
    <row r="67" spans="1:16" s="3" customFormat="1" ht="23.25" customHeight="1">
      <c r="A67" s="451">
        <v>59</v>
      </c>
      <c r="B67" s="119"/>
      <c r="C67" s="120">
        <v>9</v>
      </c>
      <c r="D67" s="446" t="s">
        <v>256</v>
      </c>
      <c r="E67" s="122">
        <v>16207</v>
      </c>
      <c r="F67" s="122">
        <v>0</v>
      </c>
      <c r="G67" s="123">
        <v>5175</v>
      </c>
      <c r="H67" s="453" t="s">
        <v>23</v>
      </c>
      <c r="I67" s="867"/>
      <c r="J67" s="1017"/>
      <c r="K67" s="1017"/>
      <c r="L67" s="1017"/>
      <c r="M67" s="1017"/>
      <c r="N67" s="1018"/>
      <c r="P67" s="8"/>
    </row>
    <row r="68" spans="1:14" s="8" customFormat="1" ht="18" customHeight="1">
      <c r="A68" s="451">
        <v>60</v>
      </c>
      <c r="B68" s="124"/>
      <c r="C68" s="125"/>
      <c r="D68" s="874" t="s">
        <v>283</v>
      </c>
      <c r="E68" s="828"/>
      <c r="F68" s="1354"/>
      <c r="G68" s="828"/>
      <c r="H68" s="453"/>
      <c r="I68" s="867">
        <f>SUM(J68:N68)</f>
        <v>1000</v>
      </c>
      <c r="J68" s="1017"/>
      <c r="K68" s="1017"/>
      <c r="L68" s="1017">
        <v>1000</v>
      </c>
      <c r="M68" s="1017"/>
      <c r="N68" s="1018"/>
    </row>
    <row r="69" spans="1:14" s="8" customFormat="1" ht="18" customHeight="1">
      <c r="A69" s="451">
        <v>61</v>
      </c>
      <c r="B69" s="124"/>
      <c r="C69" s="125"/>
      <c r="D69" s="478" t="s">
        <v>757</v>
      </c>
      <c r="E69" s="827"/>
      <c r="F69" s="1354"/>
      <c r="G69" s="1309"/>
      <c r="H69" s="453"/>
      <c r="I69" s="1135">
        <f>SUM(J69:N69)</f>
        <v>2482</v>
      </c>
      <c r="J69" s="1453"/>
      <c r="K69" s="1453"/>
      <c r="L69" s="1142">
        <v>2482</v>
      </c>
      <c r="M69" s="1017"/>
      <c r="N69" s="1018"/>
    </row>
    <row r="70" spans="1:14" s="8" customFormat="1" ht="18" customHeight="1">
      <c r="A70" s="451">
        <v>62</v>
      </c>
      <c r="B70" s="124"/>
      <c r="C70" s="125"/>
      <c r="D70" s="1090" t="s">
        <v>892</v>
      </c>
      <c r="E70" s="1355"/>
      <c r="F70" s="827"/>
      <c r="G70" s="1356"/>
      <c r="H70" s="453"/>
      <c r="I70" s="1138">
        <f>SUM(J70:N70)</f>
        <v>0</v>
      </c>
      <c r="J70" s="1453"/>
      <c r="K70" s="1453"/>
      <c r="L70" s="1144">
        <v>0</v>
      </c>
      <c r="M70" s="1017"/>
      <c r="N70" s="1018"/>
    </row>
    <row r="71" spans="1:16" s="3" customFormat="1" ht="22.5" customHeight="1">
      <c r="A71" s="451">
        <v>63</v>
      </c>
      <c r="B71" s="119"/>
      <c r="C71" s="120">
        <v>10</v>
      </c>
      <c r="D71" s="446" t="s">
        <v>49</v>
      </c>
      <c r="E71" s="122">
        <v>22414</v>
      </c>
      <c r="F71" s="122">
        <v>0</v>
      </c>
      <c r="G71" s="123">
        <v>1313</v>
      </c>
      <c r="H71" s="453" t="s">
        <v>23</v>
      </c>
      <c r="I71" s="867"/>
      <c r="J71" s="1017"/>
      <c r="K71" s="1017"/>
      <c r="L71" s="1017"/>
      <c r="M71" s="1017"/>
      <c r="N71" s="1018"/>
      <c r="P71" s="8"/>
    </row>
    <row r="72" spans="1:14" s="8" customFormat="1" ht="18" customHeight="1">
      <c r="A72" s="451">
        <v>64</v>
      </c>
      <c r="B72" s="124"/>
      <c r="C72" s="125"/>
      <c r="D72" s="874" t="s">
        <v>283</v>
      </c>
      <c r="E72" s="122"/>
      <c r="F72" s="122"/>
      <c r="G72" s="123"/>
      <c r="H72" s="453"/>
      <c r="I72" s="867">
        <f>SUM(J72:N72)</f>
        <v>2000</v>
      </c>
      <c r="J72" s="1017"/>
      <c r="K72" s="1017"/>
      <c r="L72" s="1017">
        <v>2000</v>
      </c>
      <c r="M72" s="1017"/>
      <c r="N72" s="1018"/>
    </row>
    <row r="73" spans="1:14" s="8" customFormat="1" ht="18" customHeight="1">
      <c r="A73" s="451">
        <v>65</v>
      </c>
      <c r="B73" s="124"/>
      <c r="C73" s="125"/>
      <c r="D73" s="478" t="s">
        <v>757</v>
      </c>
      <c r="E73" s="122"/>
      <c r="F73" s="122"/>
      <c r="G73" s="123"/>
      <c r="H73" s="455"/>
      <c r="I73" s="1135">
        <f>SUM(J73:N73)</f>
        <v>9579</v>
      </c>
      <c r="J73" s="1453"/>
      <c r="K73" s="1453"/>
      <c r="L73" s="1142">
        <v>9579</v>
      </c>
      <c r="M73" s="1017"/>
      <c r="N73" s="1018"/>
    </row>
    <row r="74" spans="1:14" s="8" customFormat="1" ht="18" customHeight="1">
      <c r="A74" s="451">
        <v>66</v>
      </c>
      <c r="B74" s="124"/>
      <c r="C74" s="125"/>
      <c r="D74" s="1090" t="s">
        <v>892</v>
      </c>
      <c r="E74" s="122"/>
      <c r="F74" s="122"/>
      <c r="G74" s="123"/>
      <c r="H74" s="455"/>
      <c r="I74" s="1138">
        <f>SUM(J74:N74)</f>
        <v>954</v>
      </c>
      <c r="J74" s="1144"/>
      <c r="K74" s="1144"/>
      <c r="L74" s="1144">
        <v>954</v>
      </c>
      <c r="M74" s="1017"/>
      <c r="N74" s="1018"/>
    </row>
    <row r="75" spans="1:16" s="3" customFormat="1" ht="22.5" customHeight="1">
      <c r="A75" s="451">
        <v>67</v>
      </c>
      <c r="B75" s="119"/>
      <c r="C75" s="120">
        <v>11</v>
      </c>
      <c r="D75" s="446" t="s">
        <v>50</v>
      </c>
      <c r="E75" s="122">
        <v>450</v>
      </c>
      <c r="F75" s="122">
        <v>1000</v>
      </c>
      <c r="G75" s="123">
        <v>186</v>
      </c>
      <c r="H75" s="455" t="s">
        <v>23</v>
      </c>
      <c r="I75" s="867"/>
      <c r="J75" s="1017"/>
      <c r="K75" s="1017"/>
      <c r="L75" s="1017"/>
      <c r="M75" s="1017"/>
      <c r="N75" s="1018"/>
      <c r="P75" s="8"/>
    </row>
    <row r="76" spans="1:16" s="3" customFormat="1" ht="22.5" customHeight="1">
      <c r="A76" s="451">
        <v>68</v>
      </c>
      <c r="B76" s="119"/>
      <c r="C76" s="120"/>
      <c r="D76" s="478" t="s">
        <v>757</v>
      </c>
      <c r="E76" s="122"/>
      <c r="F76" s="122"/>
      <c r="G76" s="123"/>
      <c r="H76" s="455"/>
      <c r="I76" s="1135">
        <f>SUM(J76:N76)</f>
        <v>508</v>
      </c>
      <c r="J76" s="1017"/>
      <c r="K76" s="1017"/>
      <c r="L76" s="1142">
        <v>508</v>
      </c>
      <c r="M76" s="1017"/>
      <c r="N76" s="1018"/>
      <c r="P76" s="8"/>
    </row>
    <row r="77" spans="1:16" s="3" customFormat="1" ht="18" customHeight="1">
      <c r="A77" s="451">
        <v>69</v>
      </c>
      <c r="B77" s="119"/>
      <c r="C77" s="120"/>
      <c r="D77" s="1090" t="s">
        <v>892</v>
      </c>
      <c r="E77" s="122"/>
      <c r="F77" s="122"/>
      <c r="G77" s="123"/>
      <c r="H77" s="455"/>
      <c r="I77" s="1138">
        <f>SUM(J77:N77)</f>
        <v>0</v>
      </c>
      <c r="J77" s="1453"/>
      <c r="K77" s="1453"/>
      <c r="L77" s="1144">
        <v>0</v>
      </c>
      <c r="M77" s="1017"/>
      <c r="N77" s="1018"/>
      <c r="P77" s="8"/>
    </row>
    <row r="78" spans="1:16" s="3" customFormat="1" ht="22.5" customHeight="1">
      <c r="A78" s="451">
        <v>70</v>
      </c>
      <c r="B78" s="119"/>
      <c r="C78" s="120">
        <v>12</v>
      </c>
      <c r="D78" s="446" t="s">
        <v>51</v>
      </c>
      <c r="E78" s="122">
        <v>1887</v>
      </c>
      <c r="F78" s="122">
        <v>2000</v>
      </c>
      <c r="G78" s="123">
        <v>0</v>
      </c>
      <c r="H78" s="453" t="s">
        <v>23</v>
      </c>
      <c r="I78" s="867"/>
      <c r="J78" s="1017"/>
      <c r="K78" s="1017"/>
      <c r="L78" s="1017"/>
      <c r="M78" s="1017"/>
      <c r="N78" s="1018"/>
      <c r="P78" s="8"/>
    </row>
    <row r="79" spans="1:16" s="3" customFormat="1" ht="22.5" customHeight="1">
      <c r="A79" s="451">
        <v>71</v>
      </c>
      <c r="B79" s="119"/>
      <c r="C79" s="120">
        <v>13</v>
      </c>
      <c r="D79" s="446" t="s">
        <v>52</v>
      </c>
      <c r="E79" s="122">
        <f>SUM(E80,E81,E82,E83)+E84</f>
        <v>7346</v>
      </c>
      <c r="F79" s="122">
        <f>SUM(F80,F81,F82,F83)</f>
        <v>2925</v>
      </c>
      <c r="G79" s="123">
        <f>SUM(G80,G81,G82,G83)</f>
        <v>6475</v>
      </c>
      <c r="H79" s="453" t="s">
        <v>23</v>
      </c>
      <c r="I79" s="867"/>
      <c r="J79" s="1017"/>
      <c r="K79" s="1017"/>
      <c r="L79" s="1017"/>
      <c r="M79" s="1017"/>
      <c r="N79" s="1018"/>
      <c r="P79" s="8"/>
    </row>
    <row r="80" spans="1:14" s="9" customFormat="1" ht="18" customHeight="1">
      <c r="A80" s="451">
        <v>72</v>
      </c>
      <c r="B80" s="129"/>
      <c r="C80" s="125"/>
      <c r="D80" s="132" t="s">
        <v>265</v>
      </c>
      <c r="E80" s="130"/>
      <c r="F80" s="130">
        <v>1000</v>
      </c>
      <c r="G80" s="131"/>
      <c r="H80" s="454"/>
      <c r="I80" s="870"/>
      <c r="J80" s="1025"/>
      <c r="K80" s="1025"/>
      <c r="L80" s="1025"/>
      <c r="M80" s="1025"/>
      <c r="N80" s="1026"/>
    </row>
    <row r="81" spans="1:14" s="9" customFormat="1" ht="18" customHeight="1">
      <c r="A81" s="451">
        <v>73</v>
      </c>
      <c r="B81" s="129"/>
      <c r="C81" s="125"/>
      <c r="D81" s="132" t="s">
        <v>266</v>
      </c>
      <c r="E81" s="130">
        <v>2846</v>
      </c>
      <c r="F81" s="130">
        <v>1500</v>
      </c>
      <c r="G81" s="131">
        <v>1500</v>
      </c>
      <c r="H81" s="454"/>
      <c r="I81" s="1027"/>
      <c r="J81" s="1028"/>
      <c r="K81" s="1028"/>
      <c r="L81" s="1028"/>
      <c r="M81" s="1028"/>
      <c r="N81" s="1029"/>
    </row>
    <row r="82" spans="1:14" s="9" customFormat="1" ht="18" customHeight="1">
      <c r="A82" s="451">
        <v>74</v>
      </c>
      <c r="B82" s="129"/>
      <c r="C82" s="125"/>
      <c r="D82" s="132" t="s">
        <v>530</v>
      </c>
      <c r="E82" s="130">
        <v>500</v>
      </c>
      <c r="F82" s="130">
        <v>425</v>
      </c>
      <c r="G82" s="131">
        <v>600</v>
      </c>
      <c r="H82" s="454"/>
      <c r="I82" s="870"/>
      <c r="J82" s="1025"/>
      <c r="K82" s="1025"/>
      <c r="L82" s="1025"/>
      <c r="M82" s="1025"/>
      <c r="N82" s="1026"/>
    </row>
    <row r="83" spans="1:14" s="9" customFormat="1" ht="18" customHeight="1">
      <c r="A83" s="451">
        <v>75</v>
      </c>
      <c r="B83" s="129"/>
      <c r="C83" s="125"/>
      <c r="D83" s="132" t="s">
        <v>667</v>
      </c>
      <c r="E83" s="130">
        <v>2000</v>
      </c>
      <c r="F83" s="130"/>
      <c r="G83" s="131">
        <v>4375</v>
      </c>
      <c r="H83" s="454"/>
      <c r="I83" s="870"/>
      <c r="J83" s="1025"/>
      <c r="K83" s="1025"/>
      <c r="L83" s="1025"/>
      <c r="M83" s="1025"/>
      <c r="N83" s="1026"/>
    </row>
    <row r="84" spans="1:14" s="9" customFormat="1" ht="18" customHeight="1">
      <c r="A84" s="451">
        <v>76</v>
      </c>
      <c r="B84" s="129"/>
      <c r="C84" s="125"/>
      <c r="D84" s="132" t="s">
        <v>666</v>
      </c>
      <c r="E84" s="130">
        <v>2000</v>
      </c>
      <c r="F84" s="130"/>
      <c r="G84" s="131">
        <v>0</v>
      </c>
      <c r="H84" s="454"/>
      <c r="I84" s="870"/>
      <c r="J84" s="1025"/>
      <c r="K84" s="1025"/>
      <c r="L84" s="1025"/>
      <c r="M84" s="1025"/>
      <c r="N84" s="1026"/>
    </row>
    <row r="85" spans="1:14" s="9" customFormat="1" ht="23.25" customHeight="1">
      <c r="A85" s="451">
        <v>77</v>
      </c>
      <c r="B85" s="129"/>
      <c r="C85" s="120">
        <v>14</v>
      </c>
      <c r="D85" s="446" t="s">
        <v>492</v>
      </c>
      <c r="E85" s="130"/>
      <c r="F85" s="130">
        <v>2550</v>
      </c>
      <c r="G85" s="131">
        <v>1000</v>
      </c>
      <c r="H85" s="453" t="s">
        <v>23</v>
      </c>
      <c r="I85" s="870"/>
      <c r="J85" s="1025"/>
      <c r="K85" s="1025"/>
      <c r="L85" s="1025"/>
      <c r="M85" s="1025"/>
      <c r="N85" s="1026"/>
    </row>
    <row r="86" spans="1:14" s="892" customFormat="1" ht="18" customHeight="1">
      <c r="A86" s="451">
        <v>78</v>
      </c>
      <c r="B86" s="885"/>
      <c r="C86" s="873"/>
      <c r="D86" s="874" t="s">
        <v>283</v>
      </c>
      <c r="E86" s="887"/>
      <c r="F86" s="887"/>
      <c r="G86" s="888"/>
      <c r="H86" s="877"/>
      <c r="I86" s="867">
        <f>SUM(J86:N86)</f>
        <v>1250</v>
      </c>
      <c r="J86" s="890"/>
      <c r="K86" s="890"/>
      <c r="L86" s="890"/>
      <c r="M86" s="890"/>
      <c r="N86" s="869">
        <v>1250</v>
      </c>
    </row>
    <row r="87" spans="1:14" s="892" customFormat="1" ht="18" customHeight="1">
      <c r="A87" s="451">
        <v>79</v>
      </c>
      <c r="B87" s="885"/>
      <c r="C87" s="873"/>
      <c r="D87" s="478" t="s">
        <v>757</v>
      </c>
      <c r="E87" s="887"/>
      <c r="F87" s="887"/>
      <c r="G87" s="888"/>
      <c r="H87" s="877"/>
      <c r="I87" s="1135">
        <f>SUM(J87:N87)</f>
        <v>1250</v>
      </c>
      <c r="J87" s="1145"/>
      <c r="K87" s="1145"/>
      <c r="L87" s="1145"/>
      <c r="M87" s="1145"/>
      <c r="N87" s="1148">
        <v>1250</v>
      </c>
    </row>
    <row r="88" spans="1:14" s="892" customFormat="1" ht="18" customHeight="1">
      <c r="A88" s="451">
        <v>80</v>
      </c>
      <c r="B88" s="885"/>
      <c r="C88" s="873"/>
      <c r="D88" s="1090" t="s">
        <v>893</v>
      </c>
      <c r="E88" s="887"/>
      <c r="F88" s="887"/>
      <c r="G88" s="888"/>
      <c r="H88" s="877"/>
      <c r="I88" s="1138">
        <f>SUM(J88:N88)</f>
        <v>1250</v>
      </c>
      <c r="J88" s="1145"/>
      <c r="K88" s="1145"/>
      <c r="L88" s="1145"/>
      <c r="M88" s="1145"/>
      <c r="N88" s="1148">
        <v>1250</v>
      </c>
    </row>
    <row r="89" spans="1:14" s="9" customFormat="1" ht="23.25" customHeight="1">
      <c r="A89" s="451">
        <v>81</v>
      </c>
      <c r="B89" s="129"/>
      <c r="C89" s="120">
        <v>15</v>
      </c>
      <c r="D89" s="446" t="s">
        <v>493</v>
      </c>
      <c r="E89" s="130"/>
      <c r="F89" s="130">
        <v>2550</v>
      </c>
      <c r="G89" s="131">
        <v>1000</v>
      </c>
      <c r="H89" s="453" t="s">
        <v>23</v>
      </c>
      <c r="I89" s="870"/>
      <c r="J89" s="1025"/>
      <c r="K89" s="1025"/>
      <c r="L89" s="1025"/>
      <c r="M89" s="1025"/>
      <c r="N89" s="1026"/>
    </row>
    <row r="90" spans="1:14" s="892" customFormat="1" ht="18" customHeight="1">
      <c r="A90" s="451">
        <v>82</v>
      </c>
      <c r="B90" s="885"/>
      <c r="C90" s="873"/>
      <c r="D90" s="874" t="s">
        <v>283</v>
      </c>
      <c r="E90" s="887"/>
      <c r="F90" s="887"/>
      <c r="G90" s="888"/>
      <c r="H90" s="877"/>
      <c r="I90" s="867">
        <f>SUM(J90:N90)</f>
        <v>1250</v>
      </c>
      <c r="J90" s="890"/>
      <c r="K90" s="890"/>
      <c r="L90" s="890"/>
      <c r="M90" s="890"/>
      <c r="N90" s="869">
        <v>1250</v>
      </c>
    </row>
    <row r="91" spans="1:14" s="892" customFormat="1" ht="18" customHeight="1">
      <c r="A91" s="451">
        <v>83</v>
      </c>
      <c r="B91" s="885"/>
      <c r="C91" s="873"/>
      <c r="D91" s="478" t="s">
        <v>757</v>
      </c>
      <c r="E91" s="887"/>
      <c r="F91" s="887"/>
      <c r="G91" s="888"/>
      <c r="H91" s="877"/>
      <c r="I91" s="1135">
        <f>SUM(J91:N91)</f>
        <v>1250</v>
      </c>
      <c r="J91" s="1145"/>
      <c r="K91" s="1145"/>
      <c r="L91" s="1145"/>
      <c r="M91" s="1145"/>
      <c r="N91" s="1148">
        <v>1250</v>
      </c>
    </row>
    <row r="92" spans="1:14" s="892" customFormat="1" ht="18" customHeight="1">
      <c r="A92" s="451">
        <v>84</v>
      </c>
      <c r="B92" s="885"/>
      <c r="C92" s="873"/>
      <c r="D92" s="1090" t="s">
        <v>893</v>
      </c>
      <c r="E92" s="887"/>
      <c r="F92" s="887"/>
      <c r="G92" s="888"/>
      <c r="H92" s="877"/>
      <c r="I92" s="1138">
        <f>SUM(J92:N92)</f>
        <v>1250</v>
      </c>
      <c r="J92" s="1145"/>
      <c r="K92" s="1145"/>
      <c r="L92" s="1145"/>
      <c r="M92" s="1145"/>
      <c r="N92" s="1148">
        <v>1250</v>
      </c>
    </row>
    <row r="93" spans="1:14" s="9" customFormat="1" ht="23.25" customHeight="1">
      <c r="A93" s="451">
        <v>85</v>
      </c>
      <c r="B93" s="129"/>
      <c r="C93" s="120">
        <v>16</v>
      </c>
      <c r="D93" s="446" t="s">
        <v>494</v>
      </c>
      <c r="E93" s="130"/>
      <c r="F93" s="130">
        <v>850</v>
      </c>
      <c r="G93" s="131">
        <v>450</v>
      </c>
      <c r="H93" s="453" t="s">
        <v>23</v>
      </c>
      <c r="I93" s="870"/>
      <c r="J93" s="1025"/>
      <c r="K93" s="1025"/>
      <c r="L93" s="1025"/>
      <c r="M93" s="1025"/>
      <c r="N93" s="1026"/>
    </row>
    <row r="94" spans="1:14" s="892" customFormat="1" ht="18" customHeight="1">
      <c r="A94" s="451">
        <v>86</v>
      </c>
      <c r="B94" s="885"/>
      <c r="C94" s="873"/>
      <c r="D94" s="874" t="s">
        <v>283</v>
      </c>
      <c r="E94" s="887"/>
      <c r="F94" s="887"/>
      <c r="G94" s="888"/>
      <c r="H94" s="889"/>
      <c r="I94" s="867">
        <f>SUM(J94:N94)</f>
        <v>800</v>
      </c>
      <c r="J94" s="890"/>
      <c r="K94" s="890"/>
      <c r="L94" s="890"/>
      <c r="M94" s="890"/>
      <c r="N94" s="869">
        <v>800</v>
      </c>
    </row>
    <row r="95" spans="1:14" s="892" customFormat="1" ht="18" customHeight="1">
      <c r="A95" s="451">
        <v>87</v>
      </c>
      <c r="B95" s="885"/>
      <c r="C95" s="873"/>
      <c r="D95" s="478" t="s">
        <v>757</v>
      </c>
      <c r="E95" s="887"/>
      <c r="F95" s="887"/>
      <c r="G95" s="888"/>
      <c r="H95" s="889"/>
      <c r="I95" s="1135">
        <f>SUM(J95:N95)</f>
        <v>800</v>
      </c>
      <c r="J95" s="1145"/>
      <c r="K95" s="1145"/>
      <c r="L95" s="1145"/>
      <c r="M95" s="1145"/>
      <c r="N95" s="1148">
        <v>800</v>
      </c>
    </row>
    <row r="96" spans="1:14" s="892" customFormat="1" ht="18" customHeight="1">
      <c r="A96" s="451">
        <v>88</v>
      </c>
      <c r="B96" s="885"/>
      <c r="C96" s="873"/>
      <c r="D96" s="1090" t="s">
        <v>893</v>
      </c>
      <c r="E96" s="887"/>
      <c r="F96" s="887"/>
      <c r="G96" s="888"/>
      <c r="H96" s="889"/>
      <c r="I96" s="1138">
        <f>SUM(J96:N96)</f>
        <v>800</v>
      </c>
      <c r="J96" s="1145"/>
      <c r="K96" s="1145"/>
      <c r="L96" s="1145"/>
      <c r="M96" s="1145"/>
      <c r="N96" s="1146">
        <v>800</v>
      </c>
    </row>
    <row r="97" spans="1:14" s="9" customFormat="1" ht="23.25" customHeight="1">
      <c r="A97" s="451">
        <v>89</v>
      </c>
      <c r="B97" s="129"/>
      <c r="C97" s="120">
        <v>17</v>
      </c>
      <c r="D97" s="446" t="s">
        <v>393</v>
      </c>
      <c r="E97" s="130">
        <v>650</v>
      </c>
      <c r="F97" s="130">
        <v>553</v>
      </c>
      <c r="G97" s="131">
        <v>500</v>
      </c>
      <c r="H97" s="453" t="s">
        <v>23</v>
      </c>
      <c r="I97" s="870"/>
      <c r="J97" s="1025"/>
      <c r="K97" s="1025"/>
      <c r="L97" s="1025"/>
      <c r="M97" s="1025"/>
      <c r="N97" s="1026"/>
    </row>
    <row r="98" spans="1:14" s="892" customFormat="1" ht="18" customHeight="1">
      <c r="A98" s="451">
        <v>90</v>
      </c>
      <c r="B98" s="885"/>
      <c r="C98" s="873"/>
      <c r="D98" s="874" t="s">
        <v>283</v>
      </c>
      <c r="E98" s="1310"/>
      <c r="F98" s="893"/>
      <c r="G98" s="1311"/>
      <c r="H98" s="889"/>
      <c r="I98" s="867">
        <f>SUM(J98:N98)</f>
        <v>500</v>
      </c>
      <c r="J98" s="890"/>
      <c r="K98" s="890"/>
      <c r="L98" s="890"/>
      <c r="M98" s="890"/>
      <c r="N98" s="891">
        <v>500</v>
      </c>
    </row>
    <row r="99" spans="1:14" s="892" customFormat="1" ht="18" customHeight="1">
      <c r="A99" s="451">
        <v>91</v>
      </c>
      <c r="B99" s="885"/>
      <c r="C99" s="873"/>
      <c r="D99" s="478" t="s">
        <v>757</v>
      </c>
      <c r="E99" s="1310"/>
      <c r="F99" s="893"/>
      <c r="G99" s="1311"/>
      <c r="H99" s="889"/>
      <c r="I99" s="1135">
        <f>SUM(J99:N99)</f>
        <v>500</v>
      </c>
      <c r="J99" s="1145"/>
      <c r="K99" s="1145"/>
      <c r="L99" s="1145"/>
      <c r="M99" s="1145"/>
      <c r="N99" s="1146">
        <v>500</v>
      </c>
    </row>
    <row r="100" spans="1:14" s="892" customFormat="1" ht="18" customHeight="1">
      <c r="A100" s="451">
        <v>92</v>
      </c>
      <c r="B100" s="885"/>
      <c r="C100" s="873"/>
      <c r="D100" s="1090" t="s">
        <v>893</v>
      </c>
      <c r="E100" s="1310"/>
      <c r="F100" s="893"/>
      <c r="G100" s="1311"/>
      <c r="H100" s="889"/>
      <c r="I100" s="1138">
        <f>SUM(J100:N100)</f>
        <v>500</v>
      </c>
      <c r="J100" s="1145"/>
      <c r="K100" s="1145"/>
      <c r="L100" s="1145"/>
      <c r="M100" s="1145"/>
      <c r="N100" s="1146">
        <v>500</v>
      </c>
    </row>
    <row r="101" spans="1:16" s="3" customFormat="1" ht="22.5" customHeight="1">
      <c r="A101" s="451">
        <v>93</v>
      </c>
      <c r="B101" s="119"/>
      <c r="C101" s="120">
        <v>18</v>
      </c>
      <c r="D101" s="446" t="s">
        <v>53</v>
      </c>
      <c r="E101" s="122">
        <v>5000</v>
      </c>
      <c r="F101" s="122">
        <v>840</v>
      </c>
      <c r="G101" s="123">
        <v>1250</v>
      </c>
      <c r="H101" s="453" t="s">
        <v>23</v>
      </c>
      <c r="I101" s="1022"/>
      <c r="J101" s="1023"/>
      <c r="K101" s="1023"/>
      <c r="L101" s="1023"/>
      <c r="M101" s="1023"/>
      <c r="N101" s="1024"/>
      <c r="O101" s="8"/>
      <c r="P101" s="8"/>
    </row>
    <row r="102" spans="1:16" s="3" customFormat="1" ht="22.5" customHeight="1">
      <c r="A102" s="451">
        <v>94</v>
      </c>
      <c r="B102" s="119"/>
      <c r="C102" s="120">
        <v>19</v>
      </c>
      <c r="D102" s="446" t="s">
        <v>237</v>
      </c>
      <c r="E102" s="122">
        <f>SUM(E106,E110,E111,E112,E113)</f>
        <v>97600</v>
      </c>
      <c r="F102" s="122">
        <f>SUM(F106,F110,F111,F112,F113)</f>
        <v>40935</v>
      </c>
      <c r="G102" s="123">
        <f>SUM(G106,G110,G111,G112,G113)</f>
        <v>75274</v>
      </c>
      <c r="H102" s="453" t="s">
        <v>23</v>
      </c>
      <c r="I102" s="1022"/>
      <c r="J102" s="1023"/>
      <c r="K102" s="1023"/>
      <c r="L102" s="1023"/>
      <c r="M102" s="1023"/>
      <c r="N102" s="1024"/>
      <c r="O102" s="8"/>
      <c r="P102" s="8"/>
    </row>
    <row r="103" spans="1:14" s="878" customFormat="1" ht="18" customHeight="1">
      <c r="A103" s="451">
        <v>95</v>
      </c>
      <c r="B103" s="872"/>
      <c r="C103" s="873"/>
      <c r="D103" s="874" t="s">
        <v>283</v>
      </c>
      <c r="E103" s="875"/>
      <c r="F103" s="875"/>
      <c r="G103" s="876"/>
      <c r="H103" s="877"/>
      <c r="I103" s="867">
        <f>SUM(J103:N103)</f>
        <v>25000</v>
      </c>
      <c r="J103" s="871">
        <f>SUM(J107,)</f>
        <v>0</v>
      </c>
      <c r="K103" s="871">
        <f aca="true" t="shared" si="1" ref="K103:N104">SUM(K107,)</f>
        <v>0</v>
      </c>
      <c r="L103" s="871">
        <f t="shared" si="1"/>
        <v>0</v>
      </c>
      <c r="M103" s="871">
        <f t="shared" si="1"/>
        <v>0</v>
      </c>
      <c r="N103" s="1054">
        <f t="shared" si="1"/>
        <v>25000</v>
      </c>
    </row>
    <row r="104" spans="1:14" s="878" customFormat="1" ht="18" customHeight="1">
      <c r="A104" s="451">
        <v>96</v>
      </c>
      <c r="B104" s="872"/>
      <c r="C104" s="873"/>
      <c r="D104" s="478" t="s">
        <v>757</v>
      </c>
      <c r="E104" s="875"/>
      <c r="F104" s="875"/>
      <c r="G104" s="876"/>
      <c r="H104" s="877"/>
      <c r="I104" s="1135">
        <f>SUM(J104:N104)</f>
        <v>25000</v>
      </c>
      <c r="J104" s="1147">
        <f>SUM(J108,)</f>
        <v>0</v>
      </c>
      <c r="K104" s="1147">
        <f t="shared" si="1"/>
        <v>0</v>
      </c>
      <c r="L104" s="1147">
        <f t="shared" si="1"/>
        <v>0</v>
      </c>
      <c r="M104" s="1147">
        <f t="shared" si="1"/>
        <v>0</v>
      </c>
      <c r="N104" s="1160">
        <f t="shared" si="1"/>
        <v>25000</v>
      </c>
    </row>
    <row r="105" spans="1:14" s="878" customFormat="1" ht="18" customHeight="1">
      <c r="A105" s="451">
        <v>97</v>
      </c>
      <c r="B105" s="872"/>
      <c r="C105" s="873"/>
      <c r="D105" s="1090" t="s">
        <v>893</v>
      </c>
      <c r="E105" s="875"/>
      <c r="F105" s="875"/>
      <c r="G105" s="876"/>
      <c r="H105" s="877"/>
      <c r="I105" s="1138">
        <f>SUM(J105:N105)</f>
        <v>11000</v>
      </c>
      <c r="J105" s="1028">
        <f>J109</f>
        <v>0</v>
      </c>
      <c r="K105" s="1028">
        <f>K109</f>
        <v>0</v>
      </c>
      <c r="L105" s="1028">
        <f>L109</f>
        <v>0</v>
      </c>
      <c r="M105" s="1028">
        <f>M109</f>
        <v>0</v>
      </c>
      <c r="N105" s="1029">
        <f>N109</f>
        <v>11000</v>
      </c>
    </row>
    <row r="106" spans="1:16" s="9" customFormat="1" ht="18" customHeight="1">
      <c r="A106" s="451">
        <v>98</v>
      </c>
      <c r="B106" s="129"/>
      <c r="C106" s="437"/>
      <c r="D106" s="345" t="s">
        <v>54</v>
      </c>
      <c r="E106" s="130">
        <v>83500</v>
      </c>
      <c r="F106" s="130">
        <v>25975</v>
      </c>
      <c r="G106" s="131">
        <v>74100</v>
      </c>
      <c r="H106" s="454"/>
      <c r="I106" s="870"/>
      <c r="J106" s="1025"/>
      <c r="K106" s="1025"/>
      <c r="L106" s="1025"/>
      <c r="M106" s="1025"/>
      <c r="N106" s="1026"/>
      <c r="P106" s="8"/>
    </row>
    <row r="107" spans="1:16" s="892" customFormat="1" ht="18" customHeight="1">
      <c r="A107" s="451">
        <v>99</v>
      </c>
      <c r="B107" s="885"/>
      <c r="C107" s="873"/>
      <c r="D107" s="894" t="s">
        <v>283</v>
      </c>
      <c r="E107" s="887"/>
      <c r="F107" s="887"/>
      <c r="G107" s="888"/>
      <c r="H107" s="889"/>
      <c r="I107" s="870">
        <f>SUM(J107:N107)</f>
        <v>25000</v>
      </c>
      <c r="J107" s="890"/>
      <c r="K107" s="890"/>
      <c r="L107" s="890"/>
      <c r="M107" s="890"/>
      <c r="N107" s="891">
        <v>25000</v>
      </c>
      <c r="P107" s="878"/>
    </row>
    <row r="108" spans="1:16" s="892" customFormat="1" ht="18" customHeight="1">
      <c r="A108" s="451">
        <v>100</v>
      </c>
      <c r="B108" s="885"/>
      <c r="C108" s="873"/>
      <c r="D108" s="1134" t="s">
        <v>757</v>
      </c>
      <c r="E108" s="887"/>
      <c r="F108" s="887"/>
      <c r="G108" s="888"/>
      <c r="H108" s="889"/>
      <c r="I108" s="1137">
        <f>SUM(J108:N108)</f>
        <v>25000</v>
      </c>
      <c r="J108" s="1145"/>
      <c r="K108" s="1145"/>
      <c r="L108" s="1145"/>
      <c r="M108" s="1145"/>
      <c r="N108" s="1146">
        <v>25000</v>
      </c>
      <c r="P108" s="878"/>
    </row>
    <row r="109" spans="1:16" s="892" customFormat="1" ht="18" customHeight="1">
      <c r="A109" s="451">
        <v>101</v>
      </c>
      <c r="B109" s="885"/>
      <c r="C109" s="873"/>
      <c r="D109" s="1134" t="s">
        <v>893</v>
      </c>
      <c r="E109" s="887"/>
      <c r="F109" s="887"/>
      <c r="G109" s="888"/>
      <c r="H109" s="889"/>
      <c r="I109" s="1138">
        <f>SUM(J109:N109)</f>
        <v>11000</v>
      </c>
      <c r="J109" s="1145"/>
      <c r="K109" s="1145"/>
      <c r="L109" s="1145"/>
      <c r="M109" s="1145"/>
      <c r="N109" s="1146">
        <v>11000</v>
      </c>
      <c r="P109" s="878"/>
    </row>
    <row r="110" spans="1:16" s="9" customFormat="1" ht="18" customHeight="1">
      <c r="A110" s="451">
        <v>102</v>
      </c>
      <c r="B110" s="129"/>
      <c r="C110" s="437"/>
      <c r="D110" s="346" t="s">
        <v>55</v>
      </c>
      <c r="E110" s="130">
        <v>5600</v>
      </c>
      <c r="F110" s="130">
        <v>6460</v>
      </c>
      <c r="G110" s="131">
        <v>466</v>
      </c>
      <c r="H110" s="454"/>
      <c r="I110" s="1027"/>
      <c r="J110" s="1028"/>
      <c r="K110" s="1028"/>
      <c r="L110" s="1028"/>
      <c r="M110" s="1028"/>
      <c r="N110" s="1029"/>
      <c r="P110" s="8"/>
    </row>
    <row r="111" spans="1:16" s="9" customFormat="1" ht="18" customHeight="1">
      <c r="A111" s="451">
        <v>103</v>
      </c>
      <c r="B111" s="129"/>
      <c r="C111" s="125"/>
      <c r="D111" s="346" t="s">
        <v>56</v>
      </c>
      <c r="E111" s="130">
        <v>4500</v>
      </c>
      <c r="F111" s="130">
        <v>4500</v>
      </c>
      <c r="G111" s="131">
        <v>375</v>
      </c>
      <c r="H111" s="454"/>
      <c r="I111" s="1027"/>
      <c r="J111" s="1028"/>
      <c r="K111" s="1028"/>
      <c r="L111" s="1028"/>
      <c r="M111" s="1028"/>
      <c r="N111" s="1029"/>
      <c r="P111" s="8"/>
    </row>
    <row r="112" spans="1:16" s="9" customFormat="1" ht="18" customHeight="1">
      <c r="A112" s="451">
        <v>104</v>
      </c>
      <c r="B112" s="129"/>
      <c r="C112" s="125"/>
      <c r="D112" s="346" t="s">
        <v>57</v>
      </c>
      <c r="E112" s="130">
        <v>3000</v>
      </c>
      <c r="F112" s="130">
        <v>3000</v>
      </c>
      <c r="G112" s="131">
        <v>250</v>
      </c>
      <c r="H112" s="454"/>
      <c r="I112" s="1027"/>
      <c r="J112" s="1028"/>
      <c r="K112" s="1028"/>
      <c r="L112" s="1028"/>
      <c r="M112" s="1028"/>
      <c r="N112" s="1029"/>
      <c r="P112" s="8"/>
    </row>
    <row r="113" spans="1:16" s="9" customFormat="1" ht="18" customHeight="1">
      <c r="A113" s="451">
        <v>105</v>
      </c>
      <c r="B113" s="129"/>
      <c r="C113" s="125"/>
      <c r="D113" s="346" t="s">
        <v>297</v>
      </c>
      <c r="E113" s="130">
        <v>1000</v>
      </c>
      <c r="F113" s="130">
        <v>1000</v>
      </c>
      <c r="G113" s="131">
        <v>83</v>
      </c>
      <c r="H113" s="454"/>
      <c r="I113" s="1027"/>
      <c r="J113" s="1028"/>
      <c r="K113" s="1028"/>
      <c r="L113" s="1028"/>
      <c r="M113" s="1028"/>
      <c r="N113" s="1029"/>
      <c r="P113" s="8"/>
    </row>
    <row r="114" spans="1:16" s="9" customFormat="1" ht="22.5" customHeight="1" hidden="1">
      <c r="A114" s="451">
        <v>96</v>
      </c>
      <c r="B114" s="129"/>
      <c r="C114" s="125">
        <v>20</v>
      </c>
      <c r="D114" s="1312" t="s">
        <v>506</v>
      </c>
      <c r="E114" s="130"/>
      <c r="F114" s="130">
        <v>425</v>
      </c>
      <c r="G114" s="131">
        <v>0</v>
      </c>
      <c r="H114" s="453" t="s">
        <v>23</v>
      </c>
      <c r="I114" s="870"/>
      <c r="J114" s="1025"/>
      <c r="K114" s="1025"/>
      <c r="L114" s="1025"/>
      <c r="M114" s="1025"/>
      <c r="N114" s="1026"/>
      <c r="P114" s="8"/>
    </row>
    <row r="115" spans="1:16" s="892" customFormat="1" ht="18" customHeight="1" hidden="1">
      <c r="A115" s="451">
        <v>97</v>
      </c>
      <c r="B115" s="885"/>
      <c r="C115" s="873"/>
      <c r="D115" s="874" t="s">
        <v>283</v>
      </c>
      <c r="E115" s="887"/>
      <c r="F115" s="887"/>
      <c r="G115" s="888"/>
      <c r="H115" s="877"/>
      <c r="I115" s="867">
        <f>SUM(J115:N115)</f>
        <v>0</v>
      </c>
      <c r="J115" s="890"/>
      <c r="K115" s="890"/>
      <c r="L115" s="890"/>
      <c r="M115" s="890"/>
      <c r="N115" s="891"/>
      <c r="P115" s="878"/>
    </row>
    <row r="116" spans="1:16" s="9" customFormat="1" ht="22.5" customHeight="1" hidden="1">
      <c r="A116" s="451">
        <v>98</v>
      </c>
      <c r="B116" s="129"/>
      <c r="C116" s="125">
        <v>21</v>
      </c>
      <c r="D116" s="446" t="s">
        <v>495</v>
      </c>
      <c r="E116" s="130"/>
      <c r="F116" s="130">
        <v>425</v>
      </c>
      <c r="G116" s="131">
        <v>13</v>
      </c>
      <c r="H116" s="453" t="s">
        <v>23</v>
      </c>
      <c r="I116" s="867"/>
      <c r="J116" s="1025"/>
      <c r="K116" s="1025"/>
      <c r="L116" s="1025"/>
      <c r="M116" s="1025"/>
      <c r="N116" s="1026"/>
      <c r="P116" s="8"/>
    </row>
    <row r="117" spans="1:16" s="892" customFormat="1" ht="18" customHeight="1" hidden="1">
      <c r="A117" s="451">
        <v>99</v>
      </c>
      <c r="B117" s="885"/>
      <c r="C117" s="873"/>
      <c r="D117" s="874" t="s">
        <v>283</v>
      </c>
      <c r="E117" s="887"/>
      <c r="F117" s="887"/>
      <c r="G117" s="888"/>
      <c r="H117" s="877"/>
      <c r="I117" s="867">
        <f>SUM(J117:N117)</f>
        <v>0</v>
      </c>
      <c r="J117" s="890"/>
      <c r="K117" s="890"/>
      <c r="L117" s="890"/>
      <c r="M117" s="890"/>
      <c r="N117" s="891"/>
      <c r="P117" s="878"/>
    </row>
    <row r="118" spans="1:16" s="9" customFormat="1" ht="22.5" customHeight="1" hidden="1">
      <c r="A118" s="451">
        <v>100</v>
      </c>
      <c r="B118" s="129"/>
      <c r="C118" s="125">
        <v>22</v>
      </c>
      <c r="D118" s="446" t="s">
        <v>505</v>
      </c>
      <c r="E118" s="130"/>
      <c r="F118" s="130">
        <v>850</v>
      </c>
      <c r="G118" s="131">
        <v>0</v>
      </c>
      <c r="H118" s="453" t="s">
        <v>23</v>
      </c>
      <c r="I118" s="867"/>
      <c r="J118" s="1025"/>
      <c r="K118" s="1025"/>
      <c r="L118" s="1025"/>
      <c r="M118" s="1025"/>
      <c r="N118" s="1026"/>
      <c r="P118" s="8"/>
    </row>
    <row r="119" spans="1:16" s="892" customFormat="1" ht="18" customHeight="1" hidden="1">
      <c r="A119" s="451">
        <v>101</v>
      </c>
      <c r="B119" s="885"/>
      <c r="C119" s="873"/>
      <c r="D119" s="874" t="s">
        <v>283</v>
      </c>
      <c r="E119" s="887"/>
      <c r="F119" s="887"/>
      <c r="G119" s="888"/>
      <c r="H119" s="889"/>
      <c r="I119" s="867">
        <f>SUM(J119:N119)</f>
        <v>0</v>
      </c>
      <c r="J119" s="890"/>
      <c r="K119" s="890"/>
      <c r="L119" s="890"/>
      <c r="M119" s="890"/>
      <c r="N119" s="891"/>
      <c r="P119" s="878"/>
    </row>
    <row r="120" spans="1:16" s="9" customFormat="1" ht="22.5" customHeight="1" hidden="1">
      <c r="A120" s="451">
        <v>102</v>
      </c>
      <c r="B120" s="129"/>
      <c r="C120" s="125">
        <v>23</v>
      </c>
      <c r="D120" s="446" t="s">
        <v>496</v>
      </c>
      <c r="E120" s="130"/>
      <c r="F120" s="130">
        <v>2550</v>
      </c>
      <c r="G120" s="131">
        <v>0</v>
      </c>
      <c r="H120" s="453" t="s">
        <v>23</v>
      </c>
      <c r="I120" s="867"/>
      <c r="J120" s="1025"/>
      <c r="K120" s="1025"/>
      <c r="L120" s="1025"/>
      <c r="M120" s="1025"/>
      <c r="N120" s="1026"/>
      <c r="P120" s="8"/>
    </row>
    <row r="121" spans="1:16" s="892" customFormat="1" ht="18" customHeight="1" hidden="1">
      <c r="A121" s="451">
        <v>103</v>
      </c>
      <c r="B121" s="885"/>
      <c r="C121" s="873"/>
      <c r="D121" s="874" t="s">
        <v>283</v>
      </c>
      <c r="E121" s="887"/>
      <c r="F121" s="887"/>
      <c r="G121" s="888"/>
      <c r="H121" s="889"/>
      <c r="I121" s="867">
        <f>SUM(J121:N121)</f>
        <v>0</v>
      </c>
      <c r="J121" s="890"/>
      <c r="K121" s="890"/>
      <c r="L121" s="890"/>
      <c r="M121" s="890"/>
      <c r="N121" s="891"/>
      <c r="P121" s="878"/>
    </row>
    <row r="122" spans="1:16" s="3" customFormat="1" ht="22.5" customHeight="1" hidden="1">
      <c r="A122" s="451">
        <v>104</v>
      </c>
      <c r="B122" s="119"/>
      <c r="C122" s="120">
        <v>24</v>
      </c>
      <c r="D122" s="446" t="s">
        <v>58</v>
      </c>
      <c r="E122" s="122">
        <v>2500</v>
      </c>
      <c r="F122" s="122">
        <v>0</v>
      </c>
      <c r="G122" s="131">
        <v>0</v>
      </c>
      <c r="H122" s="453" t="s">
        <v>23</v>
      </c>
      <c r="I122" s="867"/>
      <c r="J122" s="1017"/>
      <c r="K122" s="1017"/>
      <c r="L122" s="1017"/>
      <c r="M122" s="1017"/>
      <c r="N122" s="1018"/>
      <c r="P122" s="8"/>
    </row>
    <row r="123" spans="1:16" s="3" customFormat="1" ht="18" customHeight="1" hidden="1">
      <c r="A123" s="451">
        <v>105</v>
      </c>
      <c r="B123" s="143"/>
      <c r="C123" s="125"/>
      <c r="D123" s="126" t="s">
        <v>283</v>
      </c>
      <c r="E123" s="149"/>
      <c r="F123" s="149"/>
      <c r="G123" s="150"/>
      <c r="H123" s="455"/>
      <c r="I123" s="867">
        <f>SUM(J123:N123)</f>
        <v>0</v>
      </c>
      <c r="J123" s="1020"/>
      <c r="K123" s="1020"/>
      <c r="L123" s="1020"/>
      <c r="M123" s="1020"/>
      <c r="N123" s="1021"/>
      <c r="P123" s="8"/>
    </row>
    <row r="124" spans="1:16" s="3" customFormat="1" ht="22.5" customHeight="1" hidden="1">
      <c r="A124" s="451">
        <v>106</v>
      </c>
      <c r="B124" s="119"/>
      <c r="C124" s="120">
        <v>25</v>
      </c>
      <c r="D124" s="446" t="s">
        <v>293</v>
      </c>
      <c r="E124" s="122">
        <v>2500</v>
      </c>
      <c r="F124" s="122">
        <v>0</v>
      </c>
      <c r="G124" s="123">
        <v>0</v>
      </c>
      <c r="H124" s="453" t="s">
        <v>23</v>
      </c>
      <c r="I124" s="867"/>
      <c r="J124" s="1017"/>
      <c r="K124" s="1017"/>
      <c r="L124" s="1017"/>
      <c r="M124" s="1017"/>
      <c r="N124" s="1018"/>
      <c r="P124" s="8"/>
    </row>
    <row r="125" spans="1:16" s="3" customFormat="1" ht="18" customHeight="1" hidden="1">
      <c r="A125" s="451">
        <v>107</v>
      </c>
      <c r="B125" s="143"/>
      <c r="C125" s="125"/>
      <c r="D125" s="126" t="s">
        <v>283</v>
      </c>
      <c r="E125" s="149"/>
      <c r="F125" s="149"/>
      <c r="G125" s="150"/>
      <c r="H125" s="455"/>
      <c r="I125" s="867">
        <f>SUM(J125:N125)</f>
        <v>0</v>
      </c>
      <c r="J125" s="1020"/>
      <c r="K125" s="1020"/>
      <c r="L125" s="1020"/>
      <c r="M125" s="1020"/>
      <c r="N125" s="1021"/>
      <c r="P125" s="8"/>
    </row>
    <row r="126" spans="1:16" s="3" customFormat="1" ht="22.5" customHeight="1" hidden="1">
      <c r="A126" s="451">
        <v>108</v>
      </c>
      <c r="B126" s="119"/>
      <c r="C126" s="120">
        <v>26</v>
      </c>
      <c r="D126" s="446" t="s">
        <v>59</v>
      </c>
      <c r="E126" s="122">
        <v>1500</v>
      </c>
      <c r="F126" s="122">
        <v>1275</v>
      </c>
      <c r="G126" s="123">
        <v>0</v>
      </c>
      <c r="H126" s="453" t="s">
        <v>23</v>
      </c>
      <c r="I126" s="867"/>
      <c r="J126" s="1017"/>
      <c r="K126" s="1017"/>
      <c r="L126" s="1017"/>
      <c r="M126" s="1017"/>
      <c r="N126" s="1018"/>
      <c r="P126" s="8"/>
    </row>
    <row r="127" spans="1:14" s="878" customFormat="1" ht="18" customHeight="1" hidden="1">
      <c r="A127" s="451">
        <v>109</v>
      </c>
      <c r="B127" s="872"/>
      <c r="C127" s="873"/>
      <c r="D127" s="874" t="s">
        <v>283</v>
      </c>
      <c r="E127" s="875"/>
      <c r="F127" s="875"/>
      <c r="G127" s="876"/>
      <c r="H127" s="877"/>
      <c r="I127" s="867">
        <f>SUM(J127:N127)</f>
        <v>0</v>
      </c>
      <c r="J127" s="868"/>
      <c r="K127" s="868"/>
      <c r="L127" s="868"/>
      <c r="M127" s="868"/>
      <c r="N127" s="869"/>
    </row>
    <row r="128" spans="1:16" s="3" customFormat="1" ht="22.5" customHeight="1" hidden="1">
      <c r="A128" s="451">
        <v>110</v>
      </c>
      <c r="B128" s="119"/>
      <c r="C128" s="120">
        <v>27</v>
      </c>
      <c r="D128" s="446" t="s">
        <v>60</v>
      </c>
      <c r="E128" s="122">
        <v>1000</v>
      </c>
      <c r="F128" s="122">
        <v>850</v>
      </c>
      <c r="G128" s="123">
        <v>0</v>
      </c>
      <c r="H128" s="453" t="s">
        <v>23</v>
      </c>
      <c r="I128" s="867"/>
      <c r="J128" s="1017"/>
      <c r="K128" s="1017"/>
      <c r="L128" s="1017"/>
      <c r="M128" s="1017"/>
      <c r="N128" s="1018"/>
      <c r="P128" s="8"/>
    </row>
    <row r="129" spans="1:14" s="878" customFormat="1" ht="18" customHeight="1" hidden="1">
      <c r="A129" s="451">
        <v>111</v>
      </c>
      <c r="B129" s="872"/>
      <c r="C129" s="873"/>
      <c r="D129" s="874" t="s">
        <v>283</v>
      </c>
      <c r="E129" s="875"/>
      <c r="F129" s="875"/>
      <c r="G129" s="876"/>
      <c r="H129" s="877"/>
      <c r="I129" s="867">
        <f>SUM(J129:N129)</f>
        <v>0</v>
      </c>
      <c r="J129" s="868"/>
      <c r="K129" s="868"/>
      <c r="L129" s="868"/>
      <c r="M129" s="868"/>
      <c r="N129" s="869"/>
    </row>
    <row r="130" spans="1:16" s="3" customFormat="1" ht="22.5" customHeight="1" hidden="1">
      <c r="A130" s="451">
        <v>112</v>
      </c>
      <c r="B130" s="119"/>
      <c r="C130" s="120">
        <v>28</v>
      </c>
      <c r="D130" s="446" t="s">
        <v>257</v>
      </c>
      <c r="E130" s="122">
        <v>5000</v>
      </c>
      <c r="F130" s="122">
        <v>4250</v>
      </c>
      <c r="G130" s="123">
        <v>4480</v>
      </c>
      <c r="H130" s="453" t="s">
        <v>23</v>
      </c>
      <c r="I130" s="867"/>
      <c r="J130" s="1017"/>
      <c r="K130" s="1017"/>
      <c r="L130" s="1017"/>
      <c r="M130" s="1017"/>
      <c r="N130" s="1018"/>
      <c r="P130" s="8"/>
    </row>
    <row r="131" spans="1:14" s="878" customFormat="1" ht="18" customHeight="1" hidden="1">
      <c r="A131" s="451">
        <v>113</v>
      </c>
      <c r="B131" s="872"/>
      <c r="C131" s="873"/>
      <c r="D131" s="874" t="s">
        <v>283</v>
      </c>
      <c r="E131" s="875"/>
      <c r="F131" s="875"/>
      <c r="G131" s="876"/>
      <c r="H131" s="877"/>
      <c r="I131" s="867">
        <f aca="true" t="shared" si="2" ref="I131:I146">SUM(J131:N131)</f>
        <v>0</v>
      </c>
      <c r="J131" s="868"/>
      <c r="K131" s="868"/>
      <c r="L131" s="868"/>
      <c r="M131" s="868"/>
      <c r="N131" s="869"/>
    </row>
    <row r="132" spans="1:14" s="8" customFormat="1" ht="22.5" customHeight="1" hidden="1">
      <c r="A132" s="451">
        <v>114</v>
      </c>
      <c r="B132" s="124"/>
      <c r="C132" s="120">
        <v>29</v>
      </c>
      <c r="D132" s="445" t="s">
        <v>366</v>
      </c>
      <c r="E132" s="122">
        <v>3250</v>
      </c>
      <c r="F132" s="122">
        <v>0</v>
      </c>
      <c r="G132" s="123">
        <v>0</v>
      </c>
      <c r="H132" s="453" t="s">
        <v>23</v>
      </c>
      <c r="I132" s="867"/>
      <c r="J132" s="1017"/>
      <c r="K132" s="1017"/>
      <c r="L132" s="1017"/>
      <c r="M132" s="1017"/>
      <c r="N132" s="1018"/>
    </row>
    <row r="133" spans="1:14" s="8" customFormat="1" ht="18" customHeight="1" hidden="1">
      <c r="A133" s="451">
        <v>115</v>
      </c>
      <c r="B133" s="124"/>
      <c r="C133" s="125"/>
      <c r="D133" s="126" t="s">
        <v>283</v>
      </c>
      <c r="E133" s="122"/>
      <c r="F133" s="122"/>
      <c r="G133" s="123"/>
      <c r="H133" s="453"/>
      <c r="I133" s="867">
        <f t="shared" si="2"/>
        <v>0</v>
      </c>
      <c r="J133" s="1017"/>
      <c r="K133" s="1017"/>
      <c r="L133" s="1017"/>
      <c r="M133" s="1017"/>
      <c r="N133" s="1018"/>
    </row>
    <row r="134" spans="1:14" s="8" customFormat="1" ht="22.5" customHeight="1" hidden="1">
      <c r="A134" s="451">
        <v>116</v>
      </c>
      <c r="B134" s="137"/>
      <c r="C134" s="120">
        <v>30</v>
      </c>
      <c r="D134" s="445" t="s">
        <v>384</v>
      </c>
      <c r="E134" s="149">
        <v>16160</v>
      </c>
      <c r="F134" s="149">
        <v>20000</v>
      </c>
      <c r="G134" s="150">
        <v>0</v>
      </c>
      <c r="H134" s="453" t="s">
        <v>23</v>
      </c>
      <c r="I134" s="867"/>
      <c r="J134" s="1020"/>
      <c r="K134" s="1020"/>
      <c r="L134" s="1020"/>
      <c r="M134" s="1020"/>
      <c r="N134" s="1021"/>
    </row>
    <row r="135" spans="1:14" s="878" customFormat="1" ht="18" customHeight="1" hidden="1">
      <c r="A135" s="451">
        <v>117</v>
      </c>
      <c r="B135" s="895"/>
      <c r="C135" s="873"/>
      <c r="D135" s="874" t="s">
        <v>283</v>
      </c>
      <c r="E135" s="879"/>
      <c r="F135" s="879"/>
      <c r="G135" s="880"/>
      <c r="H135" s="877"/>
      <c r="I135" s="867">
        <f t="shared" si="2"/>
        <v>0</v>
      </c>
      <c r="J135" s="882"/>
      <c r="K135" s="882"/>
      <c r="L135" s="882"/>
      <c r="M135" s="882"/>
      <c r="N135" s="883"/>
    </row>
    <row r="136" spans="1:16" s="139" customFormat="1" ht="22.5" customHeight="1" hidden="1">
      <c r="A136" s="451">
        <v>118</v>
      </c>
      <c r="B136" s="138"/>
      <c r="C136" s="120">
        <v>31</v>
      </c>
      <c r="D136" s="446" t="s">
        <v>253</v>
      </c>
      <c r="E136" s="149">
        <v>45000</v>
      </c>
      <c r="F136" s="149">
        <v>45000</v>
      </c>
      <c r="G136" s="150">
        <v>45000</v>
      </c>
      <c r="H136" s="453" t="s">
        <v>23</v>
      </c>
      <c r="I136" s="867"/>
      <c r="J136" s="1020"/>
      <c r="K136" s="1020"/>
      <c r="L136" s="1020"/>
      <c r="M136" s="1020"/>
      <c r="N136" s="1021"/>
      <c r="O136" s="115"/>
      <c r="P136" s="8"/>
    </row>
    <row r="137" spans="1:16" s="139" customFormat="1" ht="18" customHeight="1" hidden="1">
      <c r="A137" s="451">
        <v>119</v>
      </c>
      <c r="B137" s="138"/>
      <c r="C137" s="125"/>
      <c r="D137" s="126" t="s">
        <v>283</v>
      </c>
      <c r="E137" s="149"/>
      <c r="F137" s="127"/>
      <c r="G137" s="128"/>
      <c r="H137" s="453"/>
      <c r="I137" s="867">
        <f>SUM(J137:N137)</f>
        <v>0</v>
      </c>
      <c r="J137" s="1020"/>
      <c r="K137" s="1020"/>
      <c r="L137" s="1020"/>
      <c r="M137" s="1020"/>
      <c r="N137" s="1021"/>
      <c r="O137" s="115"/>
      <c r="P137" s="8"/>
    </row>
    <row r="138" spans="1:16" s="3" customFormat="1" ht="22.5" customHeight="1" hidden="1">
      <c r="A138" s="451">
        <v>120</v>
      </c>
      <c r="B138" s="119"/>
      <c r="C138" s="120">
        <v>32</v>
      </c>
      <c r="D138" s="446" t="s">
        <v>258</v>
      </c>
      <c r="E138" s="122"/>
      <c r="F138" s="122">
        <v>2500</v>
      </c>
      <c r="G138" s="123">
        <v>2500</v>
      </c>
      <c r="H138" s="453" t="s">
        <v>23</v>
      </c>
      <c r="I138" s="867"/>
      <c r="J138" s="1017"/>
      <c r="K138" s="1017"/>
      <c r="L138" s="1017"/>
      <c r="M138" s="1017"/>
      <c r="N138" s="1018"/>
      <c r="P138" s="8"/>
    </row>
    <row r="139" spans="1:14" s="878" customFormat="1" ht="18" customHeight="1" hidden="1">
      <c r="A139" s="451">
        <v>121</v>
      </c>
      <c r="B139" s="872"/>
      <c r="C139" s="873"/>
      <c r="D139" s="1313" t="s">
        <v>283</v>
      </c>
      <c r="E139" s="875"/>
      <c r="F139" s="875"/>
      <c r="G139" s="876"/>
      <c r="H139" s="877"/>
      <c r="I139" s="867">
        <f t="shared" si="2"/>
        <v>0</v>
      </c>
      <c r="J139" s="868"/>
      <c r="K139" s="868"/>
      <c r="L139" s="868"/>
      <c r="M139" s="868"/>
      <c r="N139" s="869"/>
    </row>
    <row r="140" spans="1:14" s="878" customFormat="1" ht="22.5" customHeight="1">
      <c r="A140" s="451">
        <v>106</v>
      </c>
      <c r="B140" s="872"/>
      <c r="C140" s="120">
        <v>33</v>
      </c>
      <c r="D140" s="446" t="s">
        <v>645</v>
      </c>
      <c r="E140" s="875"/>
      <c r="F140" s="875"/>
      <c r="G140" s="876"/>
      <c r="H140" s="453" t="s">
        <v>23</v>
      </c>
      <c r="I140" s="867"/>
      <c r="J140" s="868"/>
      <c r="K140" s="868"/>
      <c r="L140" s="868"/>
      <c r="M140" s="868"/>
      <c r="N140" s="869"/>
    </row>
    <row r="141" spans="1:14" s="878" customFormat="1" ht="18" customHeight="1">
      <c r="A141" s="451">
        <v>107</v>
      </c>
      <c r="B141" s="872"/>
      <c r="C141" s="125"/>
      <c r="D141" s="874" t="s">
        <v>283</v>
      </c>
      <c r="E141" s="875"/>
      <c r="F141" s="875"/>
      <c r="G141" s="876"/>
      <c r="H141" s="877"/>
      <c r="I141" s="867">
        <f t="shared" si="2"/>
        <v>2500</v>
      </c>
      <c r="J141" s="868"/>
      <c r="K141" s="868"/>
      <c r="L141" s="868">
        <v>2500</v>
      </c>
      <c r="M141" s="868"/>
      <c r="N141" s="869"/>
    </row>
    <row r="142" spans="1:14" s="878" customFormat="1" ht="18" customHeight="1">
      <c r="A142" s="451">
        <v>108</v>
      </c>
      <c r="B142" s="872"/>
      <c r="C142" s="125"/>
      <c r="D142" s="478" t="s">
        <v>757</v>
      </c>
      <c r="E142" s="875"/>
      <c r="F142" s="875"/>
      <c r="G142" s="876"/>
      <c r="H142" s="877"/>
      <c r="I142" s="1135">
        <f t="shared" si="2"/>
        <v>2500</v>
      </c>
      <c r="J142" s="1142"/>
      <c r="K142" s="1142"/>
      <c r="L142" s="1142">
        <v>2500</v>
      </c>
      <c r="M142" s="868"/>
      <c r="N142" s="869"/>
    </row>
    <row r="143" spans="1:14" s="878" customFormat="1" ht="18" customHeight="1">
      <c r="A143" s="451">
        <v>109</v>
      </c>
      <c r="B143" s="872"/>
      <c r="C143" s="125"/>
      <c r="D143" s="1090" t="s">
        <v>893</v>
      </c>
      <c r="E143" s="875"/>
      <c r="F143" s="875"/>
      <c r="G143" s="876"/>
      <c r="H143" s="877"/>
      <c r="I143" s="1138">
        <f>SUM(J143:N143)</f>
        <v>0</v>
      </c>
      <c r="J143" s="1142"/>
      <c r="K143" s="1142"/>
      <c r="L143" s="1142">
        <v>0</v>
      </c>
      <c r="M143" s="868"/>
      <c r="N143" s="869"/>
    </row>
    <row r="144" spans="1:14" s="878" customFormat="1" ht="22.5" customHeight="1">
      <c r="A144" s="451">
        <v>110</v>
      </c>
      <c r="B144" s="872"/>
      <c r="C144" s="120">
        <v>34</v>
      </c>
      <c r="D144" s="446" t="s">
        <v>646</v>
      </c>
      <c r="E144" s="875"/>
      <c r="F144" s="875"/>
      <c r="G144" s="876"/>
      <c r="H144" s="453" t="s">
        <v>23</v>
      </c>
      <c r="I144" s="867"/>
      <c r="J144" s="868"/>
      <c r="K144" s="868"/>
      <c r="L144" s="868"/>
      <c r="M144" s="868"/>
      <c r="N144" s="869"/>
    </row>
    <row r="145" spans="1:14" s="878" customFormat="1" ht="18" customHeight="1">
      <c r="A145" s="451">
        <v>111</v>
      </c>
      <c r="B145" s="872"/>
      <c r="C145" s="873"/>
      <c r="D145" s="874" t="s">
        <v>283</v>
      </c>
      <c r="E145" s="875"/>
      <c r="F145" s="875"/>
      <c r="G145" s="876"/>
      <c r="H145" s="877"/>
      <c r="I145" s="867">
        <f t="shared" si="2"/>
        <v>10000</v>
      </c>
      <c r="J145" s="868"/>
      <c r="K145" s="868"/>
      <c r="L145" s="868">
        <v>10000</v>
      </c>
      <c r="M145" s="868"/>
      <c r="N145" s="869"/>
    </row>
    <row r="146" spans="1:14" s="878" customFormat="1" ht="18" customHeight="1">
      <c r="A146" s="451">
        <v>112</v>
      </c>
      <c r="B146" s="872"/>
      <c r="C146" s="873"/>
      <c r="D146" s="478" t="s">
        <v>757</v>
      </c>
      <c r="E146" s="875"/>
      <c r="F146" s="875"/>
      <c r="G146" s="876"/>
      <c r="H146" s="877"/>
      <c r="I146" s="1135">
        <f t="shared" si="2"/>
        <v>10000</v>
      </c>
      <c r="J146" s="1142">
        <v>10</v>
      </c>
      <c r="K146" s="1142">
        <v>4</v>
      </c>
      <c r="L146" s="1142">
        <v>9986</v>
      </c>
      <c r="M146" s="868"/>
      <c r="N146" s="869"/>
    </row>
    <row r="147" spans="1:14" s="878" customFormat="1" ht="18" customHeight="1">
      <c r="A147" s="451">
        <v>113</v>
      </c>
      <c r="B147" s="872"/>
      <c r="C147" s="873"/>
      <c r="D147" s="1090" t="s">
        <v>892</v>
      </c>
      <c r="E147" s="875"/>
      <c r="F147" s="875"/>
      <c r="G147" s="876"/>
      <c r="H147" s="877"/>
      <c r="I147" s="1138">
        <f>SUM(J147:N147)</f>
        <v>1048</v>
      </c>
      <c r="J147" s="1144">
        <v>16</v>
      </c>
      <c r="K147" s="1144">
        <v>4</v>
      </c>
      <c r="L147" s="1144">
        <v>1028</v>
      </c>
      <c r="M147" s="868"/>
      <c r="N147" s="869"/>
    </row>
    <row r="148" spans="1:16" s="3" customFormat="1" ht="22.5" customHeight="1">
      <c r="A148" s="451">
        <v>114</v>
      </c>
      <c r="B148" s="119"/>
      <c r="C148" s="120">
        <v>35</v>
      </c>
      <c r="D148" s="446" t="s">
        <v>62</v>
      </c>
      <c r="E148" s="122">
        <v>379297</v>
      </c>
      <c r="F148" s="122">
        <v>392700</v>
      </c>
      <c r="G148" s="123">
        <v>185225</v>
      </c>
      <c r="H148" s="453" t="s">
        <v>23</v>
      </c>
      <c r="I148" s="867"/>
      <c r="J148" s="1017"/>
      <c r="K148" s="1017"/>
      <c r="L148" s="1017"/>
      <c r="M148" s="1017"/>
      <c r="N148" s="1018"/>
      <c r="P148" s="8"/>
    </row>
    <row r="149" spans="1:14" s="878" customFormat="1" ht="18" customHeight="1">
      <c r="A149" s="451">
        <v>115</v>
      </c>
      <c r="B149" s="872"/>
      <c r="C149" s="873"/>
      <c r="D149" s="874" t="s">
        <v>283</v>
      </c>
      <c r="E149" s="875"/>
      <c r="F149" s="875"/>
      <c r="G149" s="876"/>
      <c r="H149" s="877"/>
      <c r="I149" s="867">
        <f>SUM(J149:N149)</f>
        <v>250000</v>
      </c>
      <c r="J149" s="868"/>
      <c r="K149" s="868"/>
      <c r="L149" s="868">
        <v>70000</v>
      </c>
      <c r="M149" s="868"/>
      <c r="N149" s="869">
        <v>180000</v>
      </c>
    </row>
    <row r="150" spans="1:14" s="878" customFormat="1" ht="18" customHeight="1">
      <c r="A150" s="451">
        <v>116</v>
      </c>
      <c r="B150" s="872"/>
      <c r="C150" s="873"/>
      <c r="D150" s="478" t="s">
        <v>757</v>
      </c>
      <c r="E150" s="875"/>
      <c r="F150" s="875"/>
      <c r="G150" s="876"/>
      <c r="H150" s="877"/>
      <c r="I150" s="1135">
        <f>SUM(J150:N150)</f>
        <v>250051</v>
      </c>
      <c r="J150" s="1142"/>
      <c r="K150" s="1142"/>
      <c r="L150" s="1142">
        <v>70000</v>
      </c>
      <c r="M150" s="1142"/>
      <c r="N150" s="1148">
        <v>180051</v>
      </c>
    </row>
    <row r="151" spans="1:14" s="878" customFormat="1" ht="18" customHeight="1">
      <c r="A151" s="451">
        <v>117</v>
      </c>
      <c r="B151" s="872"/>
      <c r="C151" s="873"/>
      <c r="D151" s="1090" t="s">
        <v>892</v>
      </c>
      <c r="E151" s="875"/>
      <c r="F151" s="875"/>
      <c r="G151" s="876"/>
      <c r="H151" s="877"/>
      <c r="I151" s="1138">
        <f>SUM(J151:N151)</f>
        <v>114200</v>
      </c>
      <c r="J151" s="1142"/>
      <c r="K151" s="1142"/>
      <c r="L151" s="1144">
        <v>17500</v>
      </c>
      <c r="M151" s="1142"/>
      <c r="N151" s="1143">
        <v>96700</v>
      </c>
    </row>
    <row r="152" spans="1:16" s="3" customFormat="1" ht="22.5" customHeight="1">
      <c r="A152" s="451">
        <v>118</v>
      </c>
      <c r="B152" s="119"/>
      <c r="C152" s="120">
        <v>36</v>
      </c>
      <c r="D152" s="446" t="s">
        <v>63</v>
      </c>
      <c r="E152" s="122">
        <v>2600</v>
      </c>
      <c r="F152" s="122">
        <v>2210</v>
      </c>
      <c r="G152" s="123">
        <v>2210</v>
      </c>
      <c r="H152" s="453" t="s">
        <v>22</v>
      </c>
      <c r="I152" s="867"/>
      <c r="J152" s="1017"/>
      <c r="K152" s="1017"/>
      <c r="L152" s="1017"/>
      <c r="M152" s="1017"/>
      <c r="N152" s="1018"/>
      <c r="P152" s="8"/>
    </row>
    <row r="153" spans="1:14" s="878" customFormat="1" ht="18" customHeight="1">
      <c r="A153" s="451">
        <v>119</v>
      </c>
      <c r="B153" s="872"/>
      <c r="C153" s="873"/>
      <c r="D153" s="874" t="s">
        <v>283</v>
      </c>
      <c r="E153" s="875"/>
      <c r="F153" s="875"/>
      <c r="G153" s="876"/>
      <c r="H153" s="877"/>
      <c r="I153" s="867">
        <f>SUM(J153:N153)</f>
        <v>1250</v>
      </c>
      <c r="J153" s="868"/>
      <c r="K153" s="868"/>
      <c r="L153" s="868">
        <v>1250</v>
      </c>
      <c r="M153" s="868"/>
      <c r="N153" s="869"/>
    </row>
    <row r="154" spans="1:14" s="878" customFormat="1" ht="18" customHeight="1">
      <c r="A154" s="451">
        <v>120</v>
      </c>
      <c r="B154" s="872"/>
      <c r="C154" s="873"/>
      <c r="D154" s="478" t="s">
        <v>757</v>
      </c>
      <c r="E154" s="1454"/>
      <c r="F154" s="1454"/>
      <c r="G154" s="1455"/>
      <c r="H154" s="1456"/>
      <c r="I154" s="1135">
        <f>SUM(J154:N154)</f>
        <v>1250</v>
      </c>
      <c r="J154" s="1142"/>
      <c r="K154" s="1142"/>
      <c r="L154" s="1142">
        <v>1250</v>
      </c>
      <c r="M154" s="868"/>
      <c r="N154" s="869"/>
    </row>
    <row r="155" spans="1:14" s="878" customFormat="1" ht="18" customHeight="1">
      <c r="A155" s="451">
        <v>121</v>
      </c>
      <c r="B155" s="872"/>
      <c r="C155" s="873"/>
      <c r="D155" s="1090" t="s">
        <v>893</v>
      </c>
      <c r="E155" s="875"/>
      <c r="F155" s="875"/>
      <c r="G155" s="876"/>
      <c r="H155" s="877"/>
      <c r="I155" s="1138">
        <f>SUM(J155:N155)</f>
        <v>0</v>
      </c>
      <c r="J155" s="1142"/>
      <c r="K155" s="1142"/>
      <c r="L155" s="1142">
        <v>0</v>
      </c>
      <c r="M155" s="868"/>
      <c r="N155" s="869"/>
    </row>
    <row r="156" spans="1:16" s="3" customFormat="1" ht="22.5" customHeight="1">
      <c r="A156" s="451">
        <v>122</v>
      </c>
      <c r="B156" s="119"/>
      <c r="C156" s="120">
        <v>37</v>
      </c>
      <c r="D156" s="446" t="s">
        <v>64</v>
      </c>
      <c r="E156" s="122">
        <v>7884</v>
      </c>
      <c r="F156" s="122">
        <v>7650</v>
      </c>
      <c r="G156" s="123">
        <v>5946</v>
      </c>
      <c r="H156" s="453" t="s">
        <v>22</v>
      </c>
      <c r="I156" s="867"/>
      <c r="J156" s="1017"/>
      <c r="K156" s="1017"/>
      <c r="L156" s="1017"/>
      <c r="M156" s="1017"/>
      <c r="N156" s="1018"/>
      <c r="P156" s="8"/>
    </row>
    <row r="157" spans="1:14" s="878" customFormat="1" ht="18" customHeight="1">
      <c r="A157" s="451">
        <v>123</v>
      </c>
      <c r="B157" s="872"/>
      <c r="C157" s="873"/>
      <c r="D157" s="874" t="s">
        <v>283</v>
      </c>
      <c r="E157" s="875"/>
      <c r="F157" s="875"/>
      <c r="G157" s="876"/>
      <c r="H157" s="877"/>
      <c r="I157" s="867">
        <f>SUM(J157:N157)</f>
        <v>4000</v>
      </c>
      <c r="J157" s="868"/>
      <c r="K157" s="868"/>
      <c r="L157" s="868">
        <v>4000</v>
      </c>
      <c r="M157" s="868"/>
      <c r="N157" s="869"/>
    </row>
    <row r="158" spans="1:14" s="878" customFormat="1" ht="18" customHeight="1">
      <c r="A158" s="451">
        <v>124</v>
      </c>
      <c r="B158" s="872"/>
      <c r="C158" s="873"/>
      <c r="D158" s="478" t="s">
        <v>757</v>
      </c>
      <c r="E158" s="875"/>
      <c r="F158" s="875"/>
      <c r="G158" s="876"/>
      <c r="H158" s="877"/>
      <c r="I158" s="1135">
        <f>SUM(J158:N158)</f>
        <v>4084</v>
      </c>
      <c r="J158" s="1142"/>
      <c r="K158" s="1142"/>
      <c r="L158" s="1142">
        <v>4084</v>
      </c>
      <c r="M158" s="868"/>
      <c r="N158" s="869"/>
    </row>
    <row r="159" spans="1:14" s="878" customFormat="1" ht="18" customHeight="1">
      <c r="A159" s="451">
        <v>125</v>
      </c>
      <c r="B159" s="872"/>
      <c r="C159" s="873"/>
      <c r="D159" s="1090" t="s">
        <v>892</v>
      </c>
      <c r="E159" s="875"/>
      <c r="F159" s="875"/>
      <c r="G159" s="876"/>
      <c r="H159" s="877"/>
      <c r="I159" s="1138">
        <f>SUM(J159:N159)</f>
        <v>447</v>
      </c>
      <c r="J159" s="1142"/>
      <c r="K159" s="1142"/>
      <c r="L159" s="1144">
        <v>447</v>
      </c>
      <c r="M159" s="1142"/>
      <c r="N159" s="869"/>
    </row>
    <row r="160" spans="1:14" s="8" customFormat="1" ht="22.5" customHeight="1">
      <c r="A160" s="451">
        <v>126</v>
      </c>
      <c r="B160" s="124"/>
      <c r="C160" s="120">
        <v>38</v>
      </c>
      <c r="D160" s="445" t="s">
        <v>323</v>
      </c>
      <c r="E160" s="122">
        <v>43834</v>
      </c>
      <c r="F160" s="122">
        <v>46997</v>
      </c>
      <c r="G160" s="123">
        <v>48445</v>
      </c>
      <c r="H160" s="453" t="s">
        <v>22</v>
      </c>
      <c r="I160" s="867"/>
      <c r="J160" s="1017"/>
      <c r="K160" s="1017"/>
      <c r="L160" s="1017"/>
      <c r="M160" s="1017"/>
      <c r="N160" s="1018"/>
    </row>
    <row r="161" spans="1:14" s="878" customFormat="1" ht="18" customHeight="1">
      <c r="A161" s="451">
        <v>127</v>
      </c>
      <c r="B161" s="872"/>
      <c r="C161" s="873"/>
      <c r="D161" s="874" t="s">
        <v>283</v>
      </c>
      <c r="E161" s="875"/>
      <c r="F161" s="875"/>
      <c r="G161" s="876"/>
      <c r="H161" s="877"/>
      <c r="I161" s="867">
        <f>SUM(J161:N161)</f>
        <v>39750</v>
      </c>
      <c r="J161" s="868"/>
      <c r="K161" s="868"/>
      <c r="L161" s="868">
        <v>39750</v>
      </c>
      <c r="M161" s="868"/>
      <c r="N161" s="869"/>
    </row>
    <row r="162" spans="1:14" s="878" customFormat="1" ht="18" customHeight="1">
      <c r="A162" s="451">
        <v>128</v>
      </c>
      <c r="B162" s="872"/>
      <c r="C162" s="873"/>
      <c r="D162" s="478" t="s">
        <v>757</v>
      </c>
      <c r="E162" s="875"/>
      <c r="F162" s="875"/>
      <c r="G162" s="876"/>
      <c r="H162" s="877"/>
      <c r="I162" s="1135">
        <f>SUM(J162:N162)</f>
        <v>39750</v>
      </c>
      <c r="J162" s="1142"/>
      <c r="K162" s="1142"/>
      <c r="L162" s="1142">
        <v>39750</v>
      </c>
      <c r="M162" s="868"/>
      <c r="N162" s="869"/>
    </row>
    <row r="163" spans="1:14" s="878" customFormat="1" ht="18" customHeight="1">
      <c r="A163" s="451">
        <v>129</v>
      </c>
      <c r="B163" s="872"/>
      <c r="C163" s="873"/>
      <c r="D163" s="1090" t="s">
        <v>893</v>
      </c>
      <c r="E163" s="875"/>
      <c r="F163" s="875"/>
      <c r="G163" s="876"/>
      <c r="H163" s="877"/>
      <c r="I163" s="1138">
        <f>SUM(J163:N163)</f>
        <v>22377</v>
      </c>
      <c r="J163" s="1142"/>
      <c r="K163" s="1142"/>
      <c r="L163" s="1142">
        <v>22377</v>
      </c>
      <c r="M163" s="1142"/>
      <c r="N163" s="869"/>
    </row>
    <row r="164" spans="1:16" s="3" customFormat="1" ht="22.5" customHeight="1">
      <c r="A164" s="451">
        <v>130</v>
      </c>
      <c r="B164" s="119"/>
      <c r="C164" s="120">
        <v>39</v>
      </c>
      <c r="D164" s="446" t="s">
        <v>65</v>
      </c>
      <c r="E164" s="122">
        <v>2920</v>
      </c>
      <c r="F164" s="122">
        <v>2125</v>
      </c>
      <c r="G164" s="123">
        <v>1829</v>
      </c>
      <c r="H164" s="453" t="s">
        <v>22</v>
      </c>
      <c r="I164" s="1027"/>
      <c r="J164" s="1028"/>
      <c r="K164" s="1028"/>
      <c r="L164" s="1028"/>
      <c r="M164" s="1028"/>
      <c r="N164" s="1029"/>
      <c r="O164" s="8"/>
      <c r="P164" s="8"/>
    </row>
    <row r="165" spans="1:14" s="878" customFormat="1" ht="18" customHeight="1">
      <c r="A165" s="451">
        <v>131</v>
      </c>
      <c r="B165" s="872"/>
      <c r="C165" s="873"/>
      <c r="D165" s="874" t="s">
        <v>283</v>
      </c>
      <c r="E165" s="875"/>
      <c r="F165" s="875"/>
      <c r="G165" s="876"/>
      <c r="H165" s="877"/>
      <c r="I165" s="867">
        <f>SUM(J165:N165)</f>
        <v>1250</v>
      </c>
      <c r="J165" s="868"/>
      <c r="K165" s="868"/>
      <c r="L165" s="868">
        <v>1250</v>
      </c>
      <c r="M165" s="868"/>
      <c r="N165" s="869"/>
    </row>
    <row r="166" spans="1:14" s="878" customFormat="1" ht="18" customHeight="1">
      <c r="A166" s="451">
        <v>132</v>
      </c>
      <c r="B166" s="872"/>
      <c r="C166" s="873"/>
      <c r="D166" s="478" t="s">
        <v>757</v>
      </c>
      <c r="E166" s="875"/>
      <c r="F166" s="875"/>
      <c r="G166" s="876"/>
      <c r="H166" s="877"/>
      <c r="I166" s="1135">
        <f>SUM(J166:N166)</f>
        <v>1546</v>
      </c>
      <c r="J166" s="1142"/>
      <c r="K166" s="1142"/>
      <c r="L166" s="1142">
        <v>1546</v>
      </c>
      <c r="M166" s="868"/>
      <c r="N166" s="869"/>
    </row>
    <row r="167" spans="1:14" s="878" customFormat="1" ht="18" customHeight="1">
      <c r="A167" s="451">
        <v>133</v>
      </c>
      <c r="B167" s="872"/>
      <c r="C167" s="873"/>
      <c r="D167" s="1090" t="s">
        <v>892</v>
      </c>
      <c r="E167" s="875"/>
      <c r="F167" s="875"/>
      <c r="G167" s="876"/>
      <c r="H167" s="877"/>
      <c r="I167" s="1138">
        <f>SUM(J167:N167)</f>
        <v>600</v>
      </c>
      <c r="J167" s="1142"/>
      <c r="K167" s="1142"/>
      <c r="L167" s="1144">
        <v>600</v>
      </c>
      <c r="M167" s="1142"/>
      <c r="N167" s="869"/>
    </row>
    <row r="168" spans="1:14" s="878" customFormat="1" ht="22.5" customHeight="1">
      <c r="A168" s="451">
        <v>134</v>
      </c>
      <c r="B168" s="872"/>
      <c r="C168" s="120">
        <v>40</v>
      </c>
      <c r="D168" s="446" t="s">
        <v>639</v>
      </c>
      <c r="E168" s="875"/>
      <c r="F168" s="875"/>
      <c r="G168" s="876"/>
      <c r="H168" s="453" t="s">
        <v>23</v>
      </c>
      <c r="I168" s="867"/>
      <c r="J168" s="868"/>
      <c r="K168" s="868"/>
      <c r="L168" s="868"/>
      <c r="M168" s="868"/>
      <c r="N168" s="869"/>
    </row>
    <row r="169" spans="1:14" s="878" customFormat="1" ht="18" customHeight="1">
      <c r="A169" s="451">
        <v>135</v>
      </c>
      <c r="B169" s="872"/>
      <c r="C169" s="125"/>
      <c r="D169" s="874" t="s">
        <v>283</v>
      </c>
      <c r="E169" s="875"/>
      <c r="F169" s="875"/>
      <c r="G169" s="876"/>
      <c r="H169" s="453"/>
      <c r="I169" s="867">
        <f>SUM(J169:N169)</f>
        <v>50000</v>
      </c>
      <c r="J169" s="868"/>
      <c r="K169" s="868"/>
      <c r="L169" s="868">
        <v>50000</v>
      </c>
      <c r="M169" s="868"/>
      <c r="N169" s="869"/>
    </row>
    <row r="170" spans="1:14" s="878" customFormat="1" ht="18" customHeight="1">
      <c r="A170" s="451">
        <v>136</v>
      </c>
      <c r="B170" s="872"/>
      <c r="C170" s="125"/>
      <c r="D170" s="478" t="s">
        <v>757</v>
      </c>
      <c r="E170" s="875"/>
      <c r="F170" s="875"/>
      <c r="G170" s="876"/>
      <c r="H170" s="453"/>
      <c r="I170" s="1135">
        <f>SUM(J170:N170)</f>
        <v>0</v>
      </c>
      <c r="J170" s="1142"/>
      <c r="K170" s="1142"/>
      <c r="L170" s="1142">
        <v>0</v>
      </c>
      <c r="M170" s="868"/>
      <c r="N170" s="869"/>
    </row>
    <row r="171" spans="1:14" s="878" customFormat="1" ht="18" customHeight="1">
      <c r="A171" s="451">
        <v>137</v>
      </c>
      <c r="B171" s="872"/>
      <c r="C171" s="125"/>
      <c r="D171" s="1090" t="s">
        <v>892</v>
      </c>
      <c r="E171" s="875"/>
      <c r="F171" s="875"/>
      <c r="G171" s="876"/>
      <c r="H171" s="453"/>
      <c r="I171" s="1138">
        <f>SUM(J171:N171)</f>
        <v>0</v>
      </c>
      <c r="J171" s="1142"/>
      <c r="K171" s="1142"/>
      <c r="L171" s="1144">
        <v>0</v>
      </c>
      <c r="M171" s="868"/>
      <c r="N171" s="869"/>
    </row>
    <row r="172" spans="1:14" s="878" customFormat="1" ht="22.5" customHeight="1">
      <c r="A172" s="451">
        <v>138</v>
      </c>
      <c r="B172" s="872"/>
      <c r="C172" s="120">
        <v>41</v>
      </c>
      <c r="D172" s="446" t="s">
        <v>640</v>
      </c>
      <c r="E172" s="875"/>
      <c r="F172" s="875"/>
      <c r="G172" s="876"/>
      <c r="H172" s="453" t="s">
        <v>23</v>
      </c>
      <c r="I172" s="867"/>
      <c r="J172" s="868"/>
      <c r="K172" s="868"/>
      <c r="L172" s="868"/>
      <c r="M172" s="868"/>
      <c r="N172" s="869"/>
    </row>
    <row r="173" spans="1:14" s="878" customFormat="1" ht="18" customHeight="1">
      <c r="A173" s="451">
        <v>139</v>
      </c>
      <c r="B173" s="872"/>
      <c r="C173" s="873"/>
      <c r="D173" s="874" t="s">
        <v>283</v>
      </c>
      <c r="E173" s="875"/>
      <c r="F173" s="875"/>
      <c r="G173" s="876"/>
      <c r="H173" s="877"/>
      <c r="I173" s="867">
        <f>SUM(J173:N173)</f>
        <v>3200</v>
      </c>
      <c r="J173" s="868"/>
      <c r="K173" s="868"/>
      <c r="L173" s="868">
        <v>3200</v>
      </c>
      <c r="M173" s="868"/>
      <c r="N173" s="869"/>
    </row>
    <row r="174" spans="1:14" s="878" customFormat="1" ht="18" customHeight="1">
      <c r="A174" s="451">
        <v>140</v>
      </c>
      <c r="B174" s="872"/>
      <c r="C174" s="873"/>
      <c r="D174" s="478" t="s">
        <v>757</v>
      </c>
      <c r="E174" s="875"/>
      <c r="F174" s="875"/>
      <c r="G174" s="876"/>
      <c r="H174" s="877"/>
      <c r="I174" s="1135">
        <f>SUM(J174:N174)</f>
        <v>3200</v>
      </c>
      <c r="J174" s="1142"/>
      <c r="K174" s="1142"/>
      <c r="L174" s="1142">
        <v>3200</v>
      </c>
      <c r="M174" s="868"/>
      <c r="N174" s="869"/>
    </row>
    <row r="175" spans="1:14" s="878" customFormat="1" ht="18" customHeight="1">
      <c r="A175" s="451">
        <v>141</v>
      </c>
      <c r="B175" s="872"/>
      <c r="C175" s="873"/>
      <c r="D175" s="1090" t="s">
        <v>893</v>
      </c>
      <c r="E175" s="875"/>
      <c r="F175" s="875"/>
      <c r="G175" s="876"/>
      <c r="H175" s="877"/>
      <c r="I175" s="1138">
        <f>SUM(J175:N175)</f>
        <v>0</v>
      </c>
      <c r="J175" s="1142"/>
      <c r="K175" s="1142"/>
      <c r="L175" s="1142">
        <v>0</v>
      </c>
      <c r="M175" s="868"/>
      <c r="N175" s="869"/>
    </row>
    <row r="176" spans="1:16" s="87" customFormat="1" ht="22.5" customHeight="1">
      <c r="A176" s="451">
        <v>142</v>
      </c>
      <c r="B176" s="447"/>
      <c r="C176" s="120">
        <v>42</v>
      </c>
      <c r="D176" s="446" t="s">
        <v>11</v>
      </c>
      <c r="E176" s="122">
        <v>38100</v>
      </c>
      <c r="F176" s="122">
        <v>38100</v>
      </c>
      <c r="G176" s="123">
        <v>38100</v>
      </c>
      <c r="H176" s="453" t="s">
        <v>23</v>
      </c>
      <c r="I176" s="1027"/>
      <c r="J176" s="1028"/>
      <c r="K176" s="1028"/>
      <c r="L176" s="1028"/>
      <c r="M176" s="1028"/>
      <c r="N176" s="1029"/>
      <c r="O176" s="442"/>
      <c r="P176" s="442"/>
    </row>
    <row r="177" spans="1:14" s="878" customFormat="1" ht="18" customHeight="1">
      <c r="A177" s="451">
        <v>143</v>
      </c>
      <c r="B177" s="872"/>
      <c r="C177" s="873"/>
      <c r="D177" s="874" t="s">
        <v>283</v>
      </c>
      <c r="E177" s="875"/>
      <c r="F177" s="875"/>
      <c r="G177" s="876"/>
      <c r="H177" s="877"/>
      <c r="I177" s="867">
        <f>SUM(J177:N177)</f>
        <v>9525</v>
      </c>
      <c r="J177" s="868"/>
      <c r="K177" s="868"/>
      <c r="L177" s="868">
        <f>100+9425</f>
        <v>9525</v>
      </c>
      <c r="M177" s="868"/>
      <c r="N177" s="869"/>
    </row>
    <row r="178" spans="1:14" s="878" customFormat="1" ht="18" customHeight="1">
      <c r="A178" s="451">
        <v>144</v>
      </c>
      <c r="B178" s="872"/>
      <c r="C178" s="873"/>
      <c r="D178" s="478" t="s">
        <v>757</v>
      </c>
      <c r="E178" s="875"/>
      <c r="F178" s="875"/>
      <c r="G178" s="876"/>
      <c r="H178" s="877"/>
      <c r="I178" s="1135">
        <f>SUM(J178:N178)</f>
        <v>9525</v>
      </c>
      <c r="J178" s="1142"/>
      <c r="K178" s="1142"/>
      <c r="L178" s="1142">
        <v>9525</v>
      </c>
      <c r="M178" s="868"/>
      <c r="N178" s="869"/>
    </row>
    <row r="179" spans="1:14" s="878" customFormat="1" ht="18" customHeight="1">
      <c r="A179" s="451">
        <v>145</v>
      </c>
      <c r="B179" s="872"/>
      <c r="C179" s="873"/>
      <c r="D179" s="1090" t="s">
        <v>893</v>
      </c>
      <c r="E179" s="875"/>
      <c r="F179" s="875"/>
      <c r="G179" s="876"/>
      <c r="H179" s="877"/>
      <c r="I179" s="1138">
        <f>SUM(J179:N179)</f>
        <v>3175</v>
      </c>
      <c r="J179" s="1142"/>
      <c r="K179" s="1142"/>
      <c r="L179" s="1142">
        <v>3175</v>
      </c>
      <c r="M179" s="868"/>
      <c r="N179" s="869"/>
    </row>
    <row r="180" spans="1:16" s="87" customFormat="1" ht="22.5" customHeight="1">
      <c r="A180" s="451">
        <v>146</v>
      </c>
      <c r="B180" s="447"/>
      <c r="C180" s="120">
        <v>43</v>
      </c>
      <c r="D180" s="446" t="s">
        <v>66</v>
      </c>
      <c r="E180" s="122">
        <v>4366</v>
      </c>
      <c r="F180" s="122">
        <v>4250</v>
      </c>
      <c r="G180" s="123">
        <v>1624</v>
      </c>
      <c r="H180" s="453" t="s">
        <v>23</v>
      </c>
      <c r="I180" s="1027"/>
      <c r="J180" s="1028"/>
      <c r="K180" s="1028"/>
      <c r="L180" s="1028"/>
      <c r="M180" s="1028"/>
      <c r="N180" s="1029"/>
      <c r="O180" s="442"/>
      <c r="P180" s="442"/>
    </row>
    <row r="181" spans="1:14" s="878" customFormat="1" ht="18" customHeight="1">
      <c r="A181" s="451">
        <v>147</v>
      </c>
      <c r="B181" s="872"/>
      <c r="C181" s="873"/>
      <c r="D181" s="874" t="s">
        <v>283</v>
      </c>
      <c r="E181" s="875"/>
      <c r="F181" s="875"/>
      <c r="G181" s="876"/>
      <c r="H181" s="877"/>
      <c r="I181" s="867">
        <f>SUM(J181:N181)</f>
        <v>5000</v>
      </c>
      <c r="J181" s="868"/>
      <c r="K181" s="868"/>
      <c r="L181" s="868">
        <v>5000</v>
      </c>
      <c r="M181" s="868"/>
      <c r="N181" s="869"/>
    </row>
    <row r="182" spans="1:14" s="878" customFormat="1" ht="18" customHeight="1">
      <c r="A182" s="451">
        <v>148</v>
      </c>
      <c r="B182" s="872"/>
      <c r="C182" s="873"/>
      <c r="D182" s="478" t="s">
        <v>757</v>
      </c>
      <c r="E182" s="875"/>
      <c r="F182" s="875"/>
      <c r="G182" s="876"/>
      <c r="H182" s="877"/>
      <c r="I182" s="1135">
        <f>SUM(J182:N182)</f>
        <v>7426</v>
      </c>
      <c r="J182" s="1142"/>
      <c r="K182" s="1142"/>
      <c r="L182" s="1142">
        <v>7426</v>
      </c>
      <c r="M182" s="868"/>
      <c r="N182" s="869"/>
    </row>
    <row r="183" spans="1:14" s="878" customFormat="1" ht="18" customHeight="1">
      <c r="A183" s="451">
        <v>149</v>
      </c>
      <c r="B183" s="872"/>
      <c r="C183" s="873"/>
      <c r="D183" s="1090" t="s">
        <v>892</v>
      </c>
      <c r="E183" s="875"/>
      <c r="F183" s="875"/>
      <c r="G183" s="876"/>
      <c r="H183" s="877"/>
      <c r="I183" s="1138">
        <f>SUM(J183:N183)</f>
        <v>1567</v>
      </c>
      <c r="J183" s="1142"/>
      <c r="K183" s="1142"/>
      <c r="L183" s="1144">
        <v>1567</v>
      </c>
      <c r="M183" s="868"/>
      <c r="N183" s="869"/>
    </row>
    <row r="184" spans="1:16" s="87" customFormat="1" ht="22.5" customHeight="1">
      <c r="A184" s="451">
        <v>150</v>
      </c>
      <c r="B184" s="447"/>
      <c r="C184" s="120">
        <v>44</v>
      </c>
      <c r="D184" s="446" t="s">
        <v>67</v>
      </c>
      <c r="E184" s="122">
        <f>SUM(E188,E192,E193,E194)</f>
        <v>6240</v>
      </c>
      <c r="F184" s="122">
        <f>SUM(F188,F192,F193,F194)</f>
        <v>9435</v>
      </c>
      <c r="G184" s="123">
        <f>SUM(G188,G192,G193,G194)</f>
        <v>0</v>
      </c>
      <c r="H184" s="453" t="s">
        <v>23</v>
      </c>
      <c r="I184" s="1027"/>
      <c r="J184" s="1028"/>
      <c r="K184" s="1028"/>
      <c r="L184" s="1028"/>
      <c r="M184" s="1028"/>
      <c r="N184" s="1029"/>
      <c r="O184" s="442"/>
      <c r="P184" s="442"/>
    </row>
    <row r="185" spans="1:14" s="878" customFormat="1" ht="18" customHeight="1">
      <c r="A185" s="451">
        <v>151</v>
      </c>
      <c r="B185" s="872"/>
      <c r="C185" s="873"/>
      <c r="D185" s="874" t="s">
        <v>283</v>
      </c>
      <c r="E185" s="875"/>
      <c r="F185" s="875"/>
      <c r="G185" s="876"/>
      <c r="H185" s="877"/>
      <c r="I185" s="867">
        <f>SUM(J185:N185)</f>
        <v>3100</v>
      </c>
      <c r="J185" s="871">
        <f aca="true" t="shared" si="3" ref="J185:N186">SUM(J189,J195)</f>
        <v>0</v>
      </c>
      <c r="K185" s="871">
        <f t="shared" si="3"/>
        <v>0</v>
      </c>
      <c r="L185" s="871">
        <f t="shared" si="3"/>
        <v>0</v>
      </c>
      <c r="M185" s="871">
        <f t="shared" si="3"/>
        <v>0</v>
      </c>
      <c r="N185" s="1054">
        <f t="shared" si="3"/>
        <v>3100</v>
      </c>
    </row>
    <row r="186" spans="1:14" s="878" customFormat="1" ht="18" customHeight="1">
      <c r="A186" s="451">
        <v>152</v>
      </c>
      <c r="B186" s="872"/>
      <c r="C186" s="873"/>
      <c r="D186" s="478" t="s">
        <v>757</v>
      </c>
      <c r="E186" s="875"/>
      <c r="F186" s="875"/>
      <c r="G186" s="876"/>
      <c r="H186" s="877"/>
      <c r="I186" s="1135">
        <f>SUM(J186:N186)</f>
        <v>600</v>
      </c>
      <c r="J186" s="1147">
        <f t="shared" si="3"/>
        <v>0</v>
      </c>
      <c r="K186" s="1147">
        <f t="shared" si="3"/>
        <v>0</v>
      </c>
      <c r="L186" s="1147">
        <f t="shared" si="3"/>
        <v>0</v>
      </c>
      <c r="M186" s="1147">
        <f t="shared" si="3"/>
        <v>0</v>
      </c>
      <c r="N186" s="1160">
        <f t="shared" si="3"/>
        <v>600</v>
      </c>
    </row>
    <row r="187" spans="1:14" s="878" customFormat="1" ht="18" customHeight="1">
      <c r="A187" s="451">
        <v>153</v>
      </c>
      <c r="B187" s="872"/>
      <c r="C187" s="873"/>
      <c r="D187" s="1090" t="s">
        <v>893</v>
      </c>
      <c r="E187" s="875"/>
      <c r="F187" s="875"/>
      <c r="G187" s="876"/>
      <c r="H187" s="877"/>
      <c r="I187" s="1138">
        <f>SUM(J187:N187)</f>
        <v>0</v>
      </c>
      <c r="J187" s="1149">
        <f>J191+J197</f>
        <v>0</v>
      </c>
      <c r="K187" s="1149">
        <f>K191+K197</f>
        <v>0</v>
      </c>
      <c r="L187" s="1149">
        <f>L191+L197</f>
        <v>0</v>
      </c>
      <c r="M187" s="1149">
        <f>M191+M197</f>
        <v>0</v>
      </c>
      <c r="N187" s="1161">
        <f>N191+N197</f>
        <v>0</v>
      </c>
    </row>
    <row r="188" spans="1:16" s="460" customFormat="1" ht="18" customHeight="1">
      <c r="A188" s="451">
        <v>154</v>
      </c>
      <c r="B188" s="129"/>
      <c r="C188" s="125"/>
      <c r="D188" s="344" t="s">
        <v>68</v>
      </c>
      <c r="E188" s="122"/>
      <c r="F188" s="130">
        <v>4250</v>
      </c>
      <c r="G188" s="131">
        <v>0</v>
      </c>
      <c r="H188" s="454"/>
      <c r="I188" s="870"/>
      <c r="J188" s="1028"/>
      <c r="K188" s="1028"/>
      <c r="L188" s="1028"/>
      <c r="M188" s="1028"/>
      <c r="N188" s="1026"/>
      <c r="P188" s="461"/>
    </row>
    <row r="189" spans="1:16" s="896" customFormat="1" ht="18" customHeight="1">
      <c r="A189" s="451">
        <v>155</v>
      </c>
      <c r="B189" s="885"/>
      <c r="C189" s="873"/>
      <c r="D189" s="894" t="s">
        <v>283</v>
      </c>
      <c r="E189" s="875"/>
      <c r="F189" s="887"/>
      <c r="G189" s="888"/>
      <c r="H189" s="889"/>
      <c r="I189" s="870">
        <f>SUM(J189:N189)</f>
        <v>2500</v>
      </c>
      <c r="J189" s="890"/>
      <c r="K189" s="890"/>
      <c r="L189" s="890"/>
      <c r="M189" s="890"/>
      <c r="N189" s="891">
        <v>2500</v>
      </c>
      <c r="P189" s="897"/>
    </row>
    <row r="190" spans="1:16" s="896" customFormat="1" ht="18" customHeight="1">
      <c r="A190" s="451">
        <v>156</v>
      </c>
      <c r="B190" s="885"/>
      <c r="C190" s="873"/>
      <c r="D190" s="1134" t="s">
        <v>757</v>
      </c>
      <c r="E190" s="875"/>
      <c r="F190" s="887"/>
      <c r="G190" s="888"/>
      <c r="H190" s="889"/>
      <c r="I190" s="870">
        <f>SUM(J190:N190)</f>
        <v>0</v>
      </c>
      <c r="J190" s="890"/>
      <c r="K190" s="890"/>
      <c r="L190" s="890"/>
      <c r="M190" s="890"/>
      <c r="N190" s="891">
        <v>0</v>
      </c>
      <c r="P190" s="897"/>
    </row>
    <row r="191" spans="1:16" s="896" customFormat="1" ht="18" customHeight="1">
      <c r="A191" s="451">
        <v>157</v>
      </c>
      <c r="B191" s="885"/>
      <c r="C191" s="873"/>
      <c r="D191" s="1134" t="s">
        <v>892</v>
      </c>
      <c r="E191" s="875"/>
      <c r="F191" s="887"/>
      <c r="G191" s="888"/>
      <c r="H191" s="889"/>
      <c r="I191" s="1138">
        <f>SUM(J191:N191)</f>
        <v>0</v>
      </c>
      <c r="J191" s="1145"/>
      <c r="K191" s="1145"/>
      <c r="L191" s="1145"/>
      <c r="M191" s="1145"/>
      <c r="N191" s="1143">
        <v>0</v>
      </c>
      <c r="P191" s="897"/>
    </row>
    <row r="192" spans="1:16" s="460" customFormat="1" ht="18" customHeight="1">
      <c r="A192" s="451">
        <v>158</v>
      </c>
      <c r="B192" s="129"/>
      <c r="C192" s="125"/>
      <c r="D192" s="344" t="s">
        <v>69</v>
      </c>
      <c r="E192" s="130">
        <v>5140</v>
      </c>
      <c r="F192" s="130">
        <v>4250</v>
      </c>
      <c r="G192" s="131">
        <v>0</v>
      </c>
      <c r="H192" s="454"/>
      <c r="I192" s="1027"/>
      <c r="J192" s="1028"/>
      <c r="K192" s="1028"/>
      <c r="L192" s="1028"/>
      <c r="M192" s="1028"/>
      <c r="N192" s="1029"/>
      <c r="P192" s="461"/>
    </row>
    <row r="193" spans="1:16" s="460" customFormat="1" ht="18" customHeight="1">
      <c r="A193" s="451">
        <v>159</v>
      </c>
      <c r="B193" s="129"/>
      <c r="C193" s="125"/>
      <c r="D193" s="344" t="s">
        <v>497</v>
      </c>
      <c r="E193" s="130">
        <v>500</v>
      </c>
      <c r="F193" s="130">
        <v>425</v>
      </c>
      <c r="G193" s="131">
        <v>0</v>
      </c>
      <c r="H193" s="454"/>
      <c r="I193" s="1027"/>
      <c r="J193" s="1028"/>
      <c r="K193" s="1028"/>
      <c r="L193" s="1028"/>
      <c r="M193" s="1028"/>
      <c r="N193" s="1029"/>
      <c r="P193" s="461"/>
    </row>
    <row r="194" spans="1:16" s="460" customFormat="1" ht="18" customHeight="1">
      <c r="A194" s="451">
        <v>160</v>
      </c>
      <c r="B194" s="129"/>
      <c r="C194" s="125"/>
      <c r="D194" s="344" t="s">
        <v>498</v>
      </c>
      <c r="E194" s="130">
        <v>600</v>
      </c>
      <c r="F194" s="130">
        <v>510</v>
      </c>
      <c r="G194" s="131">
        <v>0</v>
      </c>
      <c r="H194" s="454"/>
      <c r="I194" s="1027"/>
      <c r="J194" s="1028"/>
      <c r="K194" s="1028"/>
      <c r="L194" s="1028"/>
      <c r="M194" s="1028"/>
      <c r="N194" s="1029"/>
      <c r="P194" s="461"/>
    </row>
    <row r="195" spans="1:16" s="896" customFormat="1" ht="18" customHeight="1">
      <c r="A195" s="451">
        <v>161</v>
      </c>
      <c r="B195" s="885"/>
      <c r="C195" s="873"/>
      <c r="D195" s="894" t="s">
        <v>283</v>
      </c>
      <c r="E195" s="875"/>
      <c r="F195" s="887"/>
      <c r="G195" s="888"/>
      <c r="H195" s="889"/>
      <c r="I195" s="870">
        <f>SUM(J195:N195)</f>
        <v>600</v>
      </c>
      <c r="J195" s="890"/>
      <c r="K195" s="890"/>
      <c r="L195" s="890"/>
      <c r="M195" s="890"/>
      <c r="N195" s="891">
        <v>600</v>
      </c>
      <c r="P195" s="897"/>
    </row>
    <row r="196" spans="1:16" s="896" customFormat="1" ht="18" customHeight="1">
      <c r="A196" s="451">
        <v>162</v>
      </c>
      <c r="B196" s="885"/>
      <c r="C196" s="873"/>
      <c r="D196" s="1134" t="s">
        <v>757</v>
      </c>
      <c r="E196" s="875"/>
      <c r="F196" s="887"/>
      <c r="G196" s="888"/>
      <c r="H196" s="889"/>
      <c r="I196" s="1137">
        <f>SUM(J196:N196)</f>
        <v>600</v>
      </c>
      <c r="J196" s="890"/>
      <c r="K196" s="890"/>
      <c r="L196" s="890"/>
      <c r="M196" s="890"/>
      <c r="N196" s="1146">
        <v>600</v>
      </c>
      <c r="P196" s="897"/>
    </row>
    <row r="197" spans="1:16" s="896" customFormat="1" ht="18" customHeight="1">
      <c r="A197" s="451">
        <v>163</v>
      </c>
      <c r="B197" s="885"/>
      <c r="C197" s="873"/>
      <c r="D197" s="1134" t="s">
        <v>893</v>
      </c>
      <c r="E197" s="875"/>
      <c r="F197" s="887"/>
      <c r="G197" s="888"/>
      <c r="H197" s="889"/>
      <c r="I197" s="1138">
        <f>SUM(J197:N197)</f>
        <v>0</v>
      </c>
      <c r="J197" s="1145"/>
      <c r="K197" s="1145"/>
      <c r="L197" s="1145"/>
      <c r="M197" s="1145"/>
      <c r="N197" s="1146">
        <v>0</v>
      </c>
      <c r="P197" s="897"/>
    </row>
    <row r="198" spans="1:16" s="87" customFormat="1" ht="22.5" customHeight="1">
      <c r="A198" s="451">
        <v>164</v>
      </c>
      <c r="B198" s="447"/>
      <c r="C198" s="120">
        <v>45</v>
      </c>
      <c r="D198" s="446" t="s">
        <v>324</v>
      </c>
      <c r="E198" s="122">
        <f>SUM(E202,E203,E207,E208)</f>
        <v>13522</v>
      </c>
      <c r="F198" s="122">
        <f>SUM(F202,F203,F207,F208)</f>
        <v>20060</v>
      </c>
      <c r="G198" s="123">
        <f>SUM(G202,G203,G207,G208)</f>
        <v>5555</v>
      </c>
      <c r="H198" s="453" t="s">
        <v>23</v>
      </c>
      <c r="I198" s="1027"/>
      <c r="J198" s="1028"/>
      <c r="K198" s="1028"/>
      <c r="L198" s="1028"/>
      <c r="M198" s="1028"/>
      <c r="N198" s="1029"/>
      <c r="O198" s="442"/>
      <c r="P198" s="442"/>
    </row>
    <row r="199" spans="1:14" s="878" customFormat="1" ht="18" customHeight="1">
      <c r="A199" s="451">
        <v>165</v>
      </c>
      <c r="B199" s="872"/>
      <c r="C199" s="873"/>
      <c r="D199" s="874" t="s">
        <v>283</v>
      </c>
      <c r="E199" s="875"/>
      <c r="F199" s="875"/>
      <c r="G199" s="876"/>
      <c r="H199" s="877"/>
      <c r="I199" s="867">
        <f>SUM(J199:N199)</f>
        <v>4200</v>
      </c>
      <c r="J199" s="871">
        <f aca="true" t="shared" si="4" ref="J199:N200">SUM(J204,J209)</f>
        <v>0</v>
      </c>
      <c r="K199" s="871">
        <f t="shared" si="4"/>
        <v>0</v>
      </c>
      <c r="L199" s="871">
        <f t="shared" si="4"/>
        <v>100</v>
      </c>
      <c r="M199" s="871">
        <f t="shared" si="4"/>
        <v>0</v>
      </c>
      <c r="N199" s="1054">
        <f t="shared" si="4"/>
        <v>4100</v>
      </c>
    </row>
    <row r="200" spans="1:14" s="878" customFormat="1" ht="18" customHeight="1">
      <c r="A200" s="451">
        <v>166</v>
      </c>
      <c r="B200" s="872"/>
      <c r="C200" s="873"/>
      <c r="D200" s="1457" t="s">
        <v>757</v>
      </c>
      <c r="E200" s="875"/>
      <c r="F200" s="875"/>
      <c r="G200" s="876"/>
      <c r="H200" s="877"/>
      <c r="I200" s="1135">
        <f>SUM(J200:N200)</f>
        <v>4200</v>
      </c>
      <c r="J200" s="1147">
        <f t="shared" si="4"/>
        <v>0</v>
      </c>
      <c r="K200" s="1147">
        <f t="shared" si="4"/>
        <v>0</v>
      </c>
      <c r="L200" s="1147">
        <f t="shared" si="4"/>
        <v>100</v>
      </c>
      <c r="M200" s="1147">
        <f t="shared" si="4"/>
        <v>0</v>
      </c>
      <c r="N200" s="1160">
        <f t="shared" si="4"/>
        <v>4100</v>
      </c>
    </row>
    <row r="201" spans="1:14" s="878" customFormat="1" ht="18" customHeight="1">
      <c r="A201" s="451">
        <v>167</v>
      </c>
      <c r="B201" s="872"/>
      <c r="C201" s="873"/>
      <c r="D201" s="1090" t="s">
        <v>893</v>
      </c>
      <c r="E201" s="875"/>
      <c r="F201" s="875"/>
      <c r="G201" s="876"/>
      <c r="H201" s="877"/>
      <c r="I201" s="1138">
        <f>SUM(J201:N201)</f>
        <v>0</v>
      </c>
      <c r="J201" s="1149">
        <f>J206+J211</f>
        <v>0</v>
      </c>
      <c r="K201" s="1149">
        <f>K206+K211</f>
        <v>0</v>
      </c>
      <c r="L201" s="1149">
        <f>L206+L211</f>
        <v>0</v>
      </c>
      <c r="M201" s="1149">
        <f>M206+M211</f>
        <v>0</v>
      </c>
      <c r="N201" s="1161">
        <f>N206+N211</f>
        <v>0</v>
      </c>
    </row>
    <row r="202" spans="1:16" s="460" customFormat="1" ht="18" customHeight="1">
      <c r="A202" s="451">
        <v>168</v>
      </c>
      <c r="B202" s="129"/>
      <c r="C202" s="125"/>
      <c r="D202" s="344" t="s">
        <v>259</v>
      </c>
      <c r="E202" s="130">
        <v>4000</v>
      </c>
      <c r="F202" s="130">
        <v>3400</v>
      </c>
      <c r="G202" s="131">
        <v>0</v>
      </c>
      <c r="H202" s="454"/>
      <c r="I202" s="870"/>
      <c r="J202" s="1025"/>
      <c r="K202" s="1025"/>
      <c r="L202" s="1025"/>
      <c r="M202" s="1025"/>
      <c r="N202" s="1026"/>
      <c r="P202" s="461"/>
    </row>
    <row r="203" spans="1:16" s="460" customFormat="1" ht="18" customHeight="1">
      <c r="A203" s="451">
        <v>169</v>
      </c>
      <c r="B203" s="129"/>
      <c r="C203" s="125"/>
      <c r="D203" s="344" t="s">
        <v>300</v>
      </c>
      <c r="E203" s="130">
        <v>5100</v>
      </c>
      <c r="F203" s="130">
        <v>11900</v>
      </c>
      <c r="G203" s="131">
        <v>5555</v>
      </c>
      <c r="H203" s="454"/>
      <c r="I203" s="870"/>
      <c r="J203" s="1028"/>
      <c r="K203" s="1028"/>
      <c r="L203" s="1028"/>
      <c r="M203" s="1028"/>
      <c r="N203" s="1029"/>
      <c r="P203" s="461"/>
    </row>
    <row r="204" spans="1:16" s="896" customFormat="1" ht="18" customHeight="1">
      <c r="A204" s="451">
        <v>170</v>
      </c>
      <c r="B204" s="885"/>
      <c r="C204" s="873"/>
      <c r="D204" s="894" t="s">
        <v>283</v>
      </c>
      <c r="E204" s="887"/>
      <c r="F204" s="887"/>
      <c r="G204" s="888"/>
      <c r="H204" s="889"/>
      <c r="I204" s="870">
        <f>SUM(J204:N204)</f>
        <v>2500</v>
      </c>
      <c r="J204" s="890"/>
      <c r="K204" s="890"/>
      <c r="L204" s="890"/>
      <c r="M204" s="890"/>
      <c r="N204" s="891">
        <v>2500</v>
      </c>
      <c r="P204" s="897"/>
    </row>
    <row r="205" spans="1:16" s="896" customFormat="1" ht="18" customHeight="1">
      <c r="A205" s="451">
        <v>171</v>
      </c>
      <c r="B205" s="885"/>
      <c r="C205" s="873"/>
      <c r="D205" s="1134" t="s">
        <v>757</v>
      </c>
      <c r="E205" s="887"/>
      <c r="F205" s="887"/>
      <c r="G205" s="888"/>
      <c r="H205" s="889"/>
      <c r="I205" s="1137">
        <f>SUM(J205:N205)</f>
        <v>2500</v>
      </c>
      <c r="J205" s="1145"/>
      <c r="K205" s="1145"/>
      <c r="L205" s="1145"/>
      <c r="M205" s="1145"/>
      <c r="N205" s="1146">
        <v>2500</v>
      </c>
      <c r="P205" s="897"/>
    </row>
    <row r="206" spans="1:16" s="896" customFormat="1" ht="18" customHeight="1">
      <c r="A206" s="451">
        <v>172</v>
      </c>
      <c r="B206" s="885"/>
      <c r="C206" s="873"/>
      <c r="D206" s="1134" t="s">
        <v>893</v>
      </c>
      <c r="E206" s="887"/>
      <c r="F206" s="887"/>
      <c r="G206" s="888"/>
      <c r="H206" s="889"/>
      <c r="I206" s="1138">
        <f>SUM(J206:N206)</f>
        <v>0</v>
      </c>
      <c r="J206" s="1145"/>
      <c r="K206" s="1145"/>
      <c r="L206" s="1145"/>
      <c r="M206" s="1145"/>
      <c r="N206" s="1146">
        <v>0</v>
      </c>
      <c r="P206" s="897"/>
    </row>
    <row r="207" spans="1:16" s="460" customFormat="1" ht="18" customHeight="1">
      <c r="A207" s="451">
        <v>173</v>
      </c>
      <c r="B207" s="129"/>
      <c r="C207" s="125"/>
      <c r="D207" s="344" t="s">
        <v>261</v>
      </c>
      <c r="E207" s="130">
        <v>2822</v>
      </c>
      <c r="F207" s="130">
        <v>3400</v>
      </c>
      <c r="G207" s="131">
        <v>0</v>
      </c>
      <c r="H207" s="454"/>
      <c r="I207" s="870"/>
      <c r="J207" s="1028"/>
      <c r="K207" s="1028"/>
      <c r="L207" s="1028"/>
      <c r="M207" s="1028"/>
      <c r="N207" s="1029"/>
      <c r="P207" s="461"/>
    </row>
    <row r="208" spans="1:16" s="460" customFormat="1" ht="18" customHeight="1">
      <c r="A208" s="451">
        <v>174</v>
      </c>
      <c r="B208" s="129"/>
      <c r="C208" s="125"/>
      <c r="D208" s="344" t="s">
        <v>260</v>
      </c>
      <c r="E208" s="130">
        <v>1600</v>
      </c>
      <c r="F208" s="130">
        <v>1360</v>
      </c>
      <c r="G208" s="131">
        <v>0</v>
      </c>
      <c r="H208" s="454"/>
      <c r="I208" s="870"/>
      <c r="J208" s="1028"/>
      <c r="K208" s="1028"/>
      <c r="L208" s="1028"/>
      <c r="M208" s="1028"/>
      <c r="N208" s="1029"/>
      <c r="P208" s="461"/>
    </row>
    <row r="209" spans="1:16" s="896" customFormat="1" ht="18" customHeight="1">
      <c r="A209" s="451">
        <v>175</v>
      </c>
      <c r="B209" s="885"/>
      <c r="C209" s="873"/>
      <c r="D209" s="894" t="s">
        <v>283</v>
      </c>
      <c r="E209" s="875"/>
      <c r="F209" s="887"/>
      <c r="G209" s="888"/>
      <c r="H209" s="889"/>
      <c r="I209" s="870">
        <f>SUM(J209:N209)</f>
        <v>1700</v>
      </c>
      <c r="J209" s="890"/>
      <c r="K209" s="890"/>
      <c r="L209" s="890">
        <v>100</v>
      </c>
      <c r="M209" s="890"/>
      <c r="N209" s="891">
        <v>1600</v>
      </c>
      <c r="P209" s="897"/>
    </row>
    <row r="210" spans="1:16" s="896" customFormat="1" ht="18" customHeight="1">
      <c r="A210" s="451">
        <v>176</v>
      </c>
      <c r="B210" s="885"/>
      <c r="C210" s="873"/>
      <c r="D210" s="1134" t="s">
        <v>757</v>
      </c>
      <c r="E210" s="875"/>
      <c r="F210" s="887"/>
      <c r="G210" s="888"/>
      <c r="H210" s="889"/>
      <c r="I210" s="1137">
        <f>SUM(J210:N210)</f>
        <v>1700</v>
      </c>
      <c r="J210" s="1145"/>
      <c r="K210" s="1145"/>
      <c r="L210" s="1145">
        <v>100</v>
      </c>
      <c r="M210" s="1145"/>
      <c r="N210" s="1146">
        <v>1600</v>
      </c>
      <c r="P210" s="897"/>
    </row>
    <row r="211" spans="1:16" s="896" customFormat="1" ht="18" customHeight="1">
      <c r="A211" s="451">
        <v>177</v>
      </c>
      <c r="B211" s="885"/>
      <c r="C211" s="873"/>
      <c r="D211" s="1134" t="s">
        <v>893</v>
      </c>
      <c r="E211" s="875"/>
      <c r="F211" s="887"/>
      <c r="G211" s="888"/>
      <c r="H211" s="889"/>
      <c r="I211" s="1138">
        <f>SUM(J211:N211)</f>
        <v>0</v>
      </c>
      <c r="J211" s="1145"/>
      <c r="K211" s="1145"/>
      <c r="L211" s="1145">
        <v>0</v>
      </c>
      <c r="M211" s="1145"/>
      <c r="N211" s="1146">
        <v>0</v>
      </c>
      <c r="P211" s="897"/>
    </row>
    <row r="212" spans="1:16" s="115" customFormat="1" ht="22.5" customHeight="1">
      <c r="A212" s="451">
        <v>178</v>
      </c>
      <c r="B212" s="448"/>
      <c r="C212" s="120">
        <v>46</v>
      </c>
      <c r="D212" s="446" t="s">
        <v>356</v>
      </c>
      <c r="E212" s="122">
        <v>4667</v>
      </c>
      <c r="F212" s="130">
        <v>4250</v>
      </c>
      <c r="G212" s="131">
        <v>0</v>
      </c>
      <c r="H212" s="453" t="s">
        <v>23</v>
      </c>
      <c r="I212" s="870"/>
      <c r="J212" s="1025"/>
      <c r="K212" s="1025"/>
      <c r="L212" s="1025"/>
      <c r="M212" s="1025"/>
      <c r="N212" s="1026"/>
      <c r="P212" s="442"/>
    </row>
    <row r="213" spans="1:16" s="892" customFormat="1" ht="18" customHeight="1">
      <c r="A213" s="451">
        <v>179</v>
      </c>
      <c r="B213" s="885"/>
      <c r="C213" s="873"/>
      <c r="D213" s="874" t="s">
        <v>283</v>
      </c>
      <c r="E213" s="875"/>
      <c r="F213" s="887"/>
      <c r="G213" s="888"/>
      <c r="H213" s="889"/>
      <c r="I213" s="867">
        <f>SUM(J213:N213)</f>
        <v>5000</v>
      </c>
      <c r="J213" s="890"/>
      <c r="K213" s="890"/>
      <c r="L213" s="890"/>
      <c r="M213" s="890"/>
      <c r="N213" s="891">
        <v>5000</v>
      </c>
      <c r="P213" s="878"/>
    </row>
    <row r="214" spans="1:16" s="892" customFormat="1" ht="18" customHeight="1">
      <c r="A214" s="451">
        <v>180</v>
      </c>
      <c r="B214" s="885"/>
      <c r="C214" s="873"/>
      <c r="D214" s="1457" t="s">
        <v>757</v>
      </c>
      <c r="E214" s="875"/>
      <c r="F214" s="887"/>
      <c r="G214" s="888"/>
      <c r="H214" s="889"/>
      <c r="I214" s="1135">
        <f>SUM(J214:N214)</f>
        <v>5000</v>
      </c>
      <c r="J214" s="890"/>
      <c r="K214" s="890"/>
      <c r="L214" s="890"/>
      <c r="M214" s="890"/>
      <c r="N214" s="1146">
        <v>5000</v>
      </c>
      <c r="P214" s="878"/>
    </row>
    <row r="215" spans="1:16" s="892" customFormat="1" ht="18" customHeight="1">
      <c r="A215" s="451">
        <v>181</v>
      </c>
      <c r="B215" s="885"/>
      <c r="C215" s="873"/>
      <c r="D215" s="1090" t="s">
        <v>893</v>
      </c>
      <c r="E215" s="875"/>
      <c r="F215" s="887"/>
      <c r="G215" s="888"/>
      <c r="H215" s="889"/>
      <c r="I215" s="1138">
        <f>SUM(J215:N215)</f>
        <v>0</v>
      </c>
      <c r="J215" s="1145"/>
      <c r="K215" s="1145"/>
      <c r="L215" s="1145"/>
      <c r="M215" s="1145"/>
      <c r="N215" s="1146">
        <v>0</v>
      </c>
      <c r="P215" s="878"/>
    </row>
    <row r="216" spans="1:16" s="87" customFormat="1" ht="22.5" customHeight="1">
      <c r="A216" s="451">
        <v>182</v>
      </c>
      <c r="B216" s="447"/>
      <c r="C216" s="120">
        <v>47</v>
      </c>
      <c r="D216" s="446" t="s">
        <v>325</v>
      </c>
      <c r="E216" s="122">
        <v>938</v>
      </c>
      <c r="F216" s="122">
        <v>1700</v>
      </c>
      <c r="G216" s="123">
        <v>829</v>
      </c>
      <c r="H216" s="453" t="s">
        <v>22</v>
      </c>
      <c r="I216" s="870"/>
      <c r="J216" s="1028"/>
      <c r="K216" s="1028"/>
      <c r="L216" s="1028"/>
      <c r="M216" s="1028"/>
      <c r="N216" s="1029"/>
      <c r="O216" s="442"/>
      <c r="P216" s="442"/>
    </row>
    <row r="217" spans="1:14" s="878" customFormat="1" ht="18" customHeight="1">
      <c r="A217" s="451">
        <v>183</v>
      </c>
      <c r="B217" s="872"/>
      <c r="C217" s="873"/>
      <c r="D217" s="874" t="s">
        <v>283</v>
      </c>
      <c r="E217" s="875"/>
      <c r="F217" s="875"/>
      <c r="G217" s="876"/>
      <c r="H217" s="877"/>
      <c r="I217" s="867">
        <f>SUM(J217:N217)</f>
        <v>1000</v>
      </c>
      <c r="J217" s="868"/>
      <c r="K217" s="868"/>
      <c r="L217" s="868"/>
      <c r="M217" s="868">
        <v>1000</v>
      </c>
      <c r="N217" s="869"/>
    </row>
    <row r="218" spans="1:14" s="878" customFormat="1" ht="18" customHeight="1">
      <c r="A218" s="451">
        <v>184</v>
      </c>
      <c r="B218" s="872"/>
      <c r="C218" s="873"/>
      <c r="D218" s="1457" t="s">
        <v>757</v>
      </c>
      <c r="E218" s="875"/>
      <c r="F218" s="875"/>
      <c r="G218" s="876"/>
      <c r="H218" s="877"/>
      <c r="I218" s="1135">
        <f>SUM(J218:N218)</f>
        <v>1000</v>
      </c>
      <c r="J218" s="1142"/>
      <c r="K218" s="1142"/>
      <c r="L218" s="1142"/>
      <c r="M218" s="1142">
        <v>1000</v>
      </c>
      <c r="N218" s="869"/>
    </row>
    <row r="219" spans="1:14" s="878" customFormat="1" ht="18" customHeight="1">
      <c r="A219" s="451">
        <v>185</v>
      </c>
      <c r="B219" s="872"/>
      <c r="C219" s="873"/>
      <c r="D219" s="1090" t="s">
        <v>893</v>
      </c>
      <c r="E219" s="875"/>
      <c r="F219" s="875"/>
      <c r="G219" s="876"/>
      <c r="H219" s="877"/>
      <c r="I219" s="1138">
        <f>SUM(J219:N219)</f>
        <v>0</v>
      </c>
      <c r="J219" s="1142"/>
      <c r="K219" s="1142"/>
      <c r="L219" s="1142"/>
      <c r="M219" s="1142">
        <v>0</v>
      </c>
      <c r="N219" s="1148"/>
    </row>
    <row r="220" spans="1:16" s="87" customFormat="1" ht="22.5" customHeight="1">
      <c r="A220" s="451">
        <v>186</v>
      </c>
      <c r="B220" s="447"/>
      <c r="C220" s="120">
        <v>48</v>
      </c>
      <c r="D220" s="446" t="s">
        <v>262</v>
      </c>
      <c r="E220" s="122"/>
      <c r="F220" s="122">
        <v>85</v>
      </c>
      <c r="G220" s="123">
        <v>0</v>
      </c>
      <c r="H220" s="453" t="s">
        <v>22</v>
      </c>
      <c r="I220" s="867"/>
      <c r="J220" s="1017"/>
      <c r="K220" s="1017"/>
      <c r="L220" s="1017"/>
      <c r="M220" s="1017"/>
      <c r="N220" s="1018"/>
      <c r="P220" s="442"/>
    </row>
    <row r="221" spans="1:14" s="878" customFormat="1" ht="18" customHeight="1">
      <c r="A221" s="451">
        <v>187</v>
      </c>
      <c r="B221" s="872"/>
      <c r="C221" s="873"/>
      <c r="D221" s="874" t="s">
        <v>283</v>
      </c>
      <c r="E221" s="875"/>
      <c r="F221" s="875"/>
      <c r="G221" s="876"/>
      <c r="H221" s="877"/>
      <c r="I221" s="867">
        <f>SUM(J221:N221)</f>
        <v>100</v>
      </c>
      <c r="J221" s="868"/>
      <c r="K221" s="868"/>
      <c r="L221" s="868"/>
      <c r="M221" s="868">
        <v>100</v>
      </c>
      <c r="N221" s="869"/>
    </row>
    <row r="222" spans="1:14" s="878" customFormat="1" ht="18" customHeight="1">
      <c r="A222" s="451">
        <v>188</v>
      </c>
      <c r="B222" s="872"/>
      <c r="C222" s="873"/>
      <c r="D222" s="1457" t="s">
        <v>757</v>
      </c>
      <c r="E222" s="875"/>
      <c r="F222" s="875"/>
      <c r="G222" s="876"/>
      <c r="H222" s="881"/>
      <c r="I222" s="1135">
        <f>SUM(J222:N222)</f>
        <v>100</v>
      </c>
      <c r="J222" s="1142"/>
      <c r="K222" s="1142"/>
      <c r="L222" s="1142"/>
      <c r="M222" s="1142">
        <v>100</v>
      </c>
      <c r="N222" s="869"/>
    </row>
    <row r="223" spans="1:14" s="878" customFormat="1" ht="18" customHeight="1">
      <c r="A223" s="451">
        <v>189</v>
      </c>
      <c r="B223" s="872"/>
      <c r="C223" s="873"/>
      <c r="D223" s="1090" t="s">
        <v>893</v>
      </c>
      <c r="E223" s="875"/>
      <c r="F223" s="875"/>
      <c r="G223" s="876"/>
      <c r="H223" s="881"/>
      <c r="I223" s="1138">
        <f>SUM(J223:N223)</f>
        <v>0</v>
      </c>
      <c r="J223" s="1142"/>
      <c r="K223" s="1142"/>
      <c r="L223" s="1142"/>
      <c r="M223" s="1142">
        <v>0</v>
      </c>
      <c r="N223" s="869"/>
    </row>
    <row r="224" spans="1:14" s="442" customFormat="1" ht="22.5" customHeight="1">
      <c r="A224" s="451">
        <v>190</v>
      </c>
      <c r="B224" s="444"/>
      <c r="C224" s="120">
        <v>49</v>
      </c>
      <c r="D224" s="445" t="s">
        <v>326</v>
      </c>
      <c r="E224" s="122"/>
      <c r="F224" s="122">
        <v>85</v>
      </c>
      <c r="G224" s="123">
        <v>0</v>
      </c>
      <c r="H224" s="455" t="s">
        <v>22</v>
      </c>
      <c r="I224" s="867"/>
      <c r="J224" s="1017"/>
      <c r="K224" s="1017"/>
      <c r="L224" s="1017"/>
      <c r="M224" s="1017"/>
      <c r="N224" s="1018"/>
    </row>
    <row r="225" spans="1:14" s="878" customFormat="1" ht="18" customHeight="1">
      <c r="A225" s="451">
        <v>191</v>
      </c>
      <c r="B225" s="872"/>
      <c r="C225" s="873"/>
      <c r="D225" s="874" t="s">
        <v>283</v>
      </c>
      <c r="E225" s="875"/>
      <c r="F225" s="875"/>
      <c r="G225" s="876"/>
      <c r="H225" s="881"/>
      <c r="I225" s="867">
        <f>SUM(J225:N225)</f>
        <v>85</v>
      </c>
      <c r="J225" s="868"/>
      <c r="K225" s="868"/>
      <c r="L225" s="868">
        <v>85</v>
      </c>
      <c r="M225" s="868"/>
      <c r="N225" s="869"/>
    </row>
    <row r="226" spans="1:14" s="878" customFormat="1" ht="18" customHeight="1">
      <c r="A226" s="451">
        <v>192</v>
      </c>
      <c r="B226" s="872"/>
      <c r="C226" s="873"/>
      <c r="D226" s="1457" t="s">
        <v>757</v>
      </c>
      <c r="E226" s="875"/>
      <c r="F226" s="875"/>
      <c r="G226" s="876"/>
      <c r="H226" s="881"/>
      <c r="I226" s="1135">
        <f>SUM(J226:N226)</f>
        <v>85</v>
      </c>
      <c r="J226" s="1142"/>
      <c r="K226" s="1142"/>
      <c r="L226" s="1142">
        <v>85</v>
      </c>
      <c r="M226" s="1142"/>
      <c r="N226" s="869"/>
    </row>
    <row r="227" spans="1:14" s="878" customFormat="1" ht="18" customHeight="1">
      <c r="A227" s="451">
        <v>193</v>
      </c>
      <c r="B227" s="872"/>
      <c r="C227" s="873"/>
      <c r="D227" s="1090" t="s">
        <v>893</v>
      </c>
      <c r="E227" s="875"/>
      <c r="F227" s="875"/>
      <c r="G227" s="876"/>
      <c r="H227" s="881"/>
      <c r="I227" s="1138">
        <f>SUM(J227:N227)</f>
        <v>0</v>
      </c>
      <c r="J227" s="1142"/>
      <c r="K227" s="1142"/>
      <c r="L227" s="1142">
        <v>0</v>
      </c>
      <c r="M227" s="868"/>
      <c r="N227" s="869"/>
    </row>
    <row r="228" spans="1:16" s="963" customFormat="1" ht="22.5" customHeight="1">
      <c r="A228" s="451">
        <v>194</v>
      </c>
      <c r="B228" s="447"/>
      <c r="C228" s="120">
        <v>50</v>
      </c>
      <c r="D228" s="446" t="s">
        <v>263</v>
      </c>
      <c r="E228" s="122">
        <f>SUM(E232,E244,E248,E252,E256,E260,E264,E268)+E240+E236</f>
        <v>11293</v>
      </c>
      <c r="F228" s="122">
        <f>SUM(F232,F244,F248,F252,F256,F260,F264,F268)+F240+F236</f>
        <v>17553</v>
      </c>
      <c r="G228" s="122">
        <f>SUM(G232,G244,G248,G252,G256,G260,G264,G268)+G240+G236</f>
        <v>14479</v>
      </c>
      <c r="H228" s="453"/>
      <c r="I228" s="1022"/>
      <c r="J228" s="1023"/>
      <c r="K228" s="1023"/>
      <c r="L228" s="1023"/>
      <c r="M228" s="1023"/>
      <c r="N228" s="1024"/>
      <c r="O228" s="964"/>
      <c r="P228" s="964"/>
    </row>
    <row r="229" spans="1:14" s="878" customFormat="1" ht="18" customHeight="1">
      <c r="A229" s="451">
        <v>195</v>
      </c>
      <c r="B229" s="872"/>
      <c r="C229" s="873"/>
      <c r="D229" s="874" t="s">
        <v>283</v>
      </c>
      <c r="E229" s="875"/>
      <c r="F229" s="875"/>
      <c r="G229" s="876"/>
      <c r="H229" s="877"/>
      <c r="I229" s="867">
        <f>SUM(J229:N229)</f>
        <v>30260</v>
      </c>
      <c r="J229" s="868">
        <f aca="true" t="shared" si="5" ref="J229:N230">SUM(J233,J245,J249,J253,J257,J261,J265,J269)+J237+J241</f>
        <v>0</v>
      </c>
      <c r="K229" s="868">
        <f t="shared" si="5"/>
        <v>0</v>
      </c>
      <c r="L229" s="868">
        <f t="shared" si="5"/>
        <v>0</v>
      </c>
      <c r="M229" s="868">
        <f t="shared" si="5"/>
        <v>30260</v>
      </c>
      <c r="N229" s="869">
        <f t="shared" si="5"/>
        <v>0</v>
      </c>
    </row>
    <row r="230" spans="1:14" s="878" customFormat="1" ht="18" customHeight="1">
      <c r="A230" s="451">
        <v>196</v>
      </c>
      <c r="B230" s="872"/>
      <c r="C230" s="873"/>
      <c r="D230" s="1457" t="s">
        <v>757</v>
      </c>
      <c r="E230" s="875"/>
      <c r="F230" s="875"/>
      <c r="G230" s="876"/>
      <c r="H230" s="877"/>
      <c r="I230" s="1135">
        <f>SUM(J230:N230)</f>
        <v>41218</v>
      </c>
      <c r="J230" s="1142">
        <f t="shared" si="5"/>
        <v>0</v>
      </c>
      <c r="K230" s="1142">
        <f t="shared" si="5"/>
        <v>0</v>
      </c>
      <c r="L230" s="1142">
        <f t="shared" si="5"/>
        <v>0</v>
      </c>
      <c r="M230" s="1142">
        <f t="shared" si="5"/>
        <v>41218</v>
      </c>
      <c r="N230" s="1148">
        <f t="shared" si="5"/>
        <v>0</v>
      </c>
    </row>
    <row r="231" spans="1:14" s="878" customFormat="1" ht="18" customHeight="1">
      <c r="A231" s="451">
        <v>197</v>
      </c>
      <c r="B231" s="872"/>
      <c r="C231" s="873"/>
      <c r="D231" s="1090" t="s">
        <v>893</v>
      </c>
      <c r="E231" s="875"/>
      <c r="F231" s="875"/>
      <c r="G231" s="876"/>
      <c r="H231" s="877"/>
      <c r="I231" s="1138">
        <f>SUM(J231:N231)</f>
        <v>6571</v>
      </c>
      <c r="J231" s="1145">
        <f>J235+J239+J243+J247+J251+J255+J259+J263+J267+J271</f>
        <v>0</v>
      </c>
      <c r="K231" s="1145">
        <f>K235+K239+K243+K247+K251+K255+K259+K263+K267+K271</f>
        <v>0</v>
      </c>
      <c r="L231" s="1145">
        <f>L235+L239+L243+L247+L251+L255+L259+L263+L267+L271</f>
        <v>0</v>
      </c>
      <c r="M231" s="1145">
        <f>M235+M239+M243+M247+M251+M255+M259+M263+M267+M271</f>
        <v>6571</v>
      </c>
      <c r="N231" s="1146">
        <f>N235+N239+N243+N247+N251+N255+N259+N263+N267+N271</f>
        <v>0</v>
      </c>
    </row>
    <row r="232" spans="1:16" s="460" customFormat="1" ht="18" customHeight="1">
      <c r="A232" s="451">
        <v>198</v>
      </c>
      <c r="B232" s="129"/>
      <c r="C232" s="125"/>
      <c r="D232" s="344" t="s">
        <v>267</v>
      </c>
      <c r="E232" s="130">
        <v>2021</v>
      </c>
      <c r="F232" s="130">
        <v>2125</v>
      </c>
      <c r="G232" s="131">
        <v>2152</v>
      </c>
      <c r="H232" s="454" t="s">
        <v>22</v>
      </c>
      <c r="I232" s="870"/>
      <c r="J232" s="1025"/>
      <c r="K232" s="1025"/>
      <c r="L232" s="1025"/>
      <c r="M232" s="1025"/>
      <c r="N232" s="1026"/>
      <c r="P232" s="461"/>
    </row>
    <row r="233" spans="1:16" s="896" customFormat="1" ht="18" customHeight="1">
      <c r="A233" s="451">
        <v>199</v>
      </c>
      <c r="B233" s="885"/>
      <c r="C233" s="873"/>
      <c r="D233" s="894" t="s">
        <v>283</v>
      </c>
      <c r="E233" s="887"/>
      <c r="F233" s="887"/>
      <c r="G233" s="888"/>
      <c r="H233" s="889"/>
      <c r="I233" s="870">
        <f>SUM(J233:N233)</f>
        <v>2500</v>
      </c>
      <c r="J233" s="890"/>
      <c r="K233" s="890"/>
      <c r="L233" s="890"/>
      <c r="M233" s="890">
        <v>2500</v>
      </c>
      <c r="N233" s="891"/>
      <c r="P233" s="897"/>
    </row>
    <row r="234" spans="1:16" s="896" customFormat="1" ht="18" customHeight="1">
      <c r="A234" s="451">
        <v>200</v>
      </c>
      <c r="B234" s="885"/>
      <c r="C234" s="873"/>
      <c r="D234" s="1134" t="s">
        <v>757</v>
      </c>
      <c r="E234" s="887"/>
      <c r="F234" s="887"/>
      <c r="G234" s="888"/>
      <c r="H234" s="889"/>
      <c r="I234" s="1137">
        <f>SUM(J234:N234)</f>
        <v>4508</v>
      </c>
      <c r="J234" s="1145"/>
      <c r="K234" s="1145"/>
      <c r="L234" s="1145"/>
      <c r="M234" s="1145">
        <v>4508</v>
      </c>
      <c r="N234" s="891"/>
      <c r="P234" s="897"/>
    </row>
    <row r="235" spans="1:16" s="896" customFormat="1" ht="18" customHeight="1">
      <c r="A235" s="451">
        <v>201</v>
      </c>
      <c r="B235" s="885"/>
      <c r="C235" s="873"/>
      <c r="D235" s="1134" t="s">
        <v>892</v>
      </c>
      <c r="E235" s="887"/>
      <c r="F235" s="887"/>
      <c r="G235" s="888"/>
      <c r="H235" s="889"/>
      <c r="I235" s="1138">
        <f>SUM(J235:N235)</f>
        <v>1199</v>
      </c>
      <c r="J235" s="1145"/>
      <c r="K235" s="1145"/>
      <c r="L235" s="1145"/>
      <c r="M235" s="1144">
        <v>1199</v>
      </c>
      <c r="N235" s="891"/>
      <c r="P235" s="897"/>
    </row>
    <row r="236" spans="1:16" s="896" customFormat="1" ht="18" customHeight="1">
      <c r="A236" s="451">
        <v>202</v>
      </c>
      <c r="B236" s="885"/>
      <c r="C236" s="873"/>
      <c r="D236" s="345" t="s">
        <v>641</v>
      </c>
      <c r="E236" s="887"/>
      <c r="F236" s="130"/>
      <c r="G236" s="131">
        <v>3180</v>
      </c>
      <c r="H236" s="454" t="s">
        <v>23</v>
      </c>
      <c r="I236" s="870"/>
      <c r="J236" s="890"/>
      <c r="K236" s="890"/>
      <c r="L236" s="890"/>
      <c r="M236" s="890"/>
      <c r="N236" s="891"/>
      <c r="P236" s="897"/>
    </row>
    <row r="237" spans="1:16" s="896" customFormat="1" ht="18" customHeight="1">
      <c r="A237" s="451">
        <v>203</v>
      </c>
      <c r="B237" s="885"/>
      <c r="C237" s="873"/>
      <c r="D237" s="894" t="s">
        <v>283</v>
      </c>
      <c r="E237" s="887"/>
      <c r="F237" s="887"/>
      <c r="G237" s="888"/>
      <c r="H237" s="889"/>
      <c r="I237" s="870">
        <f>SUM(J237:N237)</f>
        <v>13500</v>
      </c>
      <c r="J237" s="890"/>
      <c r="K237" s="890"/>
      <c r="L237" s="890"/>
      <c r="M237" s="890">
        <v>13500</v>
      </c>
      <c r="N237" s="891"/>
      <c r="P237" s="897"/>
    </row>
    <row r="238" spans="1:16" s="896" customFormat="1" ht="18" customHeight="1">
      <c r="A238" s="451">
        <v>204</v>
      </c>
      <c r="B238" s="885"/>
      <c r="C238" s="873"/>
      <c r="D238" s="1134" t="s">
        <v>757</v>
      </c>
      <c r="E238" s="887"/>
      <c r="F238" s="887"/>
      <c r="G238" s="888"/>
      <c r="H238" s="889"/>
      <c r="I238" s="1137">
        <f>SUM(J238:N238)</f>
        <v>18820</v>
      </c>
      <c r="J238" s="1145"/>
      <c r="K238" s="1145"/>
      <c r="L238" s="1145"/>
      <c r="M238" s="1145">
        <v>18820</v>
      </c>
      <c r="N238" s="891"/>
      <c r="P238" s="897"/>
    </row>
    <row r="239" spans="1:16" s="896" customFormat="1" ht="18" customHeight="1">
      <c r="A239" s="451">
        <v>205</v>
      </c>
      <c r="B239" s="885"/>
      <c r="C239" s="873"/>
      <c r="D239" s="1134" t="s">
        <v>892</v>
      </c>
      <c r="E239" s="887"/>
      <c r="F239" s="887"/>
      <c r="G239" s="888"/>
      <c r="H239" s="889"/>
      <c r="I239" s="1138">
        <f>SUM(J239:N239)</f>
        <v>1170</v>
      </c>
      <c r="J239" s="1145"/>
      <c r="K239" s="1145"/>
      <c r="L239" s="1145"/>
      <c r="M239" s="1144">
        <v>1170</v>
      </c>
      <c r="N239" s="891"/>
      <c r="P239" s="897"/>
    </row>
    <row r="240" spans="1:16" s="460" customFormat="1" ht="18" customHeight="1">
      <c r="A240" s="451">
        <v>206</v>
      </c>
      <c r="B240" s="129"/>
      <c r="C240" s="125"/>
      <c r="D240" s="345" t="s">
        <v>406</v>
      </c>
      <c r="E240" s="130">
        <v>302</v>
      </c>
      <c r="F240" s="130">
        <v>4675</v>
      </c>
      <c r="G240" s="131">
        <v>256</v>
      </c>
      <c r="H240" s="454" t="s">
        <v>23</v>
      </c>
      <c r="I240" s="870"/>
      <c r="J240" s="1025"/>
      <c r="K240" s="1025"/>
      <c r="L240" s="1025"/>
      <c r="M240" s="1025"/>
      <c r="N240" s="1026"/>
      <c r="P240" s="461"/>
    </row>
    <row r="241" spans="1:16" s="896" customFormat="1" ht="18" customHeight="1">
      <c r="A241" s="451">
        <v>207</v>
      </c>
      <c r="B241" s="885"/>
      <c r="C241" s="873"/>
      <c r="D241" s="894" t="s">
        <v>283</v>
      </c>
      <c r="E241" s="887"/>
      <c r="F241" s="887"/>
      <c r="G241" s="888"/>
      <c r="H241" s="889"/>
      <c r="I241" s="870">
        <f>SUM(J241:N241)</f>
        <v>1500</v>
      </c>
      <c r="J241" s="890"/>
      <c r="K241" s="890"/>
      <c r="L241" s="890"/>
      <c r="M241" s="890">
        <v>1500</v>
      </c>
      <c r="N241" s="891"/>
      <c r="P241" s="897"/>
    </row>
    <row r="242" spans="1:16" s="896" customFormat="1" ht="18" customHeight="1">
      <c r="A242" s="451">
        <v>208</v>
      </c>
      <c r="B242" s="885"/>
      <c r="C242" s="873"/>
      <c r="D242" s="1134" t="s">
        <v>757</v>
      </c>
      <c r="E242" s="887"/>
      <c r="F242" s="887"/>
      <c r="G242" s="888"/>
      <c r="H242" s="889"/>
      <c r="I242" s="1137">
        <f>SUM(J242:N242)</f>
        <v>4019</v>
      </c>
      <c r="J242" s="1145"/>
      <c r="K242" s="1145"/>
      <c r="L242" s="1145"/>
      <c r="M242" s="1145">
        <v>4019</v>
      </c>
      <c r="N242" s="891"/>
      <c r="P242" s="897"/>
    </row>
    <row r="243" spans="1:16" s="896" customFormat="1" ht="18" customHeight="1">
      <c r="A243" s="451">
        <v>209</v>
      </c>
      <c r="B243" s="885"/>
      <c r="C243" s="873"/>
      <c r="D243" s="1134" t="s">
        <v>892</v>
      </c>
      <c r="E243" s="887"/>
      <c r="F243" s="887"/>
      <c r="G243" s="888"/>
      <c r="H243" s="889"/>
      <c r="I243" s="1138">
        <f>SUM(J243:N243)</f>
        <v>0</v>
      </c>
      <c r="J243" s="1145"/>
      <c r="K243" s="1145"/>
      <c r="L243" s="1145"/>
      <c r="M243" s="1144">
        <v>0</v>
      </c>
      <c r="N243" s="891"/>
      <c r="P243" s="897"/>
    </row>
    <row r="244" spans="1:16" s="460" customFormat="1" ht="18" customHeight="1">
      <c r="A244" s="451">
        <v>210</v>
      </c>
      <c r="B244" s="129"/>
      <c r="C244" s="125"/>
      <c r="D244" s="345" t="s">
        <v>327</v>
      </c>
      <c r="E244" s="130">
        <v>6288</v>
      </c>
      <c r="F244" s="130">
        <v>6800</v>
      </c>
      <c r="G244" s="131">
        <v>6639</v>
      </c>
      <c r="H244" s="454" t="s">
        <v>23</v>
      </c>
      <c r="I244" s="1027"/>
      <c r="J244" s="1028"/>
      <c r="K244" s="1028"/>
      <c r="L244" s="1028"/>
      <c r="M244" s="1028"/>
      <c r="N244" s="1029"/>
      <c r="P244" s="461"/>
    </row>
    <row r="245" spans="1:16" s="896" customFormat="1" ht="18" customHeight="1">
      <c r="A245" s="451">
        <v>211</v>
      </c>
      <c r="B245" s="885"/>
      <c r="C245" s="873"/>
      <c r="D245" s="894" t="s">
        <v>283</v>
      </c>
      <c r="E245" s="887"/>
      <c r="F245" s="887"/>
      <c r="G245" s="888"/>
      <c r="H245" s="889"/>
      <c r="I245" s="870">
        <f>SUM(J245:N245)</f>
        <v>8000</v>
      </c>
      <c r="J245" s="890"/>
      <c r="K245" s="890"/>
      <c r="L245" s="890"/>
      <c r="M245" s="890">
        <v>8000</v>
      </c>
      <c r="N245" s="891"/>
      <c r="P245" s="897"/>
    </row>
    <row r="246" spans="1:16" s="896" customFormat="1" ht="18" customHeight="1">
      <c r="A246" s="451">
        <v>212</v>
      </c>
      <c r="B246" s="885"/>
      <c r="C246" s="873"/>
      <c r="D246" s="1134" t="s">
        <v>757</v>
      </c>
      <c r="E246" s="887"/>
      <c r="F246" s="887"/>
      <c r="G246" s="888"/>
      <c r="H246" s="889"/>
      <c r="I246" s="1137">
        <f>SUM(J246:N246)</f>
        <v>9111</v>
      </c>
      <c r="J246" s="1145"/>
      <c r="K246" s="1145"/>
      <c r="L246" s="1145"/>
      <c r="M246" s="1145">
        <v>9111</v>
      </c>
      <c r="N246" s="891"/>
      <c r="P246" s="897"/>
    </row>
    <row r="247" spans="1:16" s="896" customFormat="1" ht="18" customHeight="1">
      <c r="A247" s="451">
        <v>213</v>
      </c>
      <c r="B247" s="885"/>
      <c r="C247" s="873"/>
      <c r="D247" s="1134" t="s">
        <v>892</v>
      </c>
      <c r="E247" s="887"/>
      <c r="F247" s="887"/>
      <c r="G247" s="888"/>
      <c r="H247" s="889"/>
      <c r="I247" s="1138">
        <f>SUM(J247:N247)</f>
        <v>2982</v>
      </c>
      <c r="J247" s="1145"/>
      <c r="K247" s="1145"/>
      <c r="L247" s="1145"/>
      <c r="M247" s="1144">
        <v>2982</v>
      </c>
      <c r="N247" s="891"/>
      <c r="P247" s="897"/>
    </row>
    <row r="248" spans="1:16" s="460" customFormat="1" ht="18" customHeight="1">
      <c r="A248" s="451">
        <v>214</v>
      </c>
      <c r="B248" s="129"/>
      <c r="C248" s="125"/>
      <c r="D248" s="345" t="s">
        <v>328</v>
      </c>
      <c r="E248" s="130"/>
      <c r="F248" s="130">
        <v>85</v>
      </c>
      <c r="G248" s="131">
        <v>0</v>
      </c>
      <c r="H248" s="454" t="s">
        <v>23</v>
      </c>
      <c r="I248" s="1027"/>
      <c r="J248" s="1028"/>
      <c r="K248" s="1028"/>
      <c r="L248" s="1028"/>
      <c r="M248" s="1028"/>
      <c r="N248" s="1029"/>
      <c r="P248" s="461"/>
    </row>
    <row r="249" spans="1:16" s="896" customFormat="1" ht="18" customHeight="1">
      <c r="A249" s="451">
        <v>215</v>
      </c>
      <c r="B249" s="885"/>
      <c r="C249" s="873"/>
      <c r="D249" s="894" t="s">
        <v>283</v>
      </c>
      <c r="E249" s="887"/>
      <c r="F249" s="887"/>
      <c r="G249" s="888"/>
      <c r="H249" s="889"/>
      <c r="I249" s="870">
        <f>SUM(J249:N249)</f>
        <v>100</v>
      </c>
      <c r="J249" s="890"/>
      <c r="K249" s="890"/>
      <c r="L249" s="890"/>
      <c r="M249" s="890">
        <v>100</v>
      </c>
      <c r="N249" s="891"/>
      <c r="P249" s="897"/>
    </row>
    <row r="250" spans="1:16" s="896" customFormat="1" ht="18" customHeight="1">
      <c r="A250" s="451">
        <v>216</v>
      </c>
      <c r="B250" s="885"/>
      <c r="C250" s="873"/>
      <c r="D250" s="1134" t="s">
        <v>757</v>
      </c>
      <c r="E250" s="887"/>
      <c r="F250" s="887"/>
      <c r="G250" s="888"/>
      <c r="H250" s="889"/>
      <c r="I250" s="1137">
        <f>SUM(J250:N250)</f>
        <v>100</v>
      </c>
      <c r="J250" s="1145"/>
      <c r="K250" s="1145"/>
      <c r="L250" s="1145"/>
      <c r="M250" s="1145">
        <v>100</v>
      </c>
      <c r="N250" s="891"/>
      <c r="P250" s="897"/>
    </row>
    <row r="251" spans="1:16" s="896" customFormat="1" ht="18" customHeight="1">
      <c r="A251" s="451">
        <v>217</v>
      </c>
      <c r="B251" s="885"/>
      <c r="C251" s="873"/>
      <c r="D251" s="1134" t="s">
        <v>893</v>
      </c>
      <c r="E251" s="887"/>
      <c r="F251" s="887"/>
      <c r="G251" s="888"/>
      <c r="H251" s="889"/>
      <c r="I251" s="1138">
        <f>SUM(J251:N251)</f>
        <v>0</v>
      </c>
      <c r="J251" s="1145"/>
      <c r="K251" s="1145"/>
      <c r="L251" s="1145"/>
      <c r="M251" s="1145">
        <v>0</v>
      </c>
      <c r="N251" s="891"/>
      <c r="P251" s="897"/>
    </row>
    <row r="252" spans="1:16" s="460" customFormat="1" ht="18" customHeight="1">
      <c r="A252" s="451">
        <v>218</v>
      </c>
      <c r="B252" s="129"/>
      <c r="C252" s="125"/>
      <c r="D252" s="345" t="s">
        <v>329</v>
      </c>
      <c r="E252" s="130">
        <v>1320</v>
      </c>
      <c r="F252" s="130">
        <v>1700</v>
      </c>
      <c r="G252" s="131">
        <v>855</v>
      </c>
      <c r="H252" s="454" t="s">
        <v>23</v>
      </c>
      <c r="I252" s="1027"/>
      <c r="J252" s="1028"/>
      <c r="K252" s="1028"/>
      <c r="L252" s="1028"/>
      <c r="M252" s="1028"/>
      <c r="N252" s="1029"/>
      <c r="P252" s="461"/>
    </row>
    <row r="253" spans="1:16" s="896" customFormat="1" ht="18" customHeight="1">
      <c r="A253" s="451">
        <v>219</v>
      </c>
      <c r="B253" s="885"/>
      <c r="C253" s="873"/>
      <c r="D253" s="894" t="s">
        <v>283</v>
      </c>
      <c r="E253" s="887"/>
      <c r="F253" s="887"/>
      <c r="G253" s="888"/>
      <c r="H253" s="889"/>
      <c r="I253" s="870">
        <f>SUM(J253:N253)</f>
        <v>2000</v>
      </c>
      <c r="J253" s="890"/>
      <c r="K253" s="890"/>
      <c r="L253" s="890"/>
      <c r="M253" s="890">
        <v>2000</v>
      </c>
      <c r="N253" s="891"/>
      <c r="P253" s="897"/>
    </row>
    <row r="254" spans="1:16" s="896" customFormat="1" ht="18" customHeight="1">
      <c r="A254" s="451">
        <v>220</v>
      </c>
      <c r="B254" s="885"/>
      <c r="C254" s="873"/>
      <c r="D254" s="1134" t="s">
        <v>757</v>
      </c>
      <c r="E254" s="887"/>
      <c r="F254" s="887"/>
      <c r="G254" s="888"/>
      <c r="H254" s="889"/>
      <c r="I254" s="1137">
        <f>SUM(J254:N254)</f>
        <v>2000</v>
      </c>
      <c r="J254" s="1145"/>
      <c r="K254" s="1145"/>
      <c r="L254" s="1145"/>
      <c r="M254" s="1145">
        <v>2000</v>
      </c>
      <c r="N254" s="891"/>
      <c r="P254" s="897"/>
    </row>
    <row r="255" spans="1:16" s="896" customFormat="1" ht="18" customHeight="1">
      <c r="A255" s="451">
        <v>221</v>
      </c>
      <c r="B255" s="885"/>
      <c r="C255" s="873"/>
      <c r="D255" s="1134" t="s">
        <v>893</v>
      </c>
      <c r="E255" s="887"/>
      <c r="F255" s="887"/>
      <c r="G255" s="888"/>
      <c r="H255" s="889"/>
      <c r="I255" s="1138">
        <f>SUM(J255:N255)</f>
        <v>575</v>
      </c>
      <c r="J255" s="1145"/>
      <c r="K255" s="1145"/>
      <c r="L255" s="1145"/>
      <c r="M255" s="1145">
        <v>575</v>
      </c>
      <c r="N255" s="891"/>
      <c r="P255" s="897"/>
    </row>
    <row r="256" spans="1:16" s="460" customFormat="1" ht="18" customHeight="1">
      <c r="A256" s="451">
        <v>222</v>
      </c>
      <c r="B256" s="129"/>
      <c r="C256" s="125"/>
      <c r="D256" s="345" t="s">
        <v>330</v>
      </c>
      <c r="E256" s="130"/>
      <c r="F256" s="130">
        <v>43</v>
      </c>
      <c r="G256" s="131">
        <v>0</v>
      </c>
      <c r="H256" s="454" t="s">
        <v>23</v>
      </c>
      <c r="I256" s="1027"/>
      <c r="J256" s="1028"/>
      <c r="K256" s="1028"/>
      <c r="L256" s="1028"/>
      <c r="M256" s="1028"/>
      <c r="N256" s="1029"/>
      <c r="P256" s="461"/>
    </row>
    <row r="257" spans="1:16" s="896" customFormat="1" ht="18" customHeight="1">
      <c r="A257" s="451">
        <v>223</v>
      </c>
      <c r="B257" s="885"/>
      <c r="C257" s="873"/>
      <c r="D257" s="894" t="s">
        <v>283</v>
      </c>
      <c r="E257" s="887"/>
      <c r="F257" s="887"/>
      <c r="G257" s="888"/>
      <c r="H257" s="889"/>
      <c r="I257" s="870">
        <f>SUM(J257:N257)</f>
        <v>50</v>
      </c>
      <c r="J257" s="890"/>
      <c r="K257" s="890"/>
      <c r="L257" s="890"/>
      <c r="M257" s="890">
        <v>50</v>
      </c>
      <c r="N257" s="891"/>
      <c r="P257" s="897"/>
    </row>
    <row r="258" spans="1:16" s="896" customFormat="1" ht="18" customHeight="1">
      <c r="A258" s="451">
        <v>224</v>
      </c>
      <c r="B258" s="885"/>
      <c r="C258" s="873"/>
      <c r="D258" s="1134" t="s">
        <v>757</v>
      </c>
      <c r="E258" s="887"/>
      <c r="F258" s="887"/>
      <c r="G258" s="888"/>
      <c r="H258" s="889"/>
      <c r="I258" s="1137">
        <f>SUM(J258:N258)</f>
        <v>50</v>
      </c>
      <c r="J258" s="1145"/>
      <c r="K258" s="1145"/>
      <c r="L258" s="1145"/>
      <c r="M258" s="1145">
        <v>50</v>
      </c>
      <c r="N258" s="891"/>
      <c r="P258" s="897"/>
    </row>
    <row r="259" spans="1:16" s="896" customFormat="1" ht="18" customHeight="1">
      <c r="A259" s="451">
        <v>225</v>
      </c>
      <c r="B259" s="885"/>
      <c r="C259" s="873"/>
      <c r="D259" s="1134" t="s">
        <v>893</v>
      </c>
      <c r="E259" s="887"/>
      <c r="F259" s="887"/>
      <c r="G259" s="888"/>
      <c r="H259" s="889"/>
      <c r="I259" s="1138">
        <f>SUM(J259:N259)</f>
        <v>0</v>
      </c>
      <c r="J259" s="1145"/>
      <c r="K259" s="1145"/>
      <c r="L259" s="1145"/>
      <c r="M259" s="1145">
        <v>0</v>
      </c>
      <c r="N259" s="891"/>
      <c r="P259" s="897"/>
    </row>
    <row r="260" spans="1:16" s="460" customFormat="1" ht="18" customHeight="1">
      <c r="A260" s="451">
        <v>226</v>
      </c>
      <c r="B260" s="129"/>
      <c r="C260" s="125"/>
      <c r="D260" s="345" t="s">
        <v>331</v>
      </c>
      <c r="E260" s="130">
        <v>1320</v>
      </c>
      <c r="F260" s="130">
        <v>1275</v>
      </c>
      <c r="G260" s="131">
        <v>1365</v>
      </c>
      <c r="H260" s="454" t="s">
        <v>23</v>
      </c>
      <c r="I260" s="1027"/>
      <c r="J260" s="1028"/>
      <c r="K260" s="1028"/>
      <c r="L260" s="1028"/>
      <c r="M260" s="1028"/>
      <c r="N260" s="1029"/>
      <c r="P260" s="461"/>
    </row>
    <row r="261" spans="1:16" s="896" customFormat="1" ht="18" customHeight="1">
      <c r="A261" s="451">
        <v>227</v>
      </c>
      <c r="B261" s="885"/>
      <c r="C261" s="873"/>
      <c r="D261" s="894" t="s">
        <v>283</v>
      </c>
      <c r="E261" s="887"/>
      <c r="F261" s="887"/>
      <c r="G261" s="888"/>
      <c r="H261" s="889"/>
      <c r="I261" s="870">
        <f>SUM(J261:N261)</f>
        <v>1700</v>
      </c>
      <c r="J261" s="890"/>
      <c r="K261" s="890"/>
      <c r="L261" s="890"/>
      <c r="M261" s="890">
        <v>1700</v>
      </c>
      <c r="N261" s="891"/>
      <c r="P261" s="897"/>
    </row>
    <row r="262" spans="1:16" s="896" customFormat="1" ht="18" customHeight="1">
      <c r="A262" s="451">
        <v>228</v>
      </c>
      <c r="B262" s="885"/>
      <c r="C262" s="873"/>
      <c r="D262" s="1134" t="s">
        <v>757</v>
      </c>
      <c r="E262" s="887"/>
      <c r="F262" s="887"/>
      <c r="G262" s="888"/>
      <c r="H262" s="889"/>
      <c r="I262" s="1137">
        <f>SUM(J262:N262)</f>
        <v>1700</v>
      </c>
      <c r="J262" s="1145"/>
      <c r="K262" s="1145"/>
      <c r="L262" s="1145"/>
      <c r="M262" s="1145">
        <v>1700</v>
      </c>
      <c r="N262" s="891"/>
      <c r="P262" s="897"/>
    </row>
    <row r="263" spans="1:16" s="896" customFormat="1" ht="18" customHeight="1">
      <c r="A263" s="451">
        <v>229</v>
      </c>
      <c r="B263" s="885"/>
      <c r="C263" s="873"/>
      <c r="D263" s="1134" t="s">
        <v>893</v>
      </c>
      <c r="E263" s="887"/>
      <c r="F263" s="887"/>
      <c r="G263" s="888"/>
      <c r="H263" s="889"/>
      <c r="I263" s="1138">
        <f>SUM(J263:N263)</f>
        <v>645</v>
      </c>
      <c r="J263" s="1145"/>
      <c r="K263" s="1145"/>
      <c r="L263" s="1145"/>
      <c r="M263" s="1145">
        <v>645</v>
      </c>
      <c r="N263" s="891"/>
      <c r="P263" s="897"/>
    </row>
    <row r="264" spans="1:16" s="460" customFormat="1" ht="18" customHeight="1">
      <c r="A264" s="451">
        <v>230</v>
      </c>
      <c r="B264" s="129"/>
      <c r="C264" s="125"/>
      <c r="D264" s="345" t="s">
        <v>332</v>
      </c>
      <c r="E264" s="130"/>
      <c r="F264" s="130">
        <v>340</v>
      </c>
      <c r="G264" s="131">
        <v>0</v>
      </c>
      <c r="H264" s="454" t="s">
        <v>23</v>
      </c>
      <c r="I264" s="1027"/>
      <c r="J264" s="1028"/>
      <c r="K264" s="1028"/>
      <c r="L264" s="1028"/>
      <c r="M264" s="1028"/>
      <c r="N264" s="1029"/>
      <c r="P264" s="461"/>
    </row>
    <row r="265" spans="1:16" s="896" customFormat="1" ht="18" customHeight="1">
      <c r="A265" s="451">
        <v>231</v>
      </c>
      <c r="B265" s="885"/>
      <c r="C265" s="873"/>
      <c r="D265" s="894" t="s">
        <v>283</v>
      </c>
      <c r="E265" s="875"/>
      <c r="F265" s="887"/>
      <c r="G265" s="888"/>
      <c r="H265" s="889"/>
      <c r="I265" s="870">
        <f>SUM(J265:N265)</f>
        <v>400</v>
      </c>
      <c r="J265" s="890"/>
      <c r="K265" s="890"/>
      <c r="L265" s="890"/>
      <c r="M265" s="890">
        <v>400</v>
      </c>
      <c r="N265" s="891"/>
      <c r="P265" s="897"/>
    </row>
    <row r="266" spans="1:16" s="896" customFormat="1" ht="18" customHeight="1">
      <c r="A266" s="451">
        <v>232</v>
      </c>
      <c r="B266" s="885"/>
      <c r="C266" s="873"/>
      <c r="D266" s="1134" t="s">
        <v>757</v>
      </c>
      <c r="E266" s="875"/>
      <c r="F266" s="887"/>
      <c r="G266" s="888"/>
      <c r="H266" s="889"/>
      <c r="I266" s="1137">
        <f>SUM(J266:N266)</f>
        <v>400</v>
      </c>
      <c r="J266" s="1145"/>
      <c r="K266" s="1145"/>
      <c r="L266" s="1145"/>
      <c r="M266" s="1145">
        <v>400</v>
      </c>
      <c r="N266" s="891"/>
      <c r="P266" s="897"/>
    </row>
    <row r="267" spans="1:16" s="896" customFormat="1" ht="18" customHeight="1">
      <c r="A267" s="451">
        <v>233</v>
      </c>
      <c r="B267" s="885"/>
      <c r="C267" s="873"/>
      <c r="D267" s="1134" t="s">
        <v>893</v>
      </c>
      <c r="E267" s="875"/>
      <c r="F267" s="887"/>
      <c r="G267" s="888"/>
      <c r="H267" s="889"/>
      <c r="I267" s="1138">
        <f>SUM(J267:N267)</f>
        <v>0</v>
      </c>
      <c r="J267" s="1145"/>
      <c r="K267" s="1145"/>
      <c r="L267" s="1145"/>
      <c r="M267" s="1145">
        <v>0</v>
      </c>
      <c r="N267" s="891"/>
      <c r="P267" s="897"/>
    </row>
    <row r="268" spans="1:16" s="460" customFormat="1" ht="18" customHeight="1">
      <c r="A268" s="451">
        <v>234</v>
      </c>
      <c r="B268" s="129"/>
      <c r="C268" s="125"/>
      <c r="D268" s="345" t="s">
        <v>333</v>
      </c>
      <c r="E268" s="122">
        <v>42</v>
      </c>
      <c r="F268" s="130">
        <v>510</v>
      </c>
      <c r="G268" s="131">
        <v>32</v>
      </c>
      <c r="H268" s="454" t="s">
        <v>23</v>
      </c>
      <c r="I268" s="870"/>
      <c r="J268" s="1025"/>
      <c r="K268" s="1025"/>
      <c r="L268" s="1025"/>
      <c r="M268" s="1025"/>
      <c r="N268" s="1026"/>
      <c r="P268" s="461"/>
    </row>
    <row r="269" spans="1:16" s="896" customFormat="1" ht="18" customHeight="1">
      <c r="A269" s="451">
        <v>235</v>
      </c>
      <c r="B269" s="885"/>
      <c r="C269" s="873"/>
      <c r="D269" s="894" t="s">
        <v>283</v>
      </c>
      <c r="E269" s="875"/>
      <c r="F269" s="887"/>
      <c r="G269" s="888"/>
      <c r="H269" s="889"/>
      <c r="I269" s="870">
        <f>SUM(J269:N269)</f>
        <v>510</v>
      </c>
      <c r="J269" s="890"/>
      <c r="K269" s="890"/>
      <c r="L269" s="890"/>
      <c r="M269" s="890">
        <v>510</v>
      </c>
      <c r="N269" s="891"/>
      <c r="P269" s="897"/>
    </row>
    <row r="270" spans="1:16" s="896" customFormat="1" ht="18" customHeight="1">
      <c r="A270" s="451">
        <v>236</v>
      </c>
      <c r="B270" s="885"/>
      <c r="C270" s="873"/>
      <c r="D270" s="1134" t="s">
        <v>757</v>
      </c>
      <c r="E270" s="875"/>
      <c r="F270" s="887"/>
      <c r="G270" s="888"/>
      <c r="H270" s="889"/>
      <c r="I270" s="1137">
        <f>SUM(J270:N270)</f>
        <v>510</v>
      </c>
      <c r="J270" s="1145"/>
      <c r="K270" s="1145"/>
      <c r="L270" s="1145"/>
      <c r="M270" s="1145">
        <v>510</v>
      </c>
      <c r="N270" s="891"/>
      <c r="P270" s="897"/>
    </row>
    <row r="271" spans="1:16" s="896" customFormat="1" ht="18" customHeight="1">
      <c r="A271" s="451">
        <v>237</v>
      </c>
      <c r="B271" s="885"/>
      <c r="C271" s="873"/>
      <c r="D271" s="1134" t="s">
        <v>893</v>
      </c>
      <c r="E271" s="875"/>
      <c r="F271" s="887"/>
      <c r="G271" s="888"/>
      <c r="H271" s="889"/>
      <c r="I271" s="1138">
        <f>SUM(J271:N271)</f>
        <v>0</v>
      </c>
      <c r="J271" s="1145"/>
      <c r="K271" s="1145"/>
      <c r="L271" s="1145"/>
      <c r="M271" s="1145">
        <v>0</v>
      </c>
      <c r="N271" s="891"/>
      <c r="P271" s="897"/>
    </row>
    <row r="272" spans="1:16" s="3" customFormat="1" ht="22.5" customHeight="1">
      <c r="A272" s="451">
        <v>238</v>
      </c>
      <c r="B272" s="119"/>
      <c r="C272" s="120">
        <v>51</v>
      </c>
      <c r="D272" s="446" t="s">
        <v>70</v>
      </c>
      <c r="E272" s="122">
        <v>2941</v>
      </c>
      <c r="F272" s="122">
        <v>3825</v>
      </c>
      <c r="G272" s="123">
        <v>4817</v>
      </c>
      <c r="H272" s="453" t="s">
        <v>22</v>
      </c>
      <c r="I272" s="867"/>
      <c r="J272" s="1017"/>
      <c r="K272" s="1017"/>
      <c r="L272" s="1017"/>
      <c r="M272" s="1017"/>
      <c r="N272" s="1018"/>
      <c r="P272" s="8"/>
    </row>
    <row r="273" spans="1:14" s="878" customFormat="1" ht="18" customHeight="1">
      <c r="A273" s="451">
        <v>239</v>
      </c>
      <c r="B273" s="872"/>
      <c r="C273" s="873"/>
      <c r="D273" s="874" t="s">
        <v>283</v>
      </c>
      <c r="E273" s="875"/>
      <c r="F273" s="875"/>
      <c r="G273" s="876"/>
      <c r="H273" s="877"/>
      <c r="I273" s="867">
        <f>SUM(J273:N273)</f>
        <v>5000</v>
      </c>
      <c r="J273" s="868"/>
      <c r="K273" s="868"/>
      <c r="L273" s="868"/>
      <c r="M273" s="868">
        <v>5000</v>
      </c>
      <c r="N273" s="869"/>
    </row>
    <row r="274" spans="1:14" s="878" customFormat="1" ht="18" customHeight="1">
      <c r="A274" s="451">
        <v>240</v>
      </c>
      <c r="B274" s="872"/>
      <c r="C274" s="873"/>
      <c r="D274" s="1457" t="s">
        <v>757</v>
      </c>
      <c r="E274" s="875"/>
      <c r="F274" s="875"/>
      <c r="G274" s="876"/>
      <c r="H274" s="877"/>
      <c r="I274" s="1135">
        <f>SUM(J274:N274)</f>
        <v>5000</v>
      </c>
      <c r="J274" s="1142"/>
      <c r="K274" s="1142"/>
      <c r="L274" s="1142"/>
      <c r="M274" s="1142">
        <v>5000</v>
      </c>
      <c r="N274" s="869"/>
    </row>
    <row r="275" spans="1:14" s="878" customFormat="1" ht="18" customHeight="1">
      <c r="A275" s="451">
        <v>241</v>
      </c>
      <c r="B275" s="872"/>
      <c r="C275" s="873"/>
      <c r="D275" s="1090" t="s">
        <v>893</v>
      </c>
      <c r="E275" s="875"/>
      <c r="F275" s="875"/>
      <c r="G275" s="876"/>
      <c r="H275" s="877"/>
      <c r="I275" s="1138">
        <f>SUM(J275:N275)</f>
        <v>2694</v>
      </c>
      <c r="J275" s="1142"/>
      <c r="K275" s="1142"/>
      <c r="L275" s="1142"/>
      <c r="M275" s="1142">
        <v>2694</v>
      </c>
      <c r="N275" s="869"/>
    </row>
    <row r="276" spans="1:16" s="87" customFormat="1" ht="22.5" customHeight="1">
      <c r="A276" s="451">
        <v>242</v>
      </c>
      <c r="B276" s="447"/>
      <c r="C276" s="120">
        <v>52</v>
      </c>
      <c r="D276" s="446" t="s">
        <v>71</v>
      </c>
      <c r="E276" s="122">
        <v>9164</v>
      </c>
      <c r="F276" s="122">
        <v>7650</v>
      </c>
      <c r="G276" s="123">
        <v>2001</v>
      </c>
      <c r="H276" s="453" t="s">
        <v>23</v>
      </c>
      <c r="I276" s="867"/>
      <c r="J276" s="1017"/>
      <c r="K276" s="1017"/>
      <c r="L276" s="1017"/>
      <c r="M276" s="1017"/>
      <c r="N276" s="1018"/>
      <c r="P276" s="442"/>
    </row>
    <row r="277" spans="1:14" s="878" customFormat="1" ht="18" customHeight="1">
      <c r="A277" s="451">
        <v>243</v>
      </c>
      <c r="B277" s="872"/>
      <c r="C277" s="873"/>
      <c r="D277" s="874" t="s">
        <v>283</v>
      </c>
      <c r="E277" s="875"/>
      <c r="F277" s="875"/>
      <c r="G277" s="876"/>
      <c r="H277" s="877"/>
      <c r="I277" s="867">
        <f>SUM(J277:N277)</f>
        <v>5515</v>
      </c>
      <c r="J277" s="868">
        <v>5115</v>
      </c>
      <c r="K277" s="868">
        <v>400</v>
      </c>
      <c r="L277" s="868"/>
      <c r="M277" s="868"/>
      <c r="N277" s="869"/>
    </row>
    <row r="278" spans="1:14" s="878" customFormat="1" ht="18" customHeight="1">
      <c r="A278" s="451">
        <v>244</v>
      </c>
      <c r="B278" s="872"/>
      <c r="C278" s="873"/>
      <c r="D278" s="1457" t="s">
        <v>757</v>
      </c>
      <c r="E278" s="875"/>
      <c r="F278" s="875"/>
      <c r="G278" s="876"/>
      <c r="H278" s="877"/>
      <c r="I278" s="1135">
        <f>SUM(J278:N278)</f>
        <v>5515</v>
      </c>
      <c r="J278" s="1142">
        <v>5115</v>
      </c>
      <c r="K278" s="1142">
        <v>400</v>
      </c>
      <c r="L278" s="868"/>
      <c r="M278" s="868"/>
      <c r="N278" s="869"/>
    </row>
    <row r="279" spans="1:14" s="878" customFormat="1" ht="18" customHeight="1">
      <c r="A279" s="451">
        <v>245</v>
      </c>
      <c r="B279" s="872"/>
      <c r="C279" s="873"/>
      <c r="D279" s="1090" t="s">
        <v>893</v>
      </c>
      <c r="E279" s="875"/>
      <c r="F279" s="875"/>
      <c r="G279" s="876"/>
      <c r="H279" s="877"/>
      <c r="I279" s="1138">
        <f>SUM(J279:N279)</f>
        <v>338</v>
      </c>
      <c r="J279" s="1142">
        <v>317</v>
      </c>
      <c r="K279" s="1142">
        <v>21</v>
      </c>
      <c r="L279" s="868"/>
      <c r="M279" s="868"/>
      <c r="N279" s="869"/>
    </row>
    <row r="280" spans="1:16" s="87" customFormat="1" ht="22.5" customHeight="1">
      <c r="A280" s="451">
        <v>246</v>
      </c>
      <c r="B280" s="447"/>
      <c r="C280" s="120">
        <v>53</v>
      </c>
      <c r="D280" s="446" t="s">
        <v>252</v>
      </c>
      <c r="E280" s="122">
        <v>753</v>
      </c>
      <c r="F280" s="122">
        <v>1560</v>
      </c>
      <c r="G280" s="123">
        <v>1117</v>
      </c>
      <c r="H280" s="453" t="s">
        <v>23</v>
      </c>
      <c r="I280" s="867"/>
      <c r="J280" s="1017"/>
      <c r="K280" s="1017"/>
      <c r="L280" s="1017"/>
      <c r="M280" s="1017"/>
      <c r="N280" s="1018"/>
      <c r="P280" s="442"/>
    </row>
    <row r="281" spans="1:14" s="878" customFormat="1" ht="18" customHeight="1">
      <c r="A281" s="451">
        <v>247</v>
      </c>
      <c r="B281" s="872"/>
      <c r="C281" s="873"/>
      <c r="D281" s="874" t="s">
        <v>283</v>
      </c>
      <c r="E281" s="875"/>
      <c r="F281" s="875"/>
      <c r="G281" s="876"/>
      <c r="H281" s="877"/>
      <c r="I281" s="867">
        <f>SUM(J281:N281)</f>
        <v>2080</v>
      </c>
      <c r="J281" s="868">
        <v>1800</v>
      </c>
      <c r="K281" s="868">
        <v>280</v>
      </c>
      <c r="L281" s="868"/>
      <c r="M281" s="868"/>
      <c r="N281" s="869"/>
    </row>
    <row r="282" spans="1:14" s="878" customFormat="1" ht="18" customHeight="1">
      <c r="A282" s="451">
        <v>248</v>
      </c>
      <c r="B282" s="872"/>
      <c r="C282" s="873"/>
      <c r="D282" s="1457" t="s">
        <v>757</v>
      </c>
      <c r="E282" s="875"/>
      <c r="F282" s="875"/>
      <c r="G282" s="876"/>
      <c r="H282" s="877"/>
      <c r="I282" s="1135">
        <f>SUM(J282:N282)</f>
        <v>2080</v>
      </c>
      <c r="J282" s="1142">
        <v>1800</v>
      </c>
      <c r="K282" s="1142">
        <v>280</v>
      </c>
      <c r="L282" s="868"/>
      <c r="M282" s="868"/>
      <c r="N282" s="869"/>
    </row>
    <row r="283" spans="1:14" s="878" customFormat="1" ht="18" customHeight="1">
      <c r="A283" s="451">
        <v>249</v>
      </c>
      <c r="B283" s="872"/>
      <c r="C283" s="873"/>
      <c r="D283" s="1090" t="s">
        <v>893</v>
      </c>
      <c r="E283" s="875"/>
      <c r="F283" s="875"/>
      <c r="G283" s="876"/>
      <c r="H283" s="877"/>
      <c r="I283" s="1138">
        <f>SUM(J283:N283)</f>
        <v>0</v>
      </c>
      <c r="J283" s="1142">
        <v>0</v>
      </c>
      <c r="K283" s="1142">
        <v>0</v>
      </c>
      <c r="L283" s="868"/>
      <c r="M283" s="868"/>
      <c r="N283" s="869"/>
    </row>
    <row r="284" spans="1:16" s="87" customFormat="1" ht="22.5" customHeight="1">
      <c r="A284" s="451">
        <v>250</v>
      </c>
      <c r="B284" s="447"/>
      <c r="C284" s="120">
        <v>54</v>
      </c>
      <c r="D284" s="446" t="s">
        <v>72</v>
      </c>
      <c r="E284" s="122">
        <v>0</v>
      </c>
      <c r="F284" s="122">
        <v>85</v>
      </c>
      <c r="G284" s="123">
        <v>0</v>
      </c>
      <c r="H284" s="453" t="s">
        <v>23</v>
      </c>
      <c r="I284" s="867"/>
      <c r="J284" s="1017"/>
      <c r="K284" s="1017"/>
      <c r="L284" s="1017"/>
      <c r="M284" s="1017"/>
      <c r="N284" s="1018"/>
      <c r="P284" s="442"/>
    </row>
    <row r="285" spans="1:14" s="878" customFormat="1" ht="18" customHeight="1">
      <c r="A285" s="451">
        <v>251</v>
      </c>
      <c r="B285" s="872"/>
      <c r="C285" s="873"/>
      <c r="D285" s="874" t="s">
        <v>283</v>
      </c>
      <c r="E285" s="875"/>
      <c r="F285" s="875"/>
      <c r="G285" s="876"/>
      <c r="H285" s="877"/>
      <c r="I285" s="867">
        <f>SUM(J285:N285)</f>
        <v>100</v>
      </c>
      <c r="J285" s="868"/>
      <c r="K285" s="868"/>
      <c r="L285" s="868"/>
      <c r="M285" s="868">
        <v>100</v>
      </c>
      <c r="N285" s="869"/>
    </row>
    <row r="286" spans="1:14" s="878" customFormat="1" ht="18" customHeight="1">
      <c r="A286" s="451">
        <v>252</v>
      </c>
      <c r="B286" s="872"/>
      <c r="C286" s="873"/>
      <c r="D286" s="1457" t="s">
        <v>757</v>
      </c>
      <c r="E286" s="875"/>
      <c r="F286" s="875"/>
      <c r="G286" s="876"/>
      <c r="H286" s="877"/>
      <c r="I286" s="1135">
        <f>SUM(J286:N286)</f>
        <v>100</v>
      </c>
      <c r="J286" s="1142"/>
      <c r="K286" s="1142"/>
      <c r="L286" s="1142"/>
      <c r="M286" s="1142">
        <v>100</v>
      </c>
      <c r="N286" s="869"/>
    </row>
    <row r="287" spans="1:14" s="878" customFormat="1" ht="18" customHeight="1">
      <c r="A287" s="451">
        <v>253</v>
      </c>
      <c r="B287" s="872"/>
      <c r="C287" s="873"/>
      <c r="D287" s="1090" t="s">
        <v>893</v>
      </c>
      <c r="E287" s="875"/>
      <c r="F287" s="875"/>
      <c r="G287" s="876"/>
      <c r="H287" s="877"/>
      <c r="I287" s="1138">
        <f>SUM(J287:N287)</f>
        <v>0</v>
      </c>
      <c r="J287" s="1142"/>
      <c r="K287" s="1142"/>
      <c r="L287" s="1142"/>
      <c r="M287" s="1142">
        <v>0</v>
      </c>
      <c r="N287" s="869"/>
    </row>
    <row r="288" spans="1:16" s="87" customFormat="1" ht="22.5" customHeight="1">
      <c r="A288" s="451">
        <v>254</v>
      </c>
      <c r="B288" s="447"/>
      <c r="C288" s="120">
        <v>55</v>
      </c>
      <c r="D288" s="446" t="s">
        <v>268</v>
      </c>
      <c r="E288" s="122">
        <v>6000</v>
      </c>
      <c r="F288" s="122">
        <v>5100</v>
      </c>
      <c r="G288" s="123">
        <v>6000</v>
      </c>
      <c r="H288" s="453" t="s">
        <v>22</v>
      </c>
      <c r="I288" s="867"/>
      <c r="J288" s="1017"/>
      <c r="K288" s="1017"/>
      <c r="L288" s="1017"/>
      <c r="M288" s="1017"/>
      <c r="N288" s="1018"/>
      <c r="P288" s="442"/>
    </row>
    <row r="289" spans="1:14" s="878" customFormat="1" ht="18" customHeight="1">
      <c r="A289" s="451">
        <v>255</v>
      </c>
      <c r="B289" s="872"/>
      <c r="C289" s="873"/>
      <c r="D289" s="874" t="s">
        <v>283</v>
      </c>
      <c r="E289" s="875"/>
      <c r="F289" s="875"/>
      <c r="G289" s="876"/>
      <c r="H289" s="877"/>
      <c r="I289" s="867">
        <f>SUM(J289:N289)</f>
        <v>6000</v>
      </c>
      <c r="J289" s="868"/>
      <c r="K289" s="868"/>
      <c r="L289" s="868">
        <v>6000</v>
      </c>
      <c r="M289" s="868"/>
      <c r="N289" s="869"/>
    </row>
    <row r="290" spans="1:14" s="878" customFormat="1" ht="18" customHeight="1">
      <c r="A290" s="451">
        <v>256</v>
      </c>
      <c r="B290" s="872"/>
      <c r="C290" s="873"/>
      <c r="D290" s="1457" t="s">
        <v>757</v>
      </c>
      <c r="E290" s="875"/>
      <c r="F290" s="875"/>
      <c r="G290" s="876"/>
      <c r="H290" s="877"/>
      <c r="I290" s="1135">
        <f>SUM(J290:N290)</f>
        <v>6000</v>
      </c>
      <c r="J290" s="1142"/>
      <c r="K290" s="1142"/>
      <c r="L290" s="1142">
        <v>6000</v>
      </c>
      <c r="M290" s="868"/>
      <c r="N290" s="869"/>
    </row>
    <row r="291" spans="1:14" s="878" customFormat="1" ht="18" customHeight="1">
      <c r="A291" s="451">
        <v>257</v>
      </c>
      <c r="B291" s="872"/>
      <c r="C291" s="873"/>
      <c r="D291" s="1090" t="s">
        <v>893</v>
      </c>
      <c r="E291" s="875"/>
      <c r="F291" s="875"/>
      <c r="G291" s="876"/>
      <c r="H291" s="877"/>
      <c r="I291" s="1138">
        <f>SUM(J291:N291)</f>
        <v>3000</v>
      </c>
      <c r="J291" s="1142"/>
      <c r="K291" s="1142"/>
      <c r="L291" s="1145">
        <v>3000</v>
      </c>
      <c r="M291" s="868"/>
      <c r="N291" s="869"/>
    </row>
    <row r="292" spans="1:16" s="87" customFormat="1" ht="22.5" customHeight="1">
      <c r="A292" s="451">
        <v>258</v>
      </c>
      <c r="B292" s="447"/>
      <c r="C292" s="120">
        <v>56</v>
      </c>
      <c r="D292" s="446" t="s">
        <v>281</v>
      </c>
      <c r="E292" s="122">
        <v>12000</v>
      </c>
      <c r="F292" s="122">
        <v>10200</v>
      </c>
      <c r="G292" s="123">
        <v>10200</v>
      </c>
      <c r="H292" s="453" t="s">
        <v>22</v>
      </c>
      <c r="I292" s="867"/>
      <c r="J292" s="1017"/>
      <c r="K292" s="1017"/>
      <c r="L292" s="1017"/>
      <c r="M292" s="1017"/>
      <c r="N292" s="1018"/>
      <c r="P292" s="442"/>
    </row>
    <row r="293" spans="1:14" s="878" customFormat="1" ht="18" customHeight="1">
      <c r="A293" s="451">
        <v>259</v>
      </c>
      <c r="B293" s="872"/>
      <c r="C293" s="873"/>
      <c r="D293" s="874" t="s">
        <v>283</v>
      </c>
      <c r="E293" s="875"/>
      <c r="F293" s="875"/>
      <c r="G293" s="876"/>
      <c r="H293" s="877"/>
      <c r="I293" s="867">
        <f>SUM(J293:N293)</f>
        <v>12000</v>
      </c>
      <c r="J293" s="868"/>
      <c r="K293" s="868"/>
      <c r="L293" s="868"/>
      <c r="M293" s="868"/>
      <c r="N293" s="869">
        <v>12000</v>
      </c>
    </row>
    <row r="294" spans="1:14" s="878" customFormat="1" ht="18" customHeight="1">
      <c r="A294" s="451">
        <v>260</v>
      </c>
      <c r="B294" s="872"/>
      <c r="C294" s="873"/>
      <c r="D294" s="1457" t="s">
        <v>757</v>
      </c>
      <c r="E294" s="875"/>
      <c r="F294" s="875"/>
      <c r="G294" s="876"/>
      <c r="H294" s="877"/>
      <c r="I294" s="1135">
        <f>SUM(J294:N294)</f>
        <v>12000</v>
      </c>
      <c r="J294" s="1142"/>
      <c r="K294" s="1142"/>
      <c r="L294" s="1142"/>
      <c r="M294" s="1142"/>
      <c r="N294" s="1148">
        <v>12000</v>
      </c>
    </row>
    <row r="295" spans="1:14" s="878" customFormat="1" ht="18" customHeight="1">
      <c r="A295" s="451">
        <v>261</v>
      </c>
      <c r="B295" s="872"/>
      <c r="C295" s="873"/>
      <c r="D295" s="1090" t="s">
        <v>893</v>
      </c>
      <c r="E295" s="875"/>
      <c r="F295" s="875"/>
      <c r="G295" s="876"/>
      <c r="H295" s="877"/>
      <c r="I295" s="1138">
        <f>SUM(J295:N295)</f>
        <v>6000</v>
      </c>
      <c r="J295" s="1142"/>
      <c r="K295" s="1142"/>
      <c r="L295" s="1142"/>
      <c r="M295" s="1142"/>
      <c r="N295" s="1143">
        <v>6000</v>
      </c>
    </row>
    <row r="296" spans="1:16" s="87" customFormat="1" ht="22.5" customHeight="1">
      <c r="A296" s="451">
        <v>262</v>
      </c>
      <c r="B296" s="447"/>
      <c r="C296" s="120">
        <v>57</v>
      </c>
      <c r="D296" s="446" t="s">
        <v>73</v>
      </c>
      <c r="E296" s="122">
        <v>60000</v>
      </c>
      <c r="F296" s="122">
        <v>60000</v>
      </c>
      <c r="G296" s="123">
        <v>60000</v>
      </c>
      <c r="H296" s="453" t="s">
        <v>22</v>
      </c>
      <c r="I296" s="867"/>
      <c r="J296" s="1017"/>
      <c r="K296" s="1017"/>
      <c r="L296" s="1017"/>
      <c r="M296" s="1017"/>
      <c r="N296" s="1018"/>
      <c r="P296" s="442"/>
    </row>
    <row r="297" spans="1:14" s="878" customFormat="1" ht="18" customHeight="1">
      <c r="A297" s="451">
        <v>263</v>
      </c>
      <c r="B297" s="872"/>
      <c r="C297" s="873"/>
      <c r="D297" s="874" t="s">
        <v>283</v>
      </c>
      <c r="E297" s="875"/>
      <c r="F297" s="875"/>
      <c r="G297" s="876"/>
      <c r="H297" s="877"/>
      <c r="I297" s="867">
        <f>SUM(J297:N297)</f>
        <v>60000</v>
      </c>
      <c r="J297" s="868"/>
      <c r="K297" s="868"/>
      <c r="L297" s="868"/>
      <c r="M297" s="868"/>
      <c r="N297" s="869">
        <v>60000</v>
      </c>
    </row>
    <row r="298" spans="1:14" s="878" customFormat="1" ht="18" customHeight="1">
      <c r="A298" s="451">
        <v>264</v>
      </c>
      <c r="B298" s="872"/>
      <c r="C298" s="873"/>
      <c r="D298" s="1457" t="s">
        <v>757</v>
      </c>
      <c r="E298" s="875"/>
      <c r="F298" s="875"/>
      <c r="G298" s="876"/>
      <c r="H298" s="877"/>
      <c r="I298" s="1135">
        <f>SUM(J298:N298)</f>
        <v>60000</v>
      </c>
      <c r="J298" s="1142"/>
      <c r="K298" s="1142"/>
      <c r="L298" s="1142"/>
      <c r="M298" s="1142"/>
      <c r="N298" s="1148">
        <v>60000</v>
      </c>
    </row>
    <row r="299" spans="1:14" s="878" customFormat="1" ht="18" customHeight="1">
      <c r="A299" s="451">
        <v>265</v>
      </c>
      <c r="B299" s="872"/>
      <c r="C299" s="873"/>
      <c r="D299" s="1090" t="s">
        <v>893</v>
      </c>
      <c r="E299" s="875"/>
      <c r="F299" s="875"/>
      <c r="G299" s="876"/>
      <c r="H299" s="877"/>
      <c r="I299" s="1138">
        <f>SUM(J299:N299)</f>
        <v>30000</v>
      </c>
      <c r="J299" s="1142"/>
      <c r="K299" s="1142"/>
      <c r="L299" s="1142"/>
      <c r="M299" s="1142"/>
      <c r="N299" s="1143">
        <v>30000</v>
      </c>
    </row>
    <row r="300" spans="1:16" s="87" customFormat="1" ht="22.5" customHeight="1">
      <c r="A300" s="451">
        <v>266</v>
      </c>
      <c r="B300" s="447"/>
      <c r="C300" s="120">
        <v>58</v>
      </c>
      <c r="D300" s="446" t="s">
        <v>367</v>
      </c>
      <c r="E300" s="122">
        <v>458587</v>
      </c>
      <c r="F300" s="122">
        <v>454892</v>
      </c>
      <c r="G300" s="123">
        <v>569174</v>
      </c>
      <c r="H300" s="453" t="s">
        <v>22</v>
      </c>
      <c r="I300" s="867"/>
      <c r="J300" s="1017"/>
      <c r="K300" s="1017"/>
      <c r="L300" s="1017"/>
      <c r="M300" s="1017"/>
      <c r="N300" s="1018"/>
      <c r="P300" s="442"/>
    </row>
    <row r="301" spans="1:14" s="878" customFormat="1" ht="18" customHeight="1">
      <c r="A301" s="451">
        <v>267</v>
      </c>
      <c r="B301" s="872"/>
      <c r="C301" s="873"/>
      <c r="D301" s="874" t="s">
        <v>283</v>
      </c>
      <c r="E301" s="875"/>
      <c r="F301" s="875"/>
      <c r="G301" s="876"/>
      <c r="H301" s="877"/>
      <c r="I301" s="867">
        <f>SUM(J301:N301)</f>
        <v>504713</v>
      </c>
      <c r="J301" s="868"/>
      <c r="K301" s="868"/>
      <c r="L301" s="868"/>
      <c r="M301" s="868"/>
      <c r="N301" s="869">
        <v>504713</v>
      </c>
    </row>
    <row r="302" spans="1:14" s="878" customFormat="1" ht="18" customHeight="1">
      <c r="A302" s="451">
        <v>268</v>
      </c>
      <c r="B302" s="872"/>
      <c r="C302" s="873"/>
      <c r="D302" s="1457" t="s">
        <v>757</v>
      </c>
      <c r="E302" s="875"/>
      <c r="F302" s="875"/>
      <c r="G302" s="876"/>
      <c r="H302" s="877"/>
      <c r="I302" s="1135">
        <f>SUM(J302:N302)</f>
        <v>551802</v>
      </c>
      <c r="J302" s="1142"/>
      <c r="K302" s="1142"/>
      <c r="L302" s="1142"/>
      <c r="M302" s="1142"/>
      <c r="N302" s="1148">
        <v>551802</v>
      </c>
    </row>
    <row r="303" spans="1:14" s="878" customFormat="1" ht="18" customHeight="1">
      <c r="A303" s="451">
        <v>269</v>
      </c>
      <c r="B303" s="872"/>
      <c r="C303" s="873"/>
      <c r="D303" s="1090" t="s">
        <v>892</v>
      </c>
      <c r="E303" s="875"/>
      <c r="F303" s="875"/>
      <c r="G303" s="876"/>
      <c r="H303" s="877"/>
      <c r="I303" s="1138">
        <f>SUM(J303:N303)</f>
        <v>287669</v>
      </c>
      <c r="J303" s="1142"/>
      <c r="K303" s="1142"/>
      <c r="L303" s="1142"/>
      <c r="M303" s="1142"/>
      <c r="N303" s="1143">
        <v>287669</v>
      </c>
    </row>
    <row r="304" spans="1:16" s="87" customFormat="1" ht="22.5" customHeight="1">
      <c r="A304" s="451">
        <v>270</v>
      </c>
      <c r="B304" s="447"/>
      <c r="C304" s="120">
        <v>59</v>
      </c>
      <c r="D304" s="446" t="s">
        <v>298</v>
      </c>
      <c r="E304" s="122">
        <v>68585</v>
      </c>
      <c r="F304" s="122">
        <v>98406</v>
      </c>
      <c r="G304" s="123">
        <v>90437</v>
      </c>
      <c r="H304" s="453" t="s">
        <v>22</v>
      </c>
      <c r="I304" s="867"/>
      <c r="J304" s="1017"/>
      <c r="K304" s="1017"/>
      <c r="L304" s="1017"/>
      <c r="M304" s="1017"/>
      <c r="N304" s="1018"/>
      <c r="P304" s="442"/>
    </row>
    <row r="305" spans="1:14" s="878" customFormat="1" ht="18" customHeight="1">
      <c r="A305" s="451">
        <v>271</v>
      </c>
      <c r="B305" s="872"/>
      <c r="C305" s="873"/>
      <c r="D305" s="874" t="s">
        <v>283</v>
      </c>
      <c r="E305" s="875"/>
      <c r="F305" s="875"/>
      <c r="G305" s="876"/>
      <c r="H305" s="877"/>
      <c r="I305" s="867">
        <f>SUM(J305:N305)</f>
        <v>99619</v>
      </c>
      <c r="J305" s="868"/>
      <c r="K305" s="868"/>
      <c r="L305" s="868">
        <v>99619</v>
      </c>
      <c r="M305" s="868"/>
      <c r="N305" s="869"/>
    </row>
    <row r="306" spans="1:14" s="878" customFormat="1" ht="18" customHeight="1">
      <c r="A306" s="451">
        <v>272</v>
      </c>
      <c r="B306" s="872"/>
      <c r="C306" s="873"/>
      <c r="D306" s="1457" t="s">
        <v>757</v>
      </c>
      <c r="E306" s="875"/>
      <c r="F306" s="875"/>
      <c r="G306" s="876"/>
      <c r="H306" s="877"/>
      <c r="I306" s="1135">
        <f>SUM(J306:N306)</f>
        <v>107588</v>
      </c>
      <c r="J306" s="1142"/>
      <c r="K306" s="1142"/>
      <c r="L306" s="1142">
        <v>107588</v>
      </c>
      <c r="M306" s="868"/>
      <c r="N306" s="869"/>
    </row>
    <row r="307" spans="1:14" s="878" customFormat="1" ht="18" customHeight="1">
      <c r="A307" s="451">
        <v>273</v>
      </c>
      <c r="B307" s="872"/>
      <c r="C307" s="873"/>
      <c r="D307" s="1090" t="s">
        <v>892</v>
      </c>
      <c r="E307" s="875"/>
      <c r="F307" s="875"/>
      <c r="G307" s="876"/>
      <c r="H307" s="877"/>
      <c r="I307" s="1138">
        <f>SUM(J307:N307)</f>
        <v>49012</v>
      </c>
      <c r="J307" s="1142"/>
      <c r="K307" s="1142"/>
      <c r="L307" s="1144">
        <v>49012</v>
      </c>
      <c r="M307" s="868"/>
      <c r="N307" s="869"/>
    </row>
    <row r="308" spans="1:14" s="8" customFormat="1" ht="22.5" customHeight="1">
      <c r="A308" s="451">
        <v>274</v>
      </c>
      <c r="B308" s="124"/>
      <c r="C308" s="120">
        <v>60</v>
      </c>
      <c r="D308" s="445" t="s">
        <v>354</v>
      </c>
      <c r="E308" s="122">
        <v>2180</v>
      </c>
      <c r="F308" s="122">
        <v>3264</v>
      </c>
      <c r="G308" s="123">
        <v>2348</v>
      </c>
      <c r="H308" s="453" t="s">
        <v>23</v>
      </c>
      <c r="I308" s="867"/>
      <c r="J308" s="1017"/>
      <c r="K308" s="1017"/>
      <c r="L308" s="1017"/>
      <c r="M308" s="1017"/>
      <c r="N308" s="1018"/>
    </row>
    <row r="309" spans="1:14" s="878" customFormat="1" ht="18" customHeight="1">
      <c r="A309" s="451">
        <v>275</v>
      </c>
      <c r="B309" s="872"/>
      <c r="C309" s="873"/>
      <c r="D309" s="874" t="s">
        <v>283</v>
      </c>
      <c r="E309" s="875"/>
      <c r="F309" s="875"/>
      <c r="G309" s="876"/>
      <c r="H309" s="877"/>
      <c r="I309" s="867">
        <f>SUM(J309:N309)</f>
        <v>3840</v>
      </c>
      <c r="J309" s="868"/>
      <c r="K309" s="868"/>
      <c r="L309" s="868">
        <v>3840</v>
      </c>
      <c r="M309" s="868"/>
      <c r="N309" s="869"/>
    </row>
    <row r="310" spans="1:14" s="878" customFormat="1" ht="18" customHeight="1">
      <c r="A310" s="451">
        <v>276</v>
      </c>
      <c r="B310" s="872"/>
      <c r="C310" s="873"/>
      <c r="D310" s="1457" t="s">
        <v>757</v>
      </c>
      <c r="E310" s="875"/>
      <c r="F310" s="875"/>
      <c r="G310" s="876"/>
      <c r="H310" s="877"/>
      <c r="I310" s="1135">
        <f>SUM(J310:N310)</f>
        <v>3840</v>
      </c>
      <c r="J310" s="1142"/>
      <c r="K310" s="1142"/>
      <c r="L310" s="1142">
        <v>3840</v>
      </c>
      <c r="M310" s="868"/>
      <c r="N310" s="869"/>
    </row>
    <row r="311" spans="1:14" s="878" customFormat="1" ht="18" customHeight="1">
      <c r="A311" s="451">
        <v>277</v>
      </c>
      <c r="B311" s="872"/>
      <c r="C311" s="873"/>
      <c r="D311" s="1090" t="s">
        <v>893</v>
      </c>
      <c r="E311" s="875"/>
      <c r="F311" s="875"/>
      <c r="G311" s="876"/>
      <c r="H311" s="877"/>
      <c r="I311" s="1138">
        <f>SUM(J311:N311)</f>
        <v>794</v>
      </c>
      <c r="J311" s="1142"/>
      <c r="K311" s="1142"/>
      <c r="L311" s="1144">
        <v>794</v>
      </c>
      <c r="M311" s="868"/>
      <c r="N311" s="869"/>
    </row>
    <row r="312" spans="1:14" s="8" customFormat="1" ht="22.5" customHeight="1">
      <c r="A312" s="451">
        <v>278</v>
      </c>
      <c r="B312" s="124"/>
      <c r="C312" s="120">
        <v>61</v>
      </c>
      <c r="D312" s="445" t="s">
        <v>355</v>
      </c>
      <c r="E312" s="122">
        <v>0</v>
      </c>
      <c r="F312" s="122">
        <v>3400</v>
      </c>
      <c r="G312" s="123">
        <v>0</v>
      </c>
      <c r="H312" s="453" t="s">
        <v>23</v>
      </c>
      <c r="I312" s="867"/>
      <c r="J312" s="1017"/>
      <c r="K312" s="1017"/>
      <c r="L312" s="1017"/>
      <c r="M312" s="1017"/>
      <c r="N312" s="1018"/>
    </row>
    <row r="313" spans="1:16" s="3" customFormat="1" ht="22.5" customHeight="1">
      <c r="A313" s="451">
        <v>279</v>
      </c>
      <c r="B313" s="119"/>
      <c r="C313" s="120">
        <v>62</v>
      </c>
      <c r="D313" s="446" t="s">
        <v>74</v>
      </c>
      <c r="E313" s="122">
        <v>1700</v>
      </c>
      <c r="F313" s="122">
        <v>1445</v>
      </c>
      <c r="G313" s="123">
        <v>1445</v>
      </c>
      <c r="H313" s="453" t="s">
        <v>23</v>
      </c>
      <c r="I313" s="867"/>
      <c r="J313" s="1017"/>
      <c r="K313" s="1017"/>
      <c r="L313" s="1017"/>
      <c r="M313" s="1017"/>
      <c r="N313" s="1018"/>
      <c r="P313" s="8"/>
    </row>
    <row r="314" spans="1:14" s="878" customFormat="1" ht="18" customHeight="1">
      <c r="A314" s="451">
        <v>280</v>
      </c>
      <c r="B314" s="872"/>
      <c r="C314" s="873"/>
      <c r="D314" s="874" t="s">
        <v>283</v>
      </c>
      <c r="E314" s="875"/>
      <c r="F314" s="875"/>
      <c r="G314" s="876"/>
      <c r="H314" s="877"/>
      <c r="I314" s="867">
        <f>SUM(J314:N314)</f>
        <v>1700</v>
      </c>
      <c r="J314" s="868"/>
      <c r="K314" s="868"/>
      <c r="L314" s="868">
        <v>1700</v>
      </c>
      <c r="M314" s="868"/>
      <c r="N314" s="869"/>
    </row>
    <row r="315" spans="1:14" s="878" customFormat="1" ht="18" customHeight="1">
      <c r="A315" s="451">
        <v>281</v>
      </c>
      <c r="B315" s="872"/>
      <c r="C315" s="873"/>
      <c r="D315" s="1457" t="s">
        <v>757</v>
      </c>
      <c r="E315" s="875"/>
      <c r="F315" s="875"/>
      <c r="G315" s="876"/>
      <c r="H315" s="877"/>
      <c r="I315" s="1135">
        <f>SUM(J315:N315)</f>
        <v>1700</v>
      </c>
      <c r="J315" s="1142"/>
      <c r="K315" s="1142"/>
      <c r="L315" s="1142">
        <v>1700</v>
      </c>
      <c r="M315" s="868"/>
      <c r="N315" s="869"/>
    </row>
    <row r="316" spans="1:14" s="878" customFormat="1" ht="18" customHeight="1">
      <c r="A316" s="451">
        <v>282</v>
      </c>
      <c r="B316" s="872"/>
      <c r="C316" s="873"/>
      <c r="D316" s="1090" t="s">
        <v>893</v>
      </c>
      <c r="E316" s="875"/>
      <c r="F316" s="875"/>
      <c r="G316" s="876"/>
      <c r="H316" s="877"/>
      <c r="I316" s="1138">
        <f>SUM(J316:N316)</f>
        <v>0</v>
      </c>
      <c r="J316" s="1142"/>
      <c r="K316" s="1142"/>
      <c r="L316" s="1144">
        <v>0</v>
      </c>
      <c r="M316" s="1142"/>
      <c r="N316" s="869"/>
    </row>
    <row r="317" spans="1:16" s="3" customFormat="1" ht="22.5" customHeight="1">
      <c r="A317" s="451">
        <v>283</v>
      </c>
      <c r="B317" s="119"/>
      <c r="C317" s="120">
        <v>63</v>
      </c>
      <c r="D317" s="446" t="s">
        <v>334</v>
      </c>
      <c r="E317" s="122"/>
      <c r="F317" s="122">
        <v>850</v>
      </c>
      <c r="G317" s="123">
        <v>0</v>
      </c>
      <c r="H317" s="453" t="s">
        <v>23</v>
      </c>
      <c r="I317" s="867"/>
      <c r="J317" s="1017"/>
      <c r="K317" s="1017"/>
      <c r="L317" s="1017"/>
      <c r="M317" s="1017"/>
      <c r="N317" s="1018"/>
      <c r="P317" s="8"/>
    </row>
    <row r="318" spans="1:14" s="878" customFormat="1" ht="18" customHeight="1">
      <c r="A318" s="451">
        <v>284</v>
      </c>
      <c r="B318" s="872"/>
      <c r="C318" s="873"/>
      <c r="D318" s="874" t="s">
        <v>283</v>
      </c>
      <c r="E318" s="875"/>
      <c r="F318" s="875"/>
      <c r="G318" s="876"/>
      <c r="H318" s="877"/>
      <c r="I318" s="867">
        <f>SUM(J318:N318)</f>
        <v>1000</v>
      </c>
      <c r="J318" s="868"/>
      <c r="K318" s="868"/>
      <c r="L318" s="868"/>
      <c r="M318" s="868"/>
      <c r="N318" s="869">
        <v>1000</v>
      </c>
    </row>
    <row r="319" spans="1:14" s="878" customFormat="1" ht="18" customHeight="1">
      <c r="A319" s="451">
        <v>285</v>
      </c>
      <c r="B319" s="872"/>
      <c r="C319" s="873"/>
      <c r="D319" s="1457" t="s">
        <v>757</v>
      </c>
      <c r="E319" s="875"/>
      <c r="F319" s="875"/>
      <c r="G319" s="876"/>
      <c r="H319" s="877"/>
      <c r="I319" s="1135">
        <f>SUM(J319:N319)</f>
        <v>1000</v>
      </c>
      <c r="J319" s="1142"/>
      <c r="K319" s="1142"/>
      <c r="L319" s="1142"/>
      <c r="M319" s="1142"/>
      <c r="N319" s="1148">
        <v>1000</v>
      </c>
    </row>
    <row r="320" spans="1:14" s="878" customFormat="1" ht="18" customHeight="1">
      <c r="A320" s="451">
        <v>286</v>
      </c>
      <c r="B320" s="872"/>
      <c r="C320" s="873"/>
      <c r="D320" s="1090" t="s">
        <v>893</v>
      </c>
      <c r="E320" s="875"/>
      <c r="F320" s="875"/>
      <c r="G320" s="876"/>
      <c r="H320" s="877"/>
      <c r="I320" s="1138">
        <f>SUM(J320:N320)</f>
        <v>0</v>
      </c>
      <c r="J320" s="1145"/>
      <c r="K320" s="1145"/>
      <c r="L320" s="1145"/>
      <c r="M320" s="1145"/>
      <c r="N320" s="1146">
        <v>0</v>
      </c>
    </row>
    <row r="321" spans="1:16" s="3" customFormat="1" ht="22.5" customHeight="1">
      <c r="A321" s="451">
        <v>287</v>
      </c>
      <c r="B321" s="119"/>
      <c r="C321" s="120">
        <v>64</v>
      </c>
      <c r="D321" s="446" t="s">
        <v>75</v>
      </c>
      <c r="E321" s="122">
        <v>1000</v>
      </c>
      <c r="F321" s="122">
        <v>850</v>
      </c>
      <c r="G321" s="123">
        <v>710</v>
      </c>
      <c r="H321" s="453" t="s">
        <v>23</v>
      </c>
      <c r="I321" s="867"/>
      <c r="J321" s="1017"/>
      <c r="K321" s="1017"/>
      <c r="L321" s="1017"/>
      <c r="M321" s="1017"/>
      <c r="N321" s="1018"/>
      <c r="P321" s="8"/>
    </row>
    <row r="322" spans="1:14" s="878" customFormat="1" ht="18" customHeight="1">
      <c r="A322" s="451">
        <v>288</v>
      </c>
      <c r="B322" s="872"/>
      <c r="C322" s="873"/>
      <c r="D322" s="874" t="s">
        <v>283</v>
      </c>
      <c r="E322" s="875"/>
      <c r="F322" s="875"/>
      <c r="G322" s="876"/>
      <c r="H322" s="877"/>
      <c r="I322" s="867">
        <f>SUM(J322:N322)</f>
        <v>1000</v>
      </c>
      <c r="J322" s="868"/>
      <c r="K322" s="868"/>
      <c r="L322" s="868">
        <v>1000</v>
      </c>
      <c r="M322" s="868"/>
      <c r="N322" s="869"/>
    </row>
    <row r="323" spans="1:14" s="878" customFormat="1" ht="18" customHeight="1">
      <c r="A323" s="451">
        <v>289</v>
      </c>
      <c r="B323" s="872"/>
      <c r="C323" s="873"/>
      <c r="D323" s="1457" t="s">
        <v>757</v>
      </c>
      <c r="E323" s="875"/>
      <c r="F323" s="875"/>
      <c r="G323" s="876"/>
      <c r="H323" s="877"/>
      <c r="I323" s="1135">
        <f>SUM(J323:N323)</f>
        <v>1000</v>
      </c>
      <c r="J323" s="1142"/>
      <c r="K323" s="1142"/>
      <c r="L323" s="1142">
        <v>1000</v>
      </c>
      <c r="M323" s="868"/>
      <c r="N323" s="869"/>
    </row>
    <row r="324" spans="1:14" s="878" customFormat="1" ht="18" customHeight="1">
      <c r="A324" s="451">
        <v>290</v>
      </c>
      <c r="B324" s="872"/>
      <c r="C324" s="873"/>
      <c r="D324" s="1090" t="s">
        <v>893</v>
      </c>
      <c r="E324" s="875"/>
      <c r="F324" s="875"/>
      <c r="G324" s="876"/>
      <c r="H324" s="877"/>
      <c r="I324" s="1138">
        <f>SUM(J324:N324)</f>
        <v>502</v>
      </c>
      <c r="J324" s="1145"/>
      <c r="K324" s="1145"/>
      <c r="L324" s="1145">
        <v>502</v>
      </c>
      <c r="M324" s="868"/>
      <c r="N324" s="869"/>
    </row>
    <row r="325" spans="1:14" s="8" customFormat="1" ht="22.5" customHeight="1">
      <c r="A325" s="451">
        <v>291</v>
      </c>
      <c r="B325" s="124"/>
      <c r="C325" s="120">
        <v>65</v>
      </c>
      <c r="D325" s="446" t="s">
        <v>499</v>
      </c>
      <c r="E325" s="122"/>
      <c r="F325" s="122">
        <v>1275</v>
      </c>
      <c r="G325" s="123">
        <v>1275</v>
      </c>
      <c r="H325" s="453" t="s">
        <v>23</v>
      </c>
      <c r="I325" s="867"/>
      <c r="J325" s="1017"/>
      <c r="K325" s="1017"/>
      <c r="L325" s="1017"/>
      <c r="M325" s="1017"/>
      <c r="N325" s="1018"/>
    </row>
    <row r="326" spans="1:16" s="3" customFormat="1" ht="22.5" customHeight="1">
      <c r="A326" s="451">
        <v>292</v>
      </c>
      <c r="B326" s="119"/>
      <c r="C326" s="120">
        <v>66</v>
      </c>
      <c r="D326" s="446" t="s">
        <v>76</v>
      </c>
      <c r="E326" s="122">
        <v>5500</v>
      </c>
      <c r="F326" s="122">
        <v>5500</v>
      </c>
      <c r="G326" s="123">
        <v>5500</v>
      </c>
      <c r="H326" s="453" t="s">
        <v>22</v>
      </c>
      <c r="I326" s="867"/>
      <c r="J326" s="1017"/>
      <c r="K326" s="1017"/>
      <c r="L326" s="1017"/>
      <c r="M326" s="1017"/>
      <c r="N326" s="1018"/>
      <c r="P326" s="8"/>
    </row>
    <row r="327" spans="1:14" s="878" customFormat="1" ht="18" customHeight="1">
      <c r="A327" s="451">
        <v>293</v>
      </c>
      <c r="B327" s="872"/>
      <c r="C327" s="873"/>
      <c r="D327" s="874" t="s">
        <v>283</v>
      </c>
      <c r="E327" s="875"/>
      <c r="F327" s="875"/>
      <c r="G327" s="876"/>
      <c r="H327" s="877"/>
      <c r="I327" s="867">
        <f>SUM(J327:N327)</f>
        <v>5500</v>
      </c>
      <c r="J327" s="868"/>
      <c r="K327" s="868"/>
      <c r="L327" s="868">
        <v>5500</v>
      </c>
      <c r="M327" s="868"/>
      <c r="N327" s="869"/>
    </row>
    <row r="328" spans="1:14" s="878" customFormat="1" ht="18" customHeight="1">
      <c r="A328" s="451">
        <v>294</v>
      </c>
      <c r="B328" s="872"/>
      <c r="C328" s="873"/>
      <c r="D328" s="1457" t="s">
        <v>757</v>
      </c>
      <c r="E328" s="875"/>
      <c r="F328" s="875"/>
      <c r="G328" s="876"/>
      <c r="H328" s="877"/>
      <c r="I328" s="1135">
        <f>SUM(J328:N328)</f>
        <v>5500</v>
      </c>
      <c r="J328" s="868"/>
      <c r="K328" s="868"/>
      <c r="L328" s="1142">
        <v>5500</v>
      </c>
      <c r="M328" s="868"/>
      <c r="N328" s="869"/>
    </row>
    <row r="329" spans="1:14" s="878" customFormat="1" ht="18" customHeight="1">
      <c r="A329" s="451">
        <v>295</v>
      </c>
      <c r="B329" s="872"/>
      <c r="C329" s="873"/>
      <c r="D329" s="1090" t="s">
        <v>893</v>
      </c>
      <c r="E329" s="875"/>
      <c r="F329" s="875"/>
      <c r="G329" s="876"/>
      <c r="H329" s="877"/>
      <c r="I329" s="1138">
        <f>SUM(J329:N329)</f>
        <v>2750</v>
      </c>
      <c r="J329" s="1145"/>
      <c r="K329" s="1145"/>
      <c r="L329" s="1145">
        <v>2750</v>
      </c>
      <c r="M329" s="868"/>
      <c r="N329" s="869"/>
    </row>
    <row r="330" spans="1:16" s="3" customFormat="1" ht="22.5" customHeight="1">
      <c r="A330" s="451">
        <v>296</v>
      </c>
      <c r="B330" s="119"/>
      <c r="C330" s="120">
        <v>67</v>
      </c>
      <c r="D330" s="446" t="s">
        <v>77</v>
      </c>
      <c r="E330" s="122">
        <v>4800</v>
      </c>
      <c r="F330" s="122">
        <v>5200</v>
      </c>
      <c r="G330" s="123">
        <v>5160</v>
      </c>
      <c r="H330" s="453" t="s">
        <v>22</v>
      </c>
      <c r="I330" s="867"/>
      <c r="J330" s="1017"/>
      <c r="K330" s="1017"/>
      <c r="L330" s="1017"/>
      <c r="M330" s="1017"/>
      <c r="N330" s="1018"/>
      <c r="P330" s="8"/>
    </row>
    <row r="331" spans="1:14" s="878" customFormat="1" ht="18" customHeight="1">
      <c r="A331" s="451">
        <v>297</v>
      </c>
      <c r="B331" s="872"/>
      <c r="C331" s="873"/>
      <c r="D331" s="874" t="s">
        <v>283</v>
      </c>
      <c r="E331" s="875"/>
      <c r="F331" s="875"/>
      <c r="G331" s="876"/>
      <c r="H331" s="877"/>
      <c r="I331" s="867">
        <f>SUM(J331:N331)</f>
        <v>5280</v>
      </c>
      <c r="J331" s="868"/>
      <c r="K331" s="868"/>
      <c r="L331" s="868">
        <v>5280</v>
      </c>
      <c r="M331" s="868"/>
      <c r="N331" s="869"/>
    </row>
    <row r="332" spans="1:14" s="878" customFormat="1" ht="18" customHeight="1">
      <c r="A332" s="451">
        <v>298</v>
      </c>
      <c r="B332" s="872"/>
      <c r="C332" s="873"/>
      <c r="D332" s="1457" t="s">
        <v>757</v>
      </c>
      <c r="E332" s="875"/>
      <c r="F332" s="875"/>
      <c r="G332" s="876"/>
      <c r="H332" s="877"/>
      <c r="I332" s="1135">
        <f>SUM(J332:N332)</f>
        <v>5280</v>
      </c>
      <c r="J332" s="1142"/>
      <c r="K332" s="1142"/>
      <c r="L332" s="1142">
        <v>5280</v>
      </c>
      <c r="M332" s="868"/>
      <c r="N332" s="869"/>
    </row>
    <row r="333" spans="1:14" s="878" customFormat="1" ht="18" customHeight="1">
      <c r="A333" s="451">
        <v>299</v>
      </c>
      <c r="B333" s="872"/>
      <c r="C333" s="873"/>
      <c r="D333" s="1090" t="s">
        <v>893</v>
      </c>
      <c r="E333" s="875"/>
      <c r="F333" s="875"/>
      <c r="G333" s="876"/>
      <c r="H333" s="877"/>
      <c r="I333" s="1138">
        <f>SUM(J333:N333)</f>
        <v>2200</v>
      </c>
      <c r="J333" s="1145"/>
      <c r="K333" s="1145"/>
      <c r="L333" s="1145">
        <v>2200</v>
      </c>
      <c r="M333" s="868"/>
      <c r="N333" s="869"/>
    </row>
    <row r="334" spans="1:16" s="3" customFormat="1" ht="22.5" customHeight="1">
      <c r="A334" s="451">
        <v>300</v>
      </c>
      <c r="B334" s="119"/>
      <c r="C334" s="120">
        <v>68</v>
      </c>
      <c r="D334" s="446" t="s">
        <v>78</v>
      </c>
      <c r="E334" s="122">
        <v>1763</v>
      </c>
      <c r="F334" s="122">
        <v>2418</v>
      </c>
      <c r="G334" s="123">
        <v>5177</v>
      </c>
      <c r="H334" s="453" t="s">
        <v>23</v>
      </c>
      <c r="I334" s="867"/>
      <c r="J334" s="1017"/>
      <c r="K334" s="1017"/>
      <c r="L334" s="1017"/>
      <c r="M334" s="1017"/>
      <c r="N334" s="1018"/>
      <c r="P334" s="8"/>
    </row>
    <row r="335" spans="1:14" s="878" customFormat="1" ht="18" customHeight="1">
      <c r="A335" s="451">
        <v>301</v>
      </c>
      <c r="B335" s="872"/>
      <c r="C335" s="873"/>
      <c r="D335" s="874" t="s">
        <v>283</v>
      </c>
      <c r="E335" s="875"/>
      <c r="F335" s="875"/>
      <c r="G335" s="876"/>
      <c r="H335" s="877"/>
      <c r="I335" s="867">
        <f>SUM(J335:N335)</f>
        <v>2945</v>
      </c>
      <c r="J335" s="868"/>
      <c r="K335" s="868"/>
      <c r="L335" s="868">
        <v>2945</v>
      </c>
      <c r="M335" s="868"/>
      <c r="N335" s="869"/>
    </row>
    <row r="336" spans="1:14" s="878" customFormat="1" ht="18" customHeight="1">
      <c r="A336" s="451">
        <v>302</v>
      </c>
      <c r="B336" s="872"/>
      <c r="C336" s="873"/>
      <c r="D336" s="1457" t="s">
        <v>757</v>
      </c>
      <c r="E336" s="875"/>
      <c r="F336" s="875"/>
      <c r="G336" s="876"/>
      <c r="H336" s="877"/>
      <c r="I336" s="1135">
        <f>SUM(J336:N336)</f>
        <v>3686</v>
      </c>
      <c r="J336" s="1142"/>
      <c r="K336" s="1142"/>
      <c r="L336" s="1142">
        <v>3686</v>
      </c>
      <c r="M336" s="868"/>
      <c r="N336" s="869"/>
    </row>
    <row r="337" spans="1:14" s="878" customFormat="1" ht="18" customHeight="1">
      <c r="A337" s="451">
        <v>303</v>
      </c>
      <c r="B337" s="872"/>
      <c r="C337" s="873"/>
      <c r="D337" s="1090" t="s">
        <v>892</v>
      </c>
      <c r="E337" s="875"/>
      <c r="F337" s="875"/>
      <c r="G337" s="876"/>
      <c r="H337" s="877"/>
      <c r="I337" s="1138">
        <f>SUM(J337:N337)</f>
        <v>1714</v>
      </c>
      <c r="J337" s="1145"/>
      <c r="K337" s="1145"/>
      <c r="L337" s="1144">
        <v>1714</v>
      </c>
      <c r="M337" s="868"/>
      <c r="N337" s="869"/>
    </row>
    <row r="338" spans="1:16" s="3" customFormat="1" ht="22.5" customHeight="1">
      <c r="A338" s="451">
        <v>304</v>
      </c>
      <c r="B338" s="119"/>
      <c r="C338" s="120">
        <v>69</v>
      </c>
      <c r="D338" s="446" t="s">
        <v>79</v>
      </c>
      <c r="E338" s="122">
        <v>197049</v>
      </c>
      <c r="F338" s="122">
        <v>255180</v>
      </c>
      <c r="G338" s="123">
        <v>202279</v>
      </c>
      <c r="H338" s="453" t="s">
        <v>22</v>
      </c>
      <c r="I338" s="867"/>
      <c r="J338" s="1017"/>
      <c r="K338" s="1017"/>
      <c r="L338" s="1017"/>
      <c r="M338" s="1017"/>
      <c r="N338" s="1018"/>
      <c r="P338" s="8"/>
    </row>
    <row r="339" spans="1:14" s="878" customFormat="1" ht="18" customHeight="1">
      <c r="A339" s="451">
        <v>305</v>
      </c>
      <c r="B339" s="872"/>
      <c r="C339" s="873"/>
      <c r="D339" s="874" t="s">
        <v>283</v>
      </c>
      <c r="E339" s="875"/>
      <c r="F339" s="875"/>
      <c r="G339" s="876"/>
      <c r="H339" s="877"/>
      <c r="I339" s="867">
        <f>SUM(J339:N339)</f>
        <v>261840</v>
      </c>
      <c r="J339" s="868">
        <v>148380</v>
      </c>
      <c r="K339" s="868">
        <v>22576</v>
      </c>
      <c r="L339" s="868">
        <v>90884</v>
      </c>
      <c r="M339" s="868"/>
      <c r="N339" s="869"/>
    </row>
    <row r="340" spans="1:14" s="878" customFormat="1" ht="18" customHeight="1">
      <c r="A340" s="451">
        <v>306</v>
      </c>
      <c r="B340" s="872"/>
      <c r="C340" s="873"/>
      <c r="D340" s="1457" t="s">
        <v>757</v>
      </c>
      <c r="E340" s="875"/>
      <c r="F340" s="875"/>
      <c r="G340" s="876"/>
      <c r="H340" s="877"/>
      <c r="I340" s="1135">
        <f>SUM(J340:N340)</f>
        <v>323185</v>
      </c>
      <c r="J340" s="1142">
        <v>186820</v>
      </c>
      <c r="K340" s="1142">
        <v>35257</v>
      </c>
      <c r="L340" s="1142">
        <v>101108</v>
      </c>
      <c r="M340" s="868"/>
      <c r="N340" s="869"/>
    </row>
    <row r="341" spans="1:14" s="878" customFormat="1" ht="18" customHeight="1">
      <c r="A341" s="451">
        <v>307</v>
      </c>
      <c r="B341" s="872"/>
      <c r="C341" s="873"/>
      <c r="D341" s="1090" t="s">
        <v>892</v>
      </c>
      <c r="E341" s="875"/>
      <c r="F341" s="875"/>
      <c r="G341" s="876"/>
      <c r="H341" s="877"/>
      <c r="I341" s="1138">
        <f>SUM(J341:N341)</f>
        <v>108296</v>
      </c>
      <c r="J341" s="1144">
        <v>67336</v>
      </c>
      <c r="K341" s="1144">
        <v>9002</v>
      </c>
      <c r="L341" s="1144">
        <v>31958</v>
      </c>
      <c r="M341" s="868"/>
      <c r="N341" s="869"/>
    </row>
    <row r="342" spans="1:14" s="8" customFormat="1" ht="22.5" customHeight="1">
      <c r="A342" s="451">
        <v>308</v>
      </c>
      <c r="B342" s="124"/>
      <c r="C342" s="120">
        <v>70</v>
      </c>
      <c r="D342" s="445" t="s">
        <v>335</v>
      </c>
      <c r="E342" s="122">
        <v>180</v>
      </c>
      <c r="F342" s="122">
        <v>180</v>
      </c>
      <c r="G342" s="123">
        <v>180</v>
      </c>
      <c r="H342" s="453" t="s">
        <v>22</v>
      </c>
      <c r="I342" s="867"/>
      <c r="J342" s="1017"/>
      <c r="K342" s="1017"/>
      <c r="L342" s="1017"/>
      <c r="M342" s="1017"/>
      <c r="N342" s="1018"/>
    </row>
    <row r="343" spans="1:14" s="878" customFormat="1" ht="18" customHeight="1">
      <c r="A343" s="451">
        <v>309</v>
      </c>
      <c r="B343" s="872"/>
      <c r="C343" s="873"/>
      <c r="D343" s="874" t="s">
        <v>283</v>
      </c>
      <c r="E343" s="875"/>
      <c r="F343" s="875"/>
      <c r="G343" s="876"/>
      <c r="H343" s="877"/>
      <c r="I343" s="867">
        <f>SUM(J343:N343)</f>
        <v>180</v>
      </c>
      <c r="J343" s="868"/>
      <c r="K343" s="868"/>
      <c r="L343" s="868">
        <v>180</v>
      </c>
      <c r="M343" s="868"/>
      <c r="N343" s="869"/>
    </row>
    <row r="344" spans="1:14" s="878" customFormat="1" ht="18" customHeight="1">
      <c r="A344" s="451">
        <v>310</v>
      </c>
      <c r="B344" s="872"/>
      <c r="C344" s="873"/>
      <c r="D344" s="1457" t="s">
        <v>757</v>
      </c>
      <c r="E344" s="875"/>
      <c r="F344" s="875"/>
      <c r="G344" s="876"/>
      <c r="H344" s="877"/>
      <c r="I344" s="1135">
        <f>SUM(J344:N344)</f>
        <v>180</v>
      </c>
      <c r="J344" s="1142"/>
      <c r="K344" s="1142"/>
      <c r="L344" s="1142">
        <v>180</v>
      </c>
      <c r="M344" s="868"/>
      <c r="N344" s="869"/>
    </row>
    <row r="345" spans="1:14" s="878" customFormat="1" ht="18" customHeight="1">
      <c r="A345" s="451">
        <v>311</v>
      </c>
      <c r="B345" s="872"/>
      <c r="C345" s="873"/>
      <c r="D345" s="1090" t="s">
        <v>893</v>
      </c>
      <c r="E345" s="875"/>
      <c r="F345" s="875"/>
      <c r="G345" s="876"/>
      <c r="H345" s="877"/>
      <c r="I345" s="1138">
        <f>SUM(J345:N345)</f>
        <v>0</v>
      </c>
      <c r="J345" s="1145"/>
      <c r="K345" s="1145"/>
      <c r="L345" s="1145">
        <v>0</v>
      </c>
      <c r="M345" s="868"/>
      <c r="N345" s="869"/>
    </row>
    <row r="346" spans="1:16" s="3" customFormat="1" ht="22.5" customHeight="1">
      <c r="A346" s="451">
        <v>312</v>
      </c>
      <c r="B346" s="119"/>
      <c r="C346" s="120">
        <v>71</v>
      </c>
      <c r="D346" s="446" t="s">
        <v>80</v>
      </c>
      <c r="E346" s="122">
        <v>14161</v>
      </c>
      <c r="F346" s="122">
        <v>54536</v>
      </c>
      <c r="G346" s="123">
        <v>16203</v>
      </c>
      <c r="H346" s="453" t="s">
        <v>22</v>
      </c>
      <c r="I346" s="867"/>
      <c r="J346" s="1017"/>
      <c r="K346" s="1017"/>
      <c r="L346" s="1017"/>
      <c r="M346" s="1017"/>
      <c r="N346" s="1018"/>
      <c r="P346" s="8"/>
    </row>
    <row r="347" spans="1:14" s="878" customFormat="1" ht="18" customHeight="1">
      <c r="A347" s="451">
        <v>313</v>
      </c>
      <c r="B347" s="895"/>
      <c r="C347" s="873"/>
      <c r="D347" s="874" t="s">
        <v>283</v>
      </c>
      <c r="E347" s="879"/>
      <c r="F347" s="879"/>
      <c r="G347" s="880"/>
      <c r="H347" s="881"/>
      <c r="I347" s="867">
        <f>SUM(J347:N347)</f>
        <v>62975</v>
      </c>
      <c r="J347" s="882"/>
      <c r="K347" s="882"/>
      <c r="L347" s="882">
        <v>5000</v>
      </c>
      <c r="M347" s="882"/>
      <c r="N347" s="883">
        <f>55000+12700-9425-300</f>
        <v>57975</v>
      </c>
    </row>
    <row r="348" spans="1:14" s="878" customFormat="1" ht="18" customHeight="1">
      <c r="A348" s="451">
        <v>314</v>
      </c>
      <c r="B348" s="895"/>
      <c r="C348" s="873"/>
      <c r="D348" s="1457" t="s">
        <v>757</v>
      </c>
      <c r="E348" s="879"/>
      <c r="F348" s="879"/>
      <c r="G348" s="880"/>
      <c r="H348" s="881"/>
      <c r="I348" s="1135">
        <f>SUM(J348:N348)</f>
        <v>530594</v>
      </c>
      <c r="J348" s="1136"/>
      <c r="K348" s="1136"/>
      <c r="L348" s="1136">
        <v>5000</v>
      </c>
      <c r="M348" s="1136"/>
      <c r="N348" s="1139">
        <v>525594</v>
      </c>
    </row>
    <row r="349" spans="1:14" s="878" customFormat="1" ht="18" customHeight="1">
      <c r="A349" s="451">
        <v>315</v>
      </c>
      <c r="B349" s="895"/>
      <c r="C349" s="873"/>
      <c r="D349" s="1090" t="s">
        <v>892</v>
      </c>
      <c r="E349" s="879"/>
      <c r="F349" s="879"/>
      <c r="G349" s="880"/>
      <c r="H349" s="881"/>
      <c r="I349" s="1138">
        <f>SUM(J349:N349)</f>
        <v>38212</v>
      </c>
      <c r="J349" s="1140"/>
      <c r="K349" s="1140"/>
      <c r="L349" s="1708">
        <f>16+24</f>
        <v>40</v>
      </c>
      <c r="M349" s="1140"/>
      <c r="N349" s="1710">
        <v>38172</v>
      </c>
    </row>
    <row r="350" spans="1:16" s="3" customFormat="1" ht="22.5" customHeight="1">
      <c r="A350" s="451">
        <v>316</v>
      </c>
      <c r="B350" s="119"/>
      <c r="C350" s="120">
        <v>72</v>
      </c>
      <c r="D350" s="446" t="s">
        <v>81</v>
      </c>
      <c r="E350" s="122">
        <v>164182</v>
      </c>
      <c r="F350" s="122">
        <v>158489</v>
      </c>
      <c r="G350" s="123">
        <v>119740</v>
      </c>
      <c r="H350" s="453" t="s">
        <v>22</v>
      </c>
      <c r="I350" s="867"/>
      <c r="J350" s="1017"/>
      <c r="K350" s="1017"/>
      <c r="L350" s="1017"/>
      <c r="M350" s="1017"/>
      <c r="N350" s="1018"/>
      <c r="P350" s="8"/>
    </row>
    <row r="351" spans="1:14" s="878" customFormat="1" ht="18" customHeight="1">
      <c r="A351" s="451">
        <v>317</v>
      </c>
      <c r="B351" s="872"/>
      <c r="C351" s="873"/>
      <c r="D351" s="874" t="s">
        <v>283</v>
      </c>
      <c r="E351" s="875"/>
      <c r="F351" s="875"/>
      <c r="G351" s="876"/>
      <c r="H351" s="877"/>
      <c r="I351" s="867">
        <f>SUM(J351:N351)</f>
        <v>138289</v>
      </c>
      <c r="J351" s="868"/>
      <c r="K351" s="868"/>
      <c r="L351" s="868">
        <f>151789-13500</f>
        <v>138289</v>
      </c>
      <c r="M351" s="868"/>
      <c r="N351" s="869"/>
    </row>
    <row r="352" spans="1:14" s="878" customFormat="1" ht="18" customHeight="1">
      <c r="A352" s="451">
        <v>318</v>
      </c>
      <c r="B352" s="872"/>
      <c r="C352" s="873"/>
      <c r="D352" s="1457" t="s">
        <v>757</v>
      </c>
      <c r="E352" s="875"/>
      <c r="F352" s="875"/>
      <c r="G352" s="876"/>
      <c r="H352" s="877"/>
      <c r="I352" s="1135">
        <f>SUM(J352:N352)</f>
        <v>197321</v>
      </c>
      <c r="J352" s="1142"/>
      <c r="K352" s="1142"/>
      <c r="L352" s="1142">
        <v>197321</v>
      </c>
      <c r="M352" s="868"/>
      <c r="N352" s="869"/>
    </row>
    <row r="353" spans="1:14" s="878" customFormat="1" ht="18" customHeight="1">
      <c r="A353" s="451">
        <v>319</v>
      </c>
      <c r="B353" s="872"/>
      <c r="C353" s="873"/>
      <c r="D353" s="1090" t="s">
        <v>892</v>
      </c>
      <c r="E353" s="875"/>
      <c r="F353" s="875"/>
      <c r="G353" s="876"/>
      <c r="H353" s="877"/>
      <c r="I353" s="1138">
        <f>SUM(J353:N353)</f>
        <v>46477</v>
      </c>
      <c r="J353" s="1145"/>
      <c r="K353" s="1145"/>
      <c r="L353" s="1144">
        <v>46477</v>
      </c>
      <c r="M353" s="868"/>
      <c r="N353" s="869"/>
    </row>
    <row r="354" spans="1:16" s="3" customFormat="1" ht="22.5" customHeight="1">
      <c r="A354" s="451">
        <v>320</v>
      </c>
      <c r="B354" s="119"/>
      <c r="C354" s="120">
        <v>73</v>
      </c>
      <c r="D354" s="446" t="s">
        <v>82</v>
      </c>
      <c r="E354" s="122">
        <v>13955</v>
      </c>
      <c r="F354" s="122">
        <v>40583</v>
      </c>
      <c r="G354" s="123">
        <v>14245</v>
      </c>
      <c r="H354" s="453" t="s">
        <v>23</v>
      </c>
      <c r="I354" s="867"/>
      <c r="J354" s="1017"/>
      <c r="K354" s="1017"/>
      <c r="L354" s="1017"/>
      <c r="M354" s="1017"/>
      <c r="N354" s="1018"/>
      <c r="P354" s="8"/>
    </row>
    <row r="355" spans="1:14" s="878" customFormat="1" ht="18" customHeight="1">
      <c r="A355" s="451">
        <v>321</v>
      </c>
      <c r="B355" s="872"/>
      <c r="C355" s="873"/>
      <c r="D355" s="874" t="s">
        <v>283</v>
      </c>
      <c r="E355" s="875"/>
      <c r="F355" s="875"/>
      <c r="G355" s="876"/>
      <c r="H355" s="877"/>
      <c r="I355" s="867">
        <f>SUM(J355:N355)</f>
        <v>51870</v>
      </c>
      <c r="J355" s="868"/>
      <c r="K355" s="868"/>
      <c r="L355" s="868">
        <v>51870</v>
      </c>
      <c r="M355" s="868"/>
      <c r="N355" s="869"/>
    </row>
    <row r="356" spans="1:14" s="878" customFormat="1" ht="18" customHeight="1">
      <c r="A356" s="451">
        <v>322</v>
      </c>
      <c r="B356" s="872"/>
      <c r="C356" s="873"/>
      <c r="D356" s="1457" t="s">
        <v>757</v>
      </c>
      <c r="E356" s="875"/>
      <c r="F356" s="875"/>
      <c r="G356" s="876"/>
      <c r="H356" s="877"/>
      <c r="I356" s="1135">
        <f>SUM(J356:N356)</f>
        <v>51870</v>
      </c>
      <c r="J356" s="1142"/>
      <c r="K356" s="1142"/>
      <c r="L356" s="1142">
        <v>51870</v>
      </c>
      <c r="M356" s="868"/>
      <c r="N356" s="869"/>
    </row>
    <row r="357" spans="1:14" s="878" customFormat="1" ht="18" customHeight="1">
      <c r="A357" s="451">
        <v>323</v>
      </c>
      <c r="B357" s="872"/>
      <c r="C357" s="873"/>
      <c r="D357" s="1090" t="s">
        <v>893</v>
      </c>
      <c r="E357" s="875"/>
      <c r="F357" s="875"/>
      <c r="G357" s="876"/>
      <c r="H357" s="877"/>
      <c r="I357" s="1138">
        <f>SUM(J357:N357)</f>
        <v>11969</v>
      </c>
      <c r="J357" s="1145"/>
      <c r="K357" s="1145"/>
      <c r="L357" s="1144">
        <f>11993-24</f>
        <v>11969</v>
      </c>
      <c r="M357" s="868"/>
      <c r="N357" s="869"/>
    </row>
    <row r="358" spans="1:14" s="8" customFormat="1" ht="22.5" customHeight="1">
      <c r="A358" s="451">
        <v>324</v>
      </c>
      <c r="B358" s="124"/>
      <c r="C358" s="120">
        <v>74</v>
      </c>
      <c r="D358" s="445" t="s">
        <v>336</v>
      </c>
      <c r="E358" s="122">
        <v>306766</v>
      </c>
      <c r="F358" s="122">
        <v>394879</v>
      </c>
      <c r="G358" s="123">
        <v>301687</v>
      </c>
      <c r="H358" s="453" t="s">
        <v>22</v>
      </c>
      <c r="I358" s="867"/>
      <c r="J358" s="1017"/>
      <c r="K358" s="1017"/>
      <c r="L358" s="1017"/>
      <c r="M358" s="1017"/>
      <c r="N358" s="1018"/>
    </row>
    <row r="359" spans="1:14" s="878" customFormat="1" ht="18" customHeight="1">
      <c r="A359" s="451">
        <v>325</v>
      </c>
      <c r="B359" s="872"/>
      <c r="C359" s="873"/>
      <c r="D359" s="874" t="s">
        <v>283</v>
      </c>
      <c r="E359" s="875"/>
      <c r="F359" s="875"/>
      <c r="G359" s="876"/>
      <c r="H359" s="877"/>
      <c r="I359" s="867">
        <f>SUM(J359:N359)</f>
        <v>1618046</v>
      </c>
      <c r="J359" s="868"/>
      <c r="K359" s="868"/>
      <c r="L359" s="868"/>
      <c r="M359" s="868"/>
      <c r="N359" s="869">
        <v>1618046</v>
      </c>
    </row>
    <row r="360" spans="1:14" s="878" customFormat="1" ht="18" customHeight="1">
      <c r="A360" s="451">
        <v>326</v>
      </c>
      <c r="B360" s="872"/>
      <c r="C360" s="873"/>
      <c r="D360" s="1457" t="s">
        <v>757</v>
      </c>
      <c r="E360" s="875"/>
      <c r="F360" s="875"/>
      <c r="G360" s="876"/>
      <c r="H360" s="877"/>
      <c r="I360" s="1135">
        <f>SUM(J360:N360)</f>
        <v>1618046</v>
      </c>
      <c r="J360" s="1142"/>
      <c r="K360" s="1142"/>
      <c r="L360" s="1142"/>
      <c r="M360" s="1142"/>
      <c r="N360" s="1148">
        <v>1618046</v>
      </c>
    </row>
    <row r="361" spans="1:14" s="878" customFormat="1" ht="18" customHeight="1">
      <c r="A361" s="451">
        <v>327</v>
      </c>
      <c r="B361" s="872"/>
      <c r="C361" s="873"/>
      <c r="D361" s="1090" t="s">
        <v>893</v>
      </c>
      <c r="E361" s="875"/>
      <c r="F361" s="875"/>
      <c r="G361" s="876"/>
      <c r="H361" s="877"/>
      <c r="I361" s="1138">
        <f>SUM(J361:N361)</f>
        <v>841384</v>
      </c>
      <c r="J361" s="1144"/>
      <c r="K361" s="1144"/>
      <c r="L361" s="1144"/>
      <c r="M361" s="1144"/>
      <c r="N361" s="1143">
        <v>841384</v>
      </c>
    </row>
    <row r="362" spans="1:16" s="3" customFormat="1" ht="22.5" customHeight="1">
      <c r="A362" s="451">
        <v>328</v>
      </c>
      <c r="B362" s="119"/>
      <c r="C362" s="120">
        <v>75</v>
      </c>
      <c r="D362" s="446" t="s">
        <v>83</v>
      </c>
      <c r="E362" s="122">
        <v>15000</v>
      </c>
      <c r="F362" s="122">
        <v>12750</v>
      </c>
      <c r="G362" s="123">
        <v>12750</v>
      </c>
      <c r="H362" s="453" t="s">
        <v>23</v>
      </c>
      <c r="I362" s="867"/>
      <c r="J362" s="1017"/>
      <c r="K362" s="1017"/>
      <c r="L362" s="1017"/>
      <c r="M362" s="1017"/>
      <c r="N362" s="1018"/>
      <c r="P362" s="8"/>
    </row>
    <row r="363" spans="1:14" s="878" customFormat="1" ht="18" customHeight="1">
      <c r="A363" s="451">
        <v>329</v>
      </c>
      <c r="B363" s="872"/>
      <c r="C363" s="873"/>
      <c r="D363" s="874" t="s">
        <v>283</v>
      </c>
      <c r="E363" s="875"/>
      <c r="F363" s="875"/>
      <c r="G363" s="876"/>
      <c r="H363" s="877"/>
      <c r="I363" s="867">
        <f>SUM(J363:N363)</f>
        <v>7500</v>
      </c>
      <c r="J363" s="868"/>
      <c r="K363" s="868"/>
      <c r="L363" s="868"/>
      <c r="M363" s="868"/>
      <c r="N363" s="869">
        <v>7500</v>
      </c>
    </row>
    <row r="364" spans="1:14" s="878" customFormat="1" ht="18" customHeight="1">
      <c r="A364" s="451">
        <v>330</v>
      </c>
      <c r="B364" s="872"/>
      <c r="C364" s="873"/>
      <c r="D364" s="1457" t="s">
        <v>757</v>
      </c>
      <c r="E364" s="875"/>
      <c r="F364" s="875"/>
      <c r="G364" s="876"/>
      <c r="H364" s="877"/>
      <c r="I364" s="1135">
        <f>SUM(J364:N364)</f>
        <v>7000</v>
      </c>
      <c r="J364" s="1142"/>
      <c r="K364" s="1142"/>
      <c r="L364" s="1142"/>
      <c r="M364" s="1142"/>
      <c r="N364" s="1148">
        <v>7000</v>
      </c>
    </row>
    <row r="365" spans="1:14" s="878" customFormat="1" ht="18" customHeight="1">
      <c r="A365" s="451">
        <v>331</v>
      </c>
      <c r="B365" s="872"/>
      <c r="C365" s="873"/>
      <c r="D365" s="1090" t="s">
        <v>892</v>
      </c>
      <c r="E365" s="875"/>
      <c r="F365" s="875"/>
      <c r="G365" s="876"/>
      <c r="H365" s="877"/>
      <c r="I365" s="1138">
        <f>SUM(J365:N365)</f>
        <v>4500</v>
      </c>
      <c r="J365" s="1144"/>
      <c r="K365" s="1144"/>
      <c r="L365" s="1144"/>
      <c r="M365" s="1144"/>
      <c r="N365" s="1143">
        <v>4500</v>
      </c>
    </row>
    <row r="366" spans="1:16" s="3" customFormat="1" ht="22.5" customHeight="1">
      <c r="A366" s="451">
        <v>332</v>
      </c>
      <c r="B366" s="119"/>
      <c r="C366" s="120">
        <v>76</v>
      </c>
      <c r="D366" s="446" t="s">
        <v>86</v>
      </c>
      <c r="E366" s="122">
        <v>70468</v>
      </c>
      <c r="F366" s="122">
        <v>29500</v>
      </c>
      <c r="G366" s="123">
        <v>58150</v>
      </c>
      <c r="H366" s="453" t="s">
        <v>23</v>
      </c>
      <c r="I366" s="867"/>
      <c r="J366" s="1017"/>
      <c r="K366" s="1017"/>
      <c r="L366" s="1017"/>
      <c r="M366" s="1017"/>
      <c r="N366" s="1018"/>
      <c r="P366" s="8"/>
    </row>
    <row r="367" spans="1:14" s="878" customFormat="1" ht="18" customHeight="1">
      <c r="A367" s="451">
        <v>333</v>
      </c>
      <c r="B367" s="872"/>
      <c r="C367" s="873"/>
      <c r="D367" s="874" t="s">
        <v>283</v>
      </c>
      <c r="E367" s="875"/>
      <c r="F367" s="875"/>
      <c r="G367" s="876"/>
      <c r="H367" s="877"/>
      <c r="I367" s="867">
        <f>SUM(J367:N367)</f>
        <v>28000</v>
      </c>
      <c r="J367" s="868"/>
      <c r="K367" s="868"/>
      <c r="L367" s="868"/>
      <c r="M367" s="868"/>
      <c r="N367" s="869">
        <v>28000</v>
      </c>
    </row>
    <row r="368" spans="1:14" s="878" customFormat="1" ht="18" customHeight="1">
      <c r="A368" s="451">
        <v>334</v>
      </c>
      <c r="B368" s="872"/>
      <c r="C368" s="873"/>
      <c r="D368" s="1457" t="s">
        <v>757</v>
      </c>
      <c r="E368" s="875"/>
      <c r="F368" s="875"/>
      <c r="G368" s="876"/>
      <c r="H368" s="877"/>
      <c r="I368" s="1135">
        <f>SUM(J368:N368)</f>
        <v>28000</v>
      </c>
      <c r="J368" s="1142"/>
      <c r="K368" s="1142"/>
      <c r="L368" s="1142"/>
      <c r="M368" s="1142"/>
      <c r="N368" s="1148">
        <v>28000</v>
      </c>
    </row>
    <row r="369" spans="1:14" s="878" customFormat="1" ht="18" customHeight="1">
      <c r="A369" s="451">
        <v>335</v>
      </c>
      <c r="B369" s="872"/>
      <c r="C369" s="873"/>
      <c r="D369" s="1090" t="s">
        <v>893</v>
      </c>
      <c r="E369" s="875"/>
      <c r="F369" s="875"/>
      <c r="G369" s="876"/>
      <c r="H369" s="877"/>
      <c r="I369" s="1138">
        <f>SUM(J369:N369)</f>
        <v>28000</v>
      </c>
      <c r="J369" s="1144"/>
      <c r="K369" s="1144"/>
      <c r="L369" s="1144"/>
      <c r="M369" s="1144"/>
      <c r="N369" s="1143">
        <v>28000</v>
      </c>
    </row>
    <row r="370" spans="1:16" s="3" customFormat="1" ht="22.5" customHeight="1">
      <c r="A370" s="451">
        <v>336</v>
      </c>
      <c r="B370" s="119"/>
      <c r="C370" s="120">
        <v>77</v>
      </c>
      <c r="D370" s="446" t="s">
        <v>87</v>
      </c>
      <c r="E370" s="122">
        <v>128000</v>
      </c>
      <c r="F370" s="122">
        <v>103000</v>
      </c>
      <c r="G370" s="123">
        <v>103000</v>
      </c>
      <c r="H370" s="453" t="s">
        <v>23</v>
      </c>
      <c r="I370" s="867"/>
      <c r="J370" s="1017"/>
      <c r="K370" s="1017"/>
      <c r="L370" s="1017"/>
      <c r="M370" s="1017"/>
      <c r="N370" s="1018"/>
      <c r="P370" s="8"/>
    </row>
    <row r="371" spans="1:16" s="3" customFormat="1" ht="22.5" customHeight="1">
      <c r="A371" s="451">
        <v>337</v>
      </c>
      <c r="B371" s="119"/>
      <c r="C371" s="120">
        <v>78</v>
      </c>
      <c r="D371" s="446" t="s">
        <v>88</v>
      </c>
      <c r="E371" s="122"/>
      <c r="F371" s="122">
        <v>174944</v>
      </c>
      <c r="G371" s="123">
        <v>0</v>
      </c>
      <c r="H371" s="453" t="s">
        <v>23</v>
      </c>
      <c r="I371" s="867"/>
      <c r="J371" s="1017"/>
      <c r="K371" s="1017"/>
      <c r="L371" s="1017"/>
      <c r="M371" s="1017"/>
      <c r="N371" s="1018"/>
      <c r="P371" s="8"/>
    </row>
    <row r="372" spans="1:16" s="3" customFormat="1" ht="22.5" customHeight="1">
      <c r="A372" s="451">
        <v>338</v>
      </c>
      <c r="B372" s="119"/>
      <c r="C372" s="120">
        <v>79</v>
      </c>
      <c r="D372" s="446" t="s">
        <v>89</v>
      </c>
      <c r="E372" s="122">
        <v>22000</v>
      </c>
      <c r="F372" s="122">
        <v>22000</v>
      </c>
      <c r="G372" s="123">
        <v>22000</v>
      </c>
      <c r="H372" s="453" t="s">
        <v>23</v>
      </c>
      <c r="I372" s="867"/>
      <c r="J372" s="1017"/>
      <c r="K372" s="1017"/>
      <c r="L372" s="1017"/>
      <c r="M372" s="1017"/>
      <c r="N372" s="1018"/>
      <c r="P372" s="8"/>
    </row>
    <row r="373" spans="1:14" s="878" customFormat="1" ht="18" customHeight="1">
      <c r="A373" s="451">
        <v>339</v>
      </c>
      <c r="B373" s="872"/>
      <c r="C373" s="873"/>
      <c r="D373" s="874" t="s">
        <v>283</v>
      </c>
      <c r="E373" s="875"/>
      <c r="F373" s="875"/>
      <c r="G373" s="876"/>
      <c r="H373" s="877"/>
      <c r="I373" s="867">
        <f>SUM(J373:N373)</f>
        <v>22000</v>
      </c>
      <c r="J373" s="868"/>
      <c r="K373" s="868"/>
      <c r="L373" s="868">
        <v>22000</v>
      </c>
      <c r="M373" s="868"/>
      <c r="N373" s="869"/>
    </row>
    <row r="374" spans="1:14" s="878" customFormat="1" ht="18" customHeight="1">
      <c r="A374" s="451">
        <v>340</v>
      </c>
      <c r="B374" s="872"/>
      <c r="C374" s="873"/>
      <c r="D374" s="1457" t="s">
        <v>757</v>
      </c>
      <c r="E374" s="875"/>
      <c r="F374" s="875"/>
      <c r="G374" s="876"/>
      <c r="H374" s="877"/>
      <c r="I374" s="1135">
        <f>SUM(J374:N374)</f>
        <v>22000</v>
      </c>
      <c r="J374" s="1142"/>
      <c r="K374" s="1142"/>
      <c r="L374" s="1142">
        <v>22000</v>
      </c>
      <c r="M374" s="868"/>
      <c r="N374" s="869"/>
    </row>
    <row r="375" spans="1:14" s="878" customFormat="1" ht="18" customHeight="1">
      <c r="A375" s="451">
        <v>341</v>
      </c>
      <c r="B375" s="872"/>
      <c r="C375" s="873"/>
      <c r="D375" s="1090" t="s">
        <v>893</v>
      </c>
      <c r="E375" s="875"/>
      <c r="F375" s="875"/>
      <c r="G375" s="876"/>
      <c r="H375" s="877"/>
      <c r="I375" s="1138">
        <f>SUM(J375:N375)</f>
        <v>11000</v>
      </c>
      <c r="J375" s="1142"/>
      <c r="K375" s="1142"/>
      <c r="L375" s="1144">
        <v>11000</v>
      </c>
      <c r="M375" s="1142"/>
      <c r="N375" s="869"/>
    </row>
    <row r="376" spans="1:16" s="3" customFormat="1" ht="22.5" customHeight="1">
      <c r="A376" s="451">
        <v>342</v>
      </c>
      <c r="B376" s="119"/>
      <c r="C376" s="120">
        <v>80</v>
      </c>
      <c r="D376" s="446" t="s">
        <v>238</v>
      </c>
      <c r="E376" s="122">
        <v>38100</v>
      </c>
      <c r="F376" s="122">
        <v>38100</v>
      </c>
      <c r="G376" s="123">
        <v>38100</v>
      </c>
      <c r="H376" s="453" t="s">
        <v>23</v>
      </c>
      <c r="I376" s="867"/>
      <c r="J376" s="1017"/>
      <c r="K376" s="1017"/>
      <c r="L376" s="1017"/>
      <c r="M376" s="1017"/>
      <c r="N376" s="1018"/>
      <c r="P376" s="8"/>
    </row>
    <row r="377" spans="1:14" s="878" customFormat="1" ht="18" customHeight="1">
      <c r="A377" s="451">
        <v>343</v>
      </c>
      <c r="B377" s="872"/>
      <c r="C377" s="873"/>
      <c r="D377" s="874" t="s">
        <v>283</v>
      </c>
      <c r="E377" s="875"/>
      <c r="F377" s="875"/>
      <c r="G377" s="876"/>
      <c r="H377" s="877"/>
      <c r="I377" s="867">
        <f>SUM(J377:N377)</f>
        <v>38100</v>
      </c>
      <c r="J377" s="868"/>
      <c r="K377" s="868"/>
      <c r="L377" s="868">
        <v>38100</v>
      </c>
      <c r="M377" s="868"/>
      <c r="N377" s="869"/>
    </row>
    <row r="378" spans="1:14" s="878" customFormat="1" ht="18" customHeight="1">
      <c r="A378" s="451">
        <v>344</v>
      </c>
      <c r="B378" s="872"/>
      <c r="C378" s="873"/>
      <c r="D378" s="1457" t="s">
        <v>757</v>
      </c>
      <c r="E378" s="875"/>
      <c r="F378" s="875"/>
      <c r="G378" s="876"/>
      <c r="H378" s="877"/>
      <c r="I378" s="1135">
        <f>SUM(J378:N378)</f>
        <v>38100</v>
      </c>
      <c r="J378" s="1142"/>
      <c r="K378" s="1142"/>
      <c r="L378" s="1142">
        <v>38100</v>
      </c>
      <c r="M378" s="868"/>
      <c r="N378" s="869"/>
    </row>
    <row r="379" spans="1:14" s="878" customFormat="1" ht="18" customHeight="1">
      <c r="A379" s="451">
        <v>345</v>
      </c>
      <c r="B379" s="872"/>
      <c r="C379" s="873"/>
      <c r="D379" s="1090" t="s">
        <v>893</v>
      </c>
      <c r="E379" s="875"/>
      <c r="F379" s="875"/>
      <c r="G379" s="876"/>
      <c r="H379" s="877"/>
      <c r="I379" s="1709">
        <f>SUM(J379:N379)</f>
        <v>19050</v>
      </c>
      <c r="J379" s="1142"/>
      <c r="K379" s="1142"/>
      <c r="L379" s="1144">
        <v>19050</v>
      </c>
      <c r="M379" s="868"/>
      <c r="N379" s="869"/>
    </row>
    <row r="380" spans="1:16" s="3" customFormat="1" ht="22.5" customHeight="1">
      <c r="A380" s="451">
        <v>346</v>
      </c>
      <c r="B380" s="119"/>
      <c r="C380" s="120">
        <v>81</v>
      </c>
      <c r="D380" s="446" t="s">
        <v>91</v>
      </c>
      <c r="E380" s="122">
        <v>38000</v>
      </c>
      <c r="F380" s="122">
        <v>0</v>
      </c>
      <c r="G380" s="123">
        <v>2503</v>
      </c>
      <c r="H380" s="453" t="s">
        <v>23</v>
      </c>
      <c r="I380" s="867"/>
      <c r="J380" s="1017"/>
      <c r="K380" s="1017"/>
      <c r="L380" s="1017"/>
      <c r="M380" s="1017"/>
      <c r="N380" s="1018"/>
      <c r="P380" s="8"/>
    </row>
    <row r="381" spans="1:16" s="3" customFormat="1" ht="22.5" customHeight="1">
      <c r="A381" s="451">
        <v>347</v>
      </c>
      <c r="B381" s="119"/>
      <c r="C381" s="120">
        <v>82</v>
      </c>
      <c r="D381" s="446" t="s">
        <v>92</v>
      </c>
      <c r="E381" s="122">
        <v>45874</v>
      </c>
      <c r="F381" s="122">
        <v>34150</v>
      </c>
      <c r="G381" s="123">
        <v>29882</v>
      </c>
      <c r="H381" s="453" t="s">
        <v>23</v>
      </c>
      <c r="I381" s="867"/>
      <c r="J381" s="1017"/>
      <c r="K381" s="1017"/>
      <c r="L381" s="1017"/>
      <c r="M381" s="1017"/>
      <c r="N381" s="1018"/>
      <c r="P381" s="8"/>
    </row>
    <row r="382" spans="1:14" s="878" customFormat="1" ht="18" customHeight="1">
      <c r="A382" s="451">
        <v>348</v>
      </c>
      <c r="B382" s="872"/>
      <c r="C382" s="873"/>
      <c r="D382" s="874" t="s">
        <v>283</v>
      </c>
      <c r="E382" s="875"/>
      <c r="F382" s="875"/>
      <c r="G382" s="876"/>
      <c r="H382" s="877"/>
      <c r="I382" s="867">
        <f>SUM(J382:N382)</f>
        <v>34150</v>
      </c>
      <c r="J382" s="868"/>
      <c r="K382" s="868"/>
      <c r="L382" s="868">
        <v>34150</v>
      </c>
      <c r="M382" s="868"/>
      <c r="N382" s="869"/>
    </row>
    <row r="383" spans="1:14" s="878" customFormat="1" ht="18" customHeight="1">
      <c r="A383" s="451">
        <v>349</v>
      </c>
      <c r="B383" s="872"/>
      <c r="C383" s="873"/>
      <c r="D383" s="1457" t="s">
        <v>757</v>
      </c>
      <c r="E383" s="875"/>
      <c r="F383" s="875"/>
      <c r="G383" s="876"/>
      <c r="H383" s="877"/>
      <c r="I383" s="1135">
        <f>SUM(J383:N383)</f>
        <v>34150</v>
      </c>
      <c r="J383" s="1142"/>
      <c r="K383" s="1142"/>
      <c r="L383" s="1142">
        <v>34150</v>
      </c>
      <c r="M383" s="868"/>
      <c r="N383" s="869"/>
    </row>
    <row r="384" spans="1:14" s="878" customFormat="1" ht="18" customHeight="1">
      <c r="A384" s="451">
        <v>350</v>
      </c>
      <c r="B384" s="872"/>
      <c r="C384" s="873"/>
      <c r="D384" s="1090" t="s">
        <v>893</v>
      </c>
      <c r="E384" s="875"/>
      <c r="F384" s="875"/>
      <c r="G384" s="876"/>
      <c r="H384" s="877"/>
      <c r="I384" s="1138">
        <f>SUM(J384:N384)</f>
        <v>14229</v>
      </c>
      <c r="J384" s="1144"/>
      <c r="K384" s="1144"/>
      <c r="L384" s="1144">
        <v>14229</v>
      </c>
      <c r="M384" s="868"/>
      <c r="N384" s="869"/>
    </row>
    <row r="385" spans="1:16" s="3" customFormat="1" ht="22.5" customHeight="1">
      <c r="A385" s="451">
        <v>351</v>
      </c>
      <c r="B385" s="119"/>
      <c r="C385" s="120">
        <v>83</v>
      </c>
      <c r="D385" s="449" t="s">
        <v>291</v>
      </c>
      <c r="E385" s="122">
        <v>3738</v>
      </c>
      <c r="F385" s="122">
        <v>5100</v>
      </c>
      <c r="G385" s="123">
        <v>2153</v>
      </c>
      <c r="H385" s="453" t="s">
        <v>23</v>
      </c>
      <c r="I385" s="867"/>
      <c r="J385" s="1017"/>
      <c r="K385" s="1017"/>
      <c r="L385" s="1017"/>
      <c r="M385" s="1017"/>
      <c r="N385" s="1018"/>
      <c r="P385" s="8"/>
    </row>
    <row r="386" spans="1:14" s="878" customFormat="1" ht="18" customHeight="1">
      <c r="A386" s="451">
        <v>352</v>
      </c>
      <c r="B386" s="872"/>
      <c r="C386" s="873"/>
      <c r="D386" s="874" t="s">
        <v>283</v>
      </c>
      <c r="E386" s="875"/>
      <c r="F386" s="875"/>
      <c r="G386" s="876"/>
      <c r="H386" s="877"/>
      <c r="I386" s="867">
        <f>SUM(J386:N386)</f>
        <v>6000</v>
      </c>
      <c r="J386" s="868"/>
      <c r="K386" s="868"/>
      <c r="L386" s="868">
        <v>6000</v>
      </c>
      <c r="M386" s="868"/>
      <c r="N386" s="869"/>
    </row>
    <row r="387" spans="1:14" s="878" customFormat="1" ht="18" customHeight="1">
      <c r="A387" s="451">
        <v>353</v>
      </c>
      <c r="B387" s="872"/>
      <c r="C387" s="873"/>
      <c r="D387" s="1457" t="s">
        <v>757</v>
      </c>
      <c r="E387" s="875"/>
      <c r="F387" s="875"/>
      <c r="G387" s="876"/>
      <c r="H387" s="877"/>
      <c r="I387" s="1135">
        <f>SUM(J387:N387)</f>
        <v>14842</v>
      </c>
      <c r="J387" s="1142"/>
      <c r="K387" s="1142"/>
      <c r="L387" s="1142">
        <v>14842</v>
      </c>
      <c r="M387" s="868"/>
      <c r="N387" s="869"/>
    </row>
    <row r="388" spans="1:14" s="878" customFormat="1" ht="18" customHeight="1">
      <c r="A388" s="451">
        <v>354</v>
      </c>
      <c r="B388" s="872"/>
      <c r="C388" s="873"/>
      <c r="D388" s="1090" t="s">
        <v>896</v>
      </c>
      <c r="E388" s="875"/>
      <c r="F388" s="875"/>
      <c r="G388" s="876"/>
      <c r="H388" s="877"/>
      <c r="I388" s="1138">
        <f>SUM(J388:N388)</f>
        <v>3265</v>
      </c>
      <c r="J388" s="1144"/>
      <c r="K388" s="1144"/>
      <c r="L388" s="1144">
        <v>3265</v>
      </c>
      <c r="M388" s="868"/>
      <c r="N388" s="869"/>
    </row>
    <row r="389" spans="1:14" s="8" customFormat="1" ht="22.5" customHeight="1">
      <c r="A389" s="451">
        <v>355</v>
      </c>
      <c r="B389" s="124"/>
      <c r="C389" s="120">
        <v>84</v>
      </c>
      <c r="D389" s="445" t="s">
        <v>357</v>
      </c>
      <c r="E389" s="122">
        <v>0</v>
      </c>
      <c r="F389" s="122">
        <v>3000</v>
      </c>
      <c r="G389" s="123">
        <v>0</v>
      </c>
      <c r="H389" s="453" t="s">
        <v>23</v>
      </c>
      <c r="I389" s="867"/>
      <c r="J389" s="1017"/>
      <c r="K389" s="1017"/>
      <c r="L389" s="1017"/>
      <c r="M389" s="1017"/>
      <c r="N389" s="1018"/>
    </row>
    <row r="390" spans="1:14" s="8" customFormat="1" ht="22.5" customHeight="1">
      <c r="A390" s="451">
        <v>356</v>
      </c>
      <c r="B390" s="124"/>
      <c r="C390" s="120">
        <v>85</v>
      </c>
      <c r="D390" s="446" t="s">
        <v>61</v>
      </c>
      <c r="E390" s="122">
        <v>4249</v>
      </c>
      <c r="F390" s="122">
        <v>4000</v>
      </c>
      <c r="G390" s="123">
        <v>0</v>
      </c>
      <c r="H390" s="455" t="s">
        <v>23</v>
      </c>
      <c r="I390" s="1022"/>
      <c r="J390" s="1023"/>
      <c r="K390" s="1023"/>
      <c r="L390" s="1023"/>
      <c r="M390" s="1023"/>
      <c r="N390" s="1024"/>
    </row>
    <row r="391" spans="1:14" s="878" customFormat="1" ht="18" customHeight="1">
      <c r="A391" s="451">
        <v>357</v>
      </c>
      <c r="B391" s="872"/>
      <c r="C391" s="873"/>
      <c r="D391" s="874" t="s">
        <v>283</v>
      </c>
      <c r="E391" s="875"/>
      <c r="F391" s="875"/>
      <c r="G391" s="876"/>
      <c r="H391" s="877"/>
      <c r="I391" s="867">
        <f>SUM(J391:N391)</f>
        <v>2400</v>
      </c>
      <c r="J391" s="868"/>
      <c r="K391" s="868"/>
      <c r="L391" s="868"/>
      <c r="M391" s="868"/>
      <c r="N391" s="869">
        <v>2400</v>
      </c>
    </row>
    <row r="392" spans="1:14" s="878" customFormat="1" ht="18" customHeight="1">
      <c r="A392" s="451">
        <v>358</v>
      </c>
      <c r="B392" s="872"/>
      <c r="C392" s="873"/>
      <c r="D392" s="1457" t="s">
        <v>757</v>
      </c>
      <c r="E392" s="875"/>
      <c r="F392" s="875"/>
      <c r="G392" s="876"/>
      <c r="H392" s="877"/>
      <c r="I392" s="1135">
        <f>SUM(J392:N392)</f>
        <v>2400</v>
      </c>
      <c r="J392" s="1142"/>
      <c r="K392" s="1142"/>
      <c r="L392" s="1142"/>
      <c r="M392" s="1142"/>
      <c r="N392" s="1148">
        <v>2400</v>
      </c>
    </row>
    <row r="393" spans="1:14" s="878" customFormat="1" ht="18" customHeight="1">
      <c r="A393" s="451">
        <v>359</v>
      </c>
      <c r="B393" s="872"/>
      <c r="C393" s="873"/>
      <c r="D393" s="1090" t="s">
        <v>893</v>
      </c>
      <c r="E393" s="875"/>
      <c r="F393" s="875"/>
      <c r="G393" s="876"/>
      <c r="H393" s="877"/>
      <c r="I393" s="1138">
        <f>SUM(J393:N393)</f>
        <v>400</v>
      </c>
      <c r="J393" s="1144"/>
      <c r="K393" s="1144"/>
      <c r="L393" s="1144"/>
      <c r="M393" s="1144"/>
      <c r="N393" s="1143">
        <v>400</v>
      </c>
    </row>
    <row r="394" spans="1:16" s="3" customFormat="1" ht="22.5" customHeight="1">
      <c r="A394" s="451">
        <v>360</v>
      </c>
      <c r="B394" s="119"/>
      <c r="C394" s="120">
        <v>86</v>
      </c>
      <c r="D394" s="446" t="s">
        <v>93</v>
      </c>
      <c r="E394" s="122">
        <v>989</v>
      </c>
      <c r="F394" s="122">
        <v>1785</v>
      </c>
      <c r="G394" s="123">
        <v>1342</v>
      </c>
      <c r="H394" s="453" t="s">
        <v>22</v>
      </c>
      <c r="I394" s="867"/>
      <c r="J394" s="1017"/>
      <c r="K394" s="1017"/>
      <c r="L394" s="1017"/>
      <c r="M394" s="1017"/>
      <c r="N394" s="1018"/>
      <c r="P394" s="8"/>
    </row>
    <row r="395" spans="1:14" s="878" customFormat="1" ht="18" customHeight="1">
      <c r="A395" s="451">
        <v>361</v>
      </c>
      <c r="B395" s="872"/>
      <c r="C395" s="873"/>
      <c r="D395" s="874" t="s">
        <v>283</v>
      </c>
      <c r="E395" s="875"/>
      <c r="F395" s="875"/>
      <c r="G395" s="876"/>
      <c r="H395" s="877"/>
      <c r="I395" s="867">
        <f>SUM(J395:N395)</f>
        <v>2100</v>
      </c>
      <c r="J395" s="868"/>
      <c r="K395" s="868">
        <v>100</v>
      </c>
      <c r="L395" s="868">
        <v>2000</v>
      </c>
      <c r="M395" s="868"/>
      <c r="N395" s="869"/>
    </row>
    <row r="396" spans="1:14" s="878" customFormat="1" ht="18" customHeight="1">
      <c r="A396" s="451">
        <v>362</v>
      </c>
      <c r="B396" s="872"/>
      <c r="C396" s="873"/>
      <c r="D396" s="1457" t="s">
        <v>757</v>
      </c>
      <c r="E396" s="875"/>
      <c r="F396" s="875"/>
      <c r="G396" s="876"/>
      <c r="H396" s="877"/>
      <c r="I396" s="867">
        <f>SUM(J396:N396)</f>
        <v>2278</v>
      </c>
      <c r="J396" s="868">
        <v>259</v>
      </c>
      <c r="K396" s="868">
        <v>150</v>
      </c>
      <c r="L396" s="868">
        <v>1869</v>
      </c>
      <c r="M396" s="868"/>
      <c r="N396" s="869"/>
    </row>
    <row r="397" spans="1:14" s="878" customFormat="1" ht="18" customHeight="1">
      <c r="A397" s="451">
        <v>363</v>
      </c>
      <c r="B397" s="872"/>
      <c r="C397" s="873"/>
      <c r="D397" s="1519" t="s">
        <v>892</v>
      </c>
      <c r="E397" s="875"/>
      <c r="F397" s="875"/>
      <c r="G397" s="876"/>
      <c r="H397" s="877"/>
      <c r="I397" s="1138">
        <f>SUM(J397:N397)</f>
        <v>173</v>
      </c>
      <c r="J397" s="1144">
        <v>28</v>
      </c>
      <c r="K397" s="1144">
        <v>0</v>
      </c>
      <c r="L397" s="1144">
        <v>145</v>
      </c>
      <c r="M397" s="868"/>
      <c r="N397" s="869"/>
    </row>
    <row r="398" spans="1:14" s="8" customFormat="1" ht="22.5" customHeight="1">
      <c r="A398" s="451">
        <v>364</v>
      </c>
      <c r="B398" s="124"/>
      <c r="C398" s="120">
        <v>87</v>
      </c>
      <c r="D398" s="445" t="s">
        <v>358</v>
      </c>
      <c r="E398" s="122">
        <v>156</v>
      </c>
      <c r="F398" s="122">
        <v>840</v>
      </c>
      <c r="G398" s="123">
        <v>812</v>
      </c>
      <c r="H398" s="453" t="s">
        <v>23</v>
      </c>
      <c r="I398" s="867"/>
      <c r="J398" s="1017"/>
      <c r="K398" s="1017"/>
      <c r="L398" s="1017"/>
      <c r="M398" s="1017"/>
      <c r="N398" s="1018"/>
    </row>
    <row r="399" spans="1:14" s="878" customFormat="1" ht="18" customHeight="1">
      <c r="A399" s="451">
        <v>365</v>
      </c>
      <c r="B399" s="872"/>
      <c r="C399" s="873"/>
      <c r="D399" s="874" t="s">
        <v>283</v>
      </c>
      <c r="E399" s="875"/>
      <c r="F399" s="875"/>
      <c r="G399" s="876"/>
      <c r="H399" s="877"/>
      <c r="I399" s="867">
        <f>SUM(J399:N399)</f>
        <v>1000</v>
      </c>
      <c r="J399" s="868"/>
      <c r="K399" s="868"/>
      <c r="L399" s="868">
        <v>1000</v>
      </c>
      <c r="M399" s="868"/>
      <c r="N399" s="869"/>
    </row>
    <row r="400" spans="1:14" s="878" customFormat="1" ht="18" customHeight="1">
      <c r="A400" s="451">
        <v>366</v>
      </c>
      <c r="B400" s="872"/>
      <c r="C400" s="873"/>
      <c r="D400" s="1457" t="s">
        <v>757</v>
      </c>
      <c r="E400" s="875"/>
      <c r="F400" s="875"/>
      <c r="G400" s="876"/>
      <c r="H400" s="877"/>
      <c r="I400" s="1135">
        <f>SUM(J400:N400)</f>
        <v>1028</v>
      </c>
      <c r="J400" s="1142"/>
      <c r="K400" s="1142"/>
      <c r="L400" s="1142">
        <v>1028</v>
      </c>
      <c r="M400" s="868"/>
      <c r="N400" s="869"/>
    </row>
    <row r="401" spans="1:14" s="878" customFormat="1" ht="18" customHeight="1">
      <c r="A401" s="451">
        <v>367</v>
      </c>
      <c r="B401" s="872"/>
      <c r="C401" s="873"/>
      <c r="D401" s="1090" t="s">
        <v>892</v>
      </c>
      <c r="E401" s="875"/>
      <c r="F401" s="875"/>
      <c r="G401" s="876"/>
      <c r="H401" s="877"/>
      <c r="I401" s="1138">
        <f>SUM(J401:N401)</f>
        <v>288</v>
      </c>
      <c r="J401" s="1144"/>
      <c r="K401" s="1144"/>
      <c r="L401" s="1144">
        <v>288</v>
      </c>
      <c r="M401" s="868"/>
      <c r="N401" s="869"/>
    </row>
    <row r="402" spans="1:16" s="3" customFormat="1" ht="22.5" customHeight="1">
      <c r="A402" s="451">
        <v>368</v>
      </c>
      <c r="B402" s="119"/>
      <c r="C402" s="120">
        <v>88</v>
      </c>
      <c r="D402" s="446" t="s">
        <v>368</v>
      </c>
      <c r="E402" s="122">
        <v>146828</v>
      </c>
      <c r="F402" s="122">
        <v>136000</v>
      </c>
      <c r="G402" s="123">
        <v>142569</v>
      </c>
      <c r="H402" s="453" t="s">
        <v>22</v>
      </c>
      <c r="I402" s="867"/>
      <c r="J402" s="1017"/>
      <c r="K402" s="1017"/>
      <c r="L402" s="1017"/>
      <c r="M402" s="1017"/>
      <c r="N402" s="1018"/>
      <c r="P402" s="8"/>
    </row>
    <row r="403" spans="1:14" s="878" customFormat="1" ht="18" customHeight="1">
      <c r="A403" s="451">
        <v>369</v>
      </c>
      <c r="B403" s="872"/>
      <c r="C403" s="873"/>
      <c r="D403" s="874" t="s">
        <v>283</v>
      </c>
      <c r="E403" s="875"/>
      <c r="F403" s="875"/>
      <c r="G403" s="876"/>
      <c r="H403" s="877"/>
      <c r="I403" s="867">
        <f>SUM(J403:N403)</f>
        <v>155000</v>
      </c>
      <c r="J403" s="868"/>
      <c r="K403" s="868"/>
      <c r="L403" s="868">
        <v>155000</v>
      </c>
      <c r="M403" s="868"/>
      <c r="N403" s="869"/>
    </row>
    <row r="404" spans="1:14" s="878" customFormat="1" ht="18" customHeight="1">
      <c r="A404" s="451">
        <v>370</v>
      </c>
      <c r="B404" s="872"/>
      <c r="C404" s="873"/>
      <c r="D404" s="1457" t="s">
        <v>757</v>
      </c>
      <c r="E404" s="875"/>
      <c r="F404" s="875"/>
      <c r="G404" s="876"/>
      <c r="H404" s="877"/>
      <c r="I404" s="1135">
        <f>SUM(J404:N404)</f>
        <v>190059</v>
      </c>
      <c r="J404" s="1142"/>
      <c r="K404" s="1142"/>
      <c r="L404" s="1142">
        <v>190059</v>
      </c>
      <c r="M404" s="868"/>
      <c r="N404" s="869"/>
    </row>
    <row r="405" spans="1:14" s="878" customFormat="1" ht="18" customHeight="1">
      <c r="A405" s="451">
        <v>371</v>
      </c>
      <c r="B405" s="872"/>
      <c r="C405" s="873"/>
      <c r="D405" s="1090" t="s">
        <v>892</v>
      </c>
      <c r="E405" s="875"/>
      <c r="F405" s="875"/>
      <c r="G405" s="876"/>
      <c r="H405" s="877"/>
      <c r="I405" s="1138">
        <f>SUM(J405:N405)</f>
        <v>42094</v>
      </c>
      <c r="J405" s="1144"/>
      <c r="K405" s="1144"/>
      <c r="L405" s="1144">
        <v>42094</v>
      </c>
      <c r="M405" s="1144"/>
      <c r="N405" s="869"/>
    </row>
    <row r="406" spans="1:16" s="3" customFormat="1" ht="22.5" customHeight="1">
      <c r="A406" s="451">
        <v>372</v>
      </c>
      <c r="B406" s="119"/>
      <c r="C406" s="120">
        <v>89</v>
      </c>
      <c r="D406" s="446" t="s">
        <v>84</v>
      </c>
      <c r="E406" s="133">
        <v>49642</v>
      </c>
      <c r="F406" s="133">
        <v>54230</v>
      </c>
      <c r="G406" s="134">
        <v>38369</v>
      </c>
      <c r="H406" s="453" t="s">
        <v>22</v>
      </c>
      <c r="I406" s="867"/>
      <c r="J406" s="1017"/>
      <c r="K406" s="1017"/>
      <c r="L406" s="1017"/>
      <c r="M406" s="1017"/>
      <c r="N406" s="1018"/>
      <c r="P406" s="8"/>
    </row>
    <row r="407" spans="1:14" s="878" customFormat="1" ht="18" customHeight="1">
      <c r="A407" s="451">
        <v>373</v>
      </c>
      <c r="B407" s="872"/>
      <c r="C407" s="873"/>
      <c r="D407" s="874" t="s">
        <v>283</v>
      </c>
      <c r="E407" s="875"/>
      <c r="F407" s="875"/>
      <c r="G407" s="876"/>
      <c r="H407" s="877"/>
      <c r="I407" s="867">
        <f>SUM(J407:N407)</f>
        <v>60000</v>
      </c>
      <c r="J407" s="868"/>
      <c r="K407" s="868"/>
      <c r="L407" s="868">
        <v>60000</v>
      </c>
      <c r="M407" s="868"/>
      <c r="N407" s="869"/>
    </row>
    <row r="408" spans="1:14" s="878" customFormat="1" ht="18" customHeight="1">
      <c r="A408" s="451">
        <v>374</v>
      </c>
      <c r="B408" s="872"/>
      <c r="C408" s="873"/>
      <c r="D408" s="1457" t="s">
        <v>757</v>
      </c>
      <c r="E408" s="875"/>
      <c r="F408" s="875"/>
      <c r="G408" s="876"/>
      <c r="H408" s="877"/>
      <c r="I408" s="1135">
        <f>SUM(J408:N408)</f>
        <v>60000</v>
      </c>
      <c r="J408" s="1142"/>
      <c r="K408" s="1142"/>
      <c r="L408" s="1142">
        <v>60000</v>
      </c>
      <c r="M408" s="868"/>
      <c r="N408" s="869"/>
    </row>
    <row r="409" spans="1:14" s="878" customFormat="1" ht="18" customHeight="1">
      <c r="A409" s="451">
        <v>375</v>
      </c>
      <c r="B409" s="872"/>
      <c r="C409" s="873"/>
      <c r="D409" s="1090" t="s">
        <v>893</v>
      </c>
      <c r="E409" s="875"/>
      <c r="F409" s="875"/>
      <c r="G409" s="876"/>
      <c r="H409" s="877"/>
      <c r="I409" s="1138">
        <f>SUM(J409:N409)</f>
        <v>30274</v>
      </c>
      <c r="J409" s="1144"/>
      <c r="K409" s="1144"/>
      <c r="L409" s="1144">
        <v>30274</v>
      </c>
      <c r="M409" s="868"/>
      <c r="N409" s="869"/>
    </row>
    <row r="410" spans="1:16" s="3" customFormat="1" ht="22.5" customHeight="1">
      <c r="A410" s="451">
        <v>376</v>
      </c>
      <c r="B410" s="119"/>
      <c r="C410" s="120">
        <v>90</v>
      </c>
      <c r="D410" s="446" t="s">
        <v>85</v>
      </c>
      <c r="E410" s="122">
        <v>13153</v>
      </c>
      <c r="F410" s="122">
        <v>1700</v>
      </c>
      <c r="G410" s="123">
        <v>1974</v>
      </c>
      <c r="H410" s="453" t="s">
        <v>22</v>
      </c>
      <c r="I410" s="867"/>
      <c r="J410" s="1017"/>
      <c r="K410" s="1017"/>
      <c r="L410" s="1017"/>
      <c r="M410" s="1017"/>
      <c r="N410" s="1018"/>
      <c r="P410" s="8"/>
    </row>
    <row r="411" spans="1:14" s="878" customFormat="1" ht="18" customHeight="1">
      <c r="A411" s="451">
        <v>377</v>
      </c>
      <c r="B411" s="872"/>
      <c r="C411" s="873"/>
      <c r="D411" s="874" t="s">
        <v>283</v>
      </c>
      <c r="E411" s="875"/>
      <c r="F411" s="875"/>
      <c r="G411" s="876"/>
      <c r="H411" s="877"/>
      <c r="I411" s="867">
        <f>SUM(J411:N411)</f>
        <v>4905</v>
      </c>
      <c r="J411" s="868"/>
      <c r="K411" s="868"/>
      <c r="L411" s="868">
        <v>4905</v>
      </c>
      <c r="M411" s="868"/>
      <c r="N411" s="869"/>
    </row>
    <row r="412" spans="1:14" s="878" customFormat="1" ht="18" customHeight="1">
      <c r="A412" s="451">
        <v>378</v>
      </c>
      <c r="B412" s="872"/>
      <c r="C412" s="873"/>
      <c r="D412" s="1457" t="s">
        <v>757</v>
      </c>
      <c r="E412" s="875"/>
      <c r="F412" s="875"/>
      <c r="G412" s="876"/>
      <c r="H412" s="877"/>
      <c r="I412" s="1135">
        <f>SUM(J412:N412)</f>
        <v>4905</v>
      </c>
      <c r="J412" s="1142"/>
      <c r="K412" s="1142"/>
      <c r="L412" s="1142">
        <v>4905</v>
      </c>
      <c r="M412" s="868"/>
      <c r="N412" s="869"/>
    </row>
    <row r="413" spans="1:14" s="878" customFormat="1" ht="18" customHeight="1">
      <c r="A413" s="451">
        <v>379</v>
      </c>
      <c r="B413" s="872"/>
      <c r="C413" s="873"/>
      <c r="D413" s="1090" t="s">
        <v>893</v>
      </c>
      <c r="E413" s="875"/>
      <c r="F413" s="875"/>
      <c r="G413" s="876"/>
      <c r="H413" s="877"/>
      <c r="I413" s="1138">
        <f>SUM(J413:N413)</f>
        <v>2897</v>
      </c>
      <c r="J413" s="1144"/>
      <c r="K413" s="1144"/>
      <c r="L413" s="1144">
        <v>2897</v>
      </c>
      <c r="M413" s="868"/>
      <c r="N413" s="869"/>
    </row>
    <row r="414" spans="1:14" s="3" customFormat="1" ht="22.5" customHeight="1">
      <c r="A414" s="451">
        <v>380</v>
      </c>
      <c r="B414" s="119"/>
      <c r="C414" s="120">
        <v>91</v>
      </c>
      <c r="D414" s="446" t="s">
        <v>531</v>
      </c>
      <c r="E414" s="122">
        <v>1443096</v>
      </c>
      <c r="F414" s="122">
        <v>881516</v>
      </c>
      <c r="G414" s="123">
        <v>881516</v>
      </c>
      <c r="H414" s="453" t="s">
        <v>22</v>
      </c>
      <c r="I414" s="867"/>
      <c r="J414" s="1017"/>
      <c r="K414" s="1017"/>
      <c r="L414" s="1017"/>
      <c r="M414" s="1017"/>
      <c r="N414" s="1018"/>
    </row>
    <row r="415" spans="1:14" s="878" customFormat="1" ht="18" customHeight="1">
      <c r="A415" s="451">
        <v>381</v>
      </c>
      <c r="B415" s="872"/>
      <c r="C415" s="873"/>
      <c r="D415" s="874" t="s">
        <v>283</v>
      </c>
      <c r="E415" s="875"/>
      <c r="F415" s="875"/>
      <c r="G415" s="876"/>
      <c r="H415" s="877"/>
      <c r="I415" s="867">
        <f>SUM(J415:N415)</f>
        <v>469480</v>
      </c>
      <c r="J415" s="868"/>
      <c r="K415" s="868"/>
      <c r="L415" s="868"/>
      <c r="M415" s="868"/>
      <c r="N415" s="869">
        <v>469480</v>
      </c>
    </row>
    <row r="416" spans="1:14" s="878" customFormat="1" ht="18" customHeight="1">
      <c r="A416" s="451">
        <v>382</v>
      </c>
      <c r="B416" s="872"/>
      <c r="C416" s="873"/>
      <c r="D416" s="1457" t="s">
        <v>757</v>
      </c>
      <c r="E416" s="875"/>
      <c r="F416" s="875"/>
      <c r="G416" s="876"/>
      <c r="H416" s="877"/>
      <c r="I416" s="1135">
        <f>SUM(J416:N416)</f>
        <v>461703</v>
      </c>
      <c r="J416" s="1142"/>
      <c r="K416" s="1142"/>
      <c r="L416" s="1142"/>
      <c r="M416" s="1142"/>
      <c r="N416" s="1148">
        <v>461703</v>
      </c>
    </row>
    <row r="417" spans="1:14" s="878" customFormat="1" ht="18" customHeight="1">
      <c r="A417" s="451">
        <v>383</v>
      </c>
      <c r="B417" s="872"/>
      <c r="C417" s="873"/>
      <c r="D417" s="1090" t="s">
        <v>892</v>
      </c>
      <c r="E417" s="875"/>
      <c r="F417" s="875"/>
      <c r="G417" s="876"/>
      <c r="H417" s="877"/>
      <c r="I417" s="1138">
        <f>SUM(J417:N417)</f>
        <v>0</v>
      </c>
      <c r="J417" s="1144"/>
      <c r="K417" s="1144"/>
      <c r="L417" s="1144"/>
      <c r="M417" s="1144"/>
      <c r="N417" s="1143">
        <v>0</v>
      </c>
    </row>
    <row r="418" spans="1:14" s="8" customFormat="1" ht="22.5" customHeight="1">
      <c r="A418" s="451">
        <v>384</v>
      </c>
      <c r="B418" s="124"/>
      <c r="C418" s="120">
        <v>92</v>
      </c>
      <c r="D418" s="446" t="s">
        <v>500</v>
      </c>
      <c r="E418" s="122"/>
      <c r="F418" s="122">
        <v>153947</v>
      </c>
      <c r="G418" s="123">
        <v>153947</v>
      </c>
      <c r="H418" s="453" t="s">
        <v>22</v>
      </c>
      <c r="I418" s="867"/>
      <c r="J418" s="1017"/>
      <c r="K418" s="1017"/>
      <c r="L418" s="1017"/>
      <c r="M418" s="1017"/>
      <c r="N418" s="1018"/>
    </row>
    <row r="419" spans="1:14" s="3" customFormat="1" ht="22.5" customHeight="1">
      <c r="A419" s="451">
        <v>385</v>
      </c>
      <c r="B419" s="119"/>
      <c r="C419" s="120">
        <v>93</v>
      </c>
      <c r="D419" s="446" t="s">
        <v>386</v>
      </c>
      <c r="E419" s="122">
        <v>24770</v>
      </c>
      <c r="F419" s="122">
        <v>56914</v>
      </c>
      <c r="G419" s="123">
        <v>41158</v>
      </c>
      <c r="H419" s="453" t="s">
        <v>23</v>
      </c>
      <c r="I419" s="867"/>
      <c r="J419" s="1017"/>
      <c r="K419" s="1017"/>
      <c r="L419" s="1017"/>
      <c r="M419" s="1017"/>
      <c r="N419" s="1018"/>
    </row>
    <row r="420" spans="1:14" s="878" customFormat="1" ht="18" customHeight="1">
      <c r="A420" s="451">
        <v>386</v>
      </c>
      <c r="B420" s="872"/>
      <c r="C420" s="873"/>
      <c r="D420" s="874" t="s">
        <v>283</v>
      </c>
      <c r="E420" s="875"/>
      <c r="F420" s="875"/>
      <c r="G420" s="876"/>
      <c r="H420" s="877"/>
      <c r="I420" s="867">
        <f>SUM(J420:N420)</f>
        <v>48761</v>
      </c>
      <c r="J420" s="868"/>
      <c r="K420" s="868"/>
      <c r="L420" s="868">
        <v>48761</v>
      </c>
      <c r="M420" s="868"/>
      <c r="N420" s="869"/>
    </row>
    <row r="421" spans="1:14" s="878" customFormat="1" ht="18" customHeight="1">
      <c r="A421" s="451">
        <v>387</v>
      </c>
      <c r="B421" s="872"/>
      <c r="C421" s="873"/>
      <c r="D421" s="1457" t="s">
        <v>757</v>
      </c>
      <c r="E421" s="875"/>
      <c r="F421" s="875"/>
      <c r="G421" s="876"/>
      <c r="H421" s="877"/>
      <c r="I421" s="1135">
        <f>SUM(J421:N421)</f>
        <v>48761</v>
      </c>
      <c r="J421" s="1142"/>
      <c r="K421" s="1142"/>
      <c r="L421" s="1142">
        <v>48761</v>
      </c>
      <c r="M421" s="868"/>
      <c r="N421" s="869"/>
    </row>
    <row r="422" spans="1:14" s="878" customFormat="1" ht="18" customHeight="1">
      <c r="A422" s="451">
        <v>388</v>
      </c>
      <c r="B422" s="872"/>
      <c r="C422" s="873"/>
      <c r="D422" s="1090" t="s">
        <v>893</v>
      </c>
      <c r="E422" s="875"/>
      <c r="F422" s="875"/>
      <c r="G422" s="876"/>
      <c r="H422" s="877"/>
      <c r="I422" s="1138">
        <f>SUM(J422:N422)</f>
        <v>20945</v>
      </c>
      <c r="J422" s="1144"/>
      <c r="K422" s="1144"/>
      <c r="L422" s="1144">
        <v>20945</v>
      </c>
      <c r="M422" s="868"/>
      <c r="N422" s="869"/>
    </row>
    <row r="423" spans="1:16" s="3" customFormat="1" ht="22.5" customHeight="1">
      <c r="A423" s="451">
        <v>389</v>
      </c>
      <c r="B423" s="119"/>
      <c r="C423" s="120"/>
      <c r="D423" s="292" t="s">
        <v>278</v>
      </c>
      <c r="E423" s="122"/>
      <c r="F423" s="122"/>
      <c r="G423" s="123"/>
      <c r="H423" s="453"/>
      <c r="I423" s="1022"/>
      <c r="J423" s="1023"/>
      <c r="K423" s="1023"/>
      <c r="L423" s="1023"/>
      <c r="M423" s="1023"/>
      <c r="N423" s="1024"/>
      <c r="O423" s="8"/>
      <c r="P423" s="8"/>
    </row>
    <row r="424" spans="1:16" s="3" customFormat="1" ht="22.5" customHeight="1">
      <c r="A424" s="451">
        <v>390</v>
      </c>
      <c r="B424" s="119"/>
      <c r="C424" s="120">
        <v>94</v>
      </c>
      <c r="D424" s="140" t="s">
        <v>8</v>
      </c>
      <c r="E424" s="122">
        <v>285738</v>
      </c>
      <c r="F424" s="122">
        <v>277100</v>
      </c>
      <c r="G424" s="123">
        <v>278486</v>
      </c>
      <c r="H424" s="453" t="s">
        <v>22</v>
      </c>
      <c r="I424" s="867"/>
      <c r="J424" s="1017"/>
      <c r="K424" s="1017"/>
      <c r="L424" s="1017"/>
      <c r="M424" s="1017"/>
      <c r="N424" s="1018"/>
      <c r="P424" s="8"/>
    </row>
    <row r="425" spans="1:14" s="878" customFormat="1" ht="18" customHeight="1">
      <c r="A425" s="451">
        <v>391</v>
      </c>
      <c r="B425" s="872"/>
      <c r="C425" s="873"/>
      <c r="D425" s="898" t="s">
        <v>283</v>
      </c>
      <c r="E425" s="875"/>
      <c r="F425" s="875"/>
      <c r="G425" s="876"/>
      <c r="H425" s="877"/>
      <c r="I425" s="867">
        <f>SUM(J425:N425)</f>
        <v>121336</v>
      </c>
      <c r="J425" s="868"/>
      <c r="K425" s="868"/>
      <c r="L425" s="868">
        <v>5000</v>
      </c>
      <c r="M425" s="868"/>
      <c r="N425" s="869">
        <v>116336</v>
      </c>
    </row>
    <row r="426" spans="1:14" s="878" customFormat="1" ht="18" customHeight="1">
      <c r="A426" s="451">
        <v>392</v>
      </c>
      <c r="B426" s="872"/>
      <c r="C426" s="873"/>
      <c r="D426" s="1150" t="s">
        <v>757</v>
      </c>
      <c r="E426" s="875"/>
      <c r="F426" s="875"/>
      <c r="G426" s="876"/>
      <c r="H426" s="877"/>
      <c r="I426" s="1135">
        <f>SUM(J426:N426)</f>
        <v>121336</v>
      </c>
      <c r="J426" s="1142"/>
      <c r="K426" s="1142"/>
      <c r="L426" s="1142">
        <v>5000</v>
      </c>
      <c r="M426" s="1142"/>
      <c r="N426" s="1148">
        <v>116336</v>
      </c>
    </row>
    <row r="427" spans="1:14" s="878" customFormat="1" ht="18" customHeight="1">
      <c r="A427" s="451">
        <v>393</v>
      </c>
      <c r="B427" s="872"/>
      <c r="C427" s="873"/>
      <c r="D427" s="1151" t="s">
        <v>893</v>
      </c>
      <c r="E427" s="875"/>
      <c r="F427" s="875"/>
      <c r="G427" s="876"/>
      <c r="H427" s="877"/>
      <c r="I427" s="1138">
        <f>SUM(J427:N427)</f>
        <v>2732</v>
      </c>
      <c r="J427" s="1144"/>
      <c r="K427" s="1144"/>
      <c r="L427" s="1144">
        <v>2732</v>
      </c>
      <c r="M427" s="1144"/>
      <c r="N427" s="1143">
        <v>0</v>
      </c>
    </row>
    <row r="428" spans="1:16" s="3" customFormat="1" ht="22.5" customHeight="1">
      <c r="A428" s="451">
        <v>394</v>
      </c>
      <c r="B428" s="119"/>
      <c r="C428" s="120">
        <v>95</v>
      </c>
      <c r="D428" s="140" t="s">
        <v>277</v>
      </c>
      <c r="E428" s="122">
        <v>54053</v>
      </c>
      <c r="F428" s="122">
        <v>45900</v>
      </c>
      <c r="G428" s="123">
        <v>45900</v>
      </c>
      <c r="H428" s="453" t="s">
        <v>22</v>
      </c>
      <c r="I428" s="867"/>
      <c r="J428" s="1017"/>
      <c r="K428" s="1017"/>
      <c r="L428" s="1017"/>
      <c r="M428" s="1017"/>
      <c r="N428" s="1018"/>
      <c r="P428" s="8"/>
    </row>
    <row r="429" spans="1:14" s="878" customFormat="1" ht="18" customHeight="1">
      <c r="A429" s="451">
        <v>395</v>
      </c>
      <c r="B429" s="872"/>
      <c r="C429" s="873"/>
      <c r="D429" s="898" t="s">
        <v>283</v>
      </c>
      <c r="E429" s="875"/>
      <c r="F429" s="875"/>
      <c r="G429" s="876"/>
      <c r="H429" s="877"/>
      <c r="I429" s="867">
        <f>SUM(J429:N429)</f>
        <v>31600</v>
      </c>
      <c r="J429" s="868"/>
      <c r="K429" s="868"/>
      <c r="L429" s="868"/>
      <c r="M429" s="868"/>
      <c r="N429" s="869">
        <v>31600</v>
      </c>
    </row>
    <row r="430" spans="1:14" s="878" customFormat="1" ht="18" customHeight="1">
      <c r="A430" s="451">
        <v>396</v>
      </c>
      <c r="B430" s="872"/>
      <c r="C430" s="873"/>
      <c r="D430" s="1150" t="s">
        <v>757</v>
      </c>
      <c r="E430" s="875"/>
      <c r="F430" s="875"/>
      <c r="G430" s="876"/>
      <c r="H430" s="877"/>
      <c r="I430" s="1135">
        <f>SUM(J430:N430)</f>
        <v>31600</v>
      </c>
      <c r="J430" s="1142"/>
      <c r="K430" s="1142"/>
      <c r="L430" s="1142"/>
      <c r="M430" s="1142"/>
      <c r="N430" s="1148">
        <v>31600</v>
      </c>
    </row>
    <row r="431" spans="1:14" s="878" customFormat="1" ht="18" customHeight="1">
      <c r="A431" s="451">
        <v>397</v>
      </c>
      <c r="B431" s="872"/>
      <c r="C431" s="873"/>
      <c r="D431" s="1151" t="s">
        <v>893</v>
      </c>
      <c r="E431" s="875"/>
      <c r="F431" s="875"/>
      <c r="G431" s="876"/>
      <c r="H431" s="877"/>
      <c r="I431" s="1138">
        <f>SUM(J431:N431)</f>
        <v>0</v>
      </c>
      <c r="J431" s="1144"/>
      <c r="K431" s="1144"/>
      <c r="L431" s="1144"/>
      <c r="M431" s="1144"/>
      <c r="N431" s="1143">
        <v>0</v>
      </c>
    </row>
    <row r="432" spans="1:16" s="3" customFormat="1" ht="22.5" customHeight="1">
      <c r="A432" s="451">
        <v>398</v>
      </c>
      <c r="B432" s="119"/>
      <c r="C432" s="120">
        <v>96</v>
      </c>
      <c r="D432" s="140" t="s">
        <v>9</v>
      </c>
      <c r="E432" s="122">
        <v>298908</v>
      </c>
      <c r="F432" s="122">
        <v>259250</v>
      </c>
      <c r="G432" s="123">
        <v>259250</v>
      </c>
      <c r="H432" s="453" t="s">
        <v>22</v>
      </c>
      <c r="I432" s="867"/>
      <c r="J432" s="1017"/>
      <c r="K432" s="1017"/>
      <c r="L432" s="1017"/>
      <c r="M432" s="1017"/>
      <c r="N432" s="1018"/>
      <c r="P432" s="8"/>
    </row>
    <row r="433" spans="1:14" s="878" customFormat="1" ht="18" customHeight="1">
      <c r="A433" s="451">
        <v>399</v>
      </c>
      <c r="B433" s="872"/>
      <c r="C433" s="873"/>
      <c r="D433" s="898" t="s">
        <v>283</v>
      </c>
      <c r="E433" s="875"/>
      <c r="F433" s="875"/>
      <c r="G433" s="876"/>
      <c r="H433" s="877"/>
      <c r="I433" s="867">
        <f>SUM(J433:N433)</f>
        <v>231700</v>
      </c>
      <c r="J433" s="868"/>
      <c r="K433" s="868"/>
      <c r="L433" s="868"/>
      <c r="M433" s="868"/>
      <c r="N433" s="869">
        <v>231700</v>
      </c>
    </row>
    <row r="434" spans="1:14" s="878" customFormat="1" ht="18" customHeight="1">
      <c r="A434" s="451">
        <v>400</v>
      </c>
      <c r="B434" s="872"/>
      <c r="C434" s="873"/>
      <c r="D434" s="1150" t="s">
        <v>757</v>
      </c>
      <c r="E434" s="875"/>
      <c r="F434" s="875"/>
      <c r="G434" s="876"/>
      <c r="H434" s="877"/>
      <c r="I434" s="1135">
        <f>SUM(J434:N434)</f>
        <v>231700</v>
      </c>
      <c r="J434" s="1142"/>
      <c r="K434" s="1142"/>
      <c r="L434" s="1142"/>
      <c r="M434" s="1142"/>
      <c r="N434" s="1148">
        <v>231700</v>
      </c>
    </row>
    <row r="435" spans="1:14" s="878" customFormat="1" ht="18" customHeight="1">
      <c r="A435" s="451">
        <v>401</v>
      </c>
      <c r="B435" s="872"/>
      <c r="C435" s="873"/>
      <c r="D435" s="1151" t="s">
        <v>893</v>
      </c>
      <c r="E435" s="875"/>
      <c r="F435" s="875"/>
      <c r="G435" s="876"/>
      <c r="H435" s="877"/>
      <c r="I435" s="1138">
        <f>SUM(J435:N435)</f>
        <v>57925</v>
      </c>
      <c r="J435" s="1144"/>
      <c r="K435" s="1144"/>
      <c r="L435" s="1144"/>
      <c r="M435" s="1144"/>
      <c r="N435" s="1143">
        <v>57925</v>
      </c>
    </row>
    <row r="436" spans="1:16" s="3" customFormat="1" ht="22.5" customHeight="1">
      <c r="A436" s="451">
        <v>402</v>
      </c>
      <c r="B436" s="119"/>
      <c r="C436" s="120">
        <v>97</v>
      </c>
      <c r="D436" s="140" t="s">
        <v>7</v>
      </c>
      <c r="E436" s="122">
        <v>43000</v>
      </c>
      <c r="F436" s="122">
        <v>36550</v>
      </c>
      <c r="G436" s="123">
        <v>36550</v>
      </c>
      <c r="H436" s="453" t="s">
        <v>22</v>
      </c>
      <c r="I436" s="867"/>
      <c r="J436" s="1017"/>
      <c r="K436" s="1017"/>
      <c r="L436" s="1017"/>
      <c r="M436" s="1017"/>
      <c r="N436" s="1018"/>
      <c r="P436" s="8"/>
    </row>
    <row r="437" spans="1:14" s="878" customFormat="1" ht="18" customHeight="1">
      <c r="A437" s="451">
        <v>403</v>
      </c>
      <c r="B437" s="872"/>
      <c r="C437" s="873"/>
      <c r="D437" s="898" t="s">
        <v>283</v>
      </c>
      <c r="E437" s="875"/>
      <c r="F437" s="875"/>
      <c r="G437" s="876"/>
      <c r="H437" s="877"/>
      <c r="I437" s="867">
        <f>SUM(J437:N437)</f>
        <v>37700</v>
      </c>
      <c r="J437" s="868"/>
      <c r="K437" s="868"/>
      <c r="L437" s="868"/>
      <c r="M437" s="868"/>
      <c r="N437" s="869">
        <v>37700</v>
      </c>
    </row>
    <row r="438" spans="1:14" s="878" customFormat="1" ht="18" customHeight="1">
      <c r="A438" s="451">
        <v>404</v>
      </c>
      <c r="B438" s="872"/>
      <c r="C438" s="873"/>
      <c r="D438" s="1150" t="s">
        <v>757</v>
      </c>
      <c r="E438" s="875"/>
      <c r="F438" s="875"/>
      <c r="G438" s="876"/>
      <c r="H438" s="877"/>
      <c r="I438" s="1135">
        <f>SUM(J438:N438)</f>
        <v>37700</v>
      </c>
      <c r="J438" s="1142"/>
      <c r="K438" s="1142"/>
      <c r="L438" s="1142"/>
      <c r="M438" s="1142"/>
      <c r="N438" s="1148">
        <v>37700</v>
      </c>
    </row>
    <row r="439" spans="1:14" s="878" customFormat="1" ht="18" customHeight="1">
      <c r="A439" s="451">
        <v>405</v>
      </c>
      <c r="B439" s="872"/>
      <c r="C439" s="873"/>
      <c r="D439" s="1151" t="s">
        <v>893</v>
      </c>
      <c r="E439" s="875"/>
      <c r="F439" s="875"/>
      <c r="G439" s="876"/>
      <c r="H439" s="877"/>
      <c r="I439" s="1138">
        <f>SUM(J439:N439)</f>
        <v>9425</v>
      </c>
      <c r="J439" s="1144"/>
      <c r="K439" s="1144"/>
      <c r="L439" s="1144"/>
      <c r="M439" s="1144"/>
      <c r="N439" s="1143">
        <v>9425</v>
      </c>
    </row>
    <row r="440" spans="1:16" s="3" customFormat="1" ht="22.5" customHeight="1">
      <c r="A440" s="451">
        <v>406</v>
      </c>
      <c r="B440" s="119"/>
      <c r="C440" s="120"/>
      <c r="D440" s="292" t="s">
        <v>279</v>
      </c>
      <c r="E440" s="122"/>
      <c r="F440" s="122"/>
      <c r="G440" s="123"/>
      <c r="H440" s="453"/>
      <c r="I440" s="1022"/>
      <c r="J440" s="1023"/>
      <c r="K440" s="1023"/>
      <c r="L440" s="1023"/>
      <c r="M440" s="1023"/>
      <c r="N440" s="1024"/>
      <c r="O440" s="8"/>
      <c r="P440" s="8"/>
    </row>
    <row r="441" spans="1:16" s="3" customFormat="1" ht="23.25" customHeight="1">
      <c r="A441" s="451">
        <v>407</v>
      </c>
      <c r="B441" s="119"/>
      <c r="C441" s="120">
        <v>98</v>
      </c>
      <c r="D441" s="140" t="s">
        <v>501</v>
      </c>
      <c r="E441" s="122">
        <v>35000</v>
      </c>
      <c r="F441" s="122">
        <v>42500</v>
      </c>
      <c r="G441" s="123">
        <v>42500</v>
      </c>
      <c r="H441" s="453" t="s">
        <v>22</v>
      </c>
      <c r="I441" s="867"/>
      <c r="J441" s="1017"/>
      <c r="K441" s="1017"/>
      <c r="L441" s="1017"/>
      <c r="M441" s="1017"/>
      <c r="N441" s="1018"/>
      <c r="P441" s="8"/>
    </row>
    <row r="442" spans="1:16" s="3" customFormat="1" ht="23.25" customHeight="1">
      <c r="A442" s="451">
        <v>408</v>
      </c>
      <c r="B442" s="119"/>
      <c r="C442" s="120">
        <v>99</v>
      </c>
      <c r="D442" s="140" t="s">
        <v>280</v>
      </c>
      <c r="E442" s="122">
        <v>180000</v>
      </c>
      <c r="F442" s="122">
        <v>169738</v>
      </c>
      <c r="G442" s="123">
        <v>169738</v>
      </c>
      <c r="H442" s="453" t="s">
        <v>22</v>
      </c>
      <c r="I442" s="867"/>
      <c r="J442" s="1017"/>
      <c r="K442" s="1017"/>
      <c r="L442" s="1017"/>
      <c r="M442" s="1017"/>
      <c r="N442" s="1018"/>
      <c r="P442" s="8"/>
    </row>
    <row r="443" spans="1:14" s="8" customFormat="1" ht="23.25" customHeight="1">
      <c r="A443" s="451">
        <v>409</v>
      </c>
      <c r="B443" s="124"/>
      <c r="C443" s="120">
        <v>100</v>
      </c>
      <c r="D443" s="140" t="s">
        <v>502</v>
      </c>
      <c r="E443" s="122">
        <v>123387</v>
      </c>
      <c r="F443" s="122">
        <v>130000</v>
      </c>
      <c r="G443" s="123">
        <v>127855</v>
      </c>
      <c r="H443" s="453" t="s">
        <v>22</v>
      </c>
      <c r="I443" s="867"/>
      <c r="J443" s="1017"/>
      <c r="K443" s="1017"/>
      <c r="L443" s="1017"/>
      <c r="M443" s="1017"/>
      <c r="N443" s="1018"/>
    </row>
    <row r="444" spans="1:14" s="878" customFormat="1" ht="18" customHeight="1">
      <c r="A444" s="451">
        <v>410</v>
      </c>
      <c r="B444" s="872"/>
      <c r="C444" s="873"/>
      <c r="D444" s="898" t="s">
        <v>283</v>
      </c>
      <c r="E444" s="875"/>
      <c r="F444" s="875"/>
      <c r="G444" s="876"/>
      <c r="H444" s="877"/>
      <c r="I444" s="867">
        <f>SUM(J444:N444)</f>
        <v>147218</v>
      </c>
      <c r="J444" s="868"/>
      <c r="K444" s="868"/>
      <c r="L444" s="868">
        <v>147218</v>
      </c>
      <c r="M444" s="868"/>
      <c r="N444" s="869"/>
    </row>
    <row r="445" spans="1:14" s="878" customFormat="1" ht="18" customHeight="1">
      <c r="A445" s="451">
        <v>411</v>
      </c>
      <c r="B445" s="872"/>
      <c r="C445" s="873"/>
      <c r="D445" s="1150" t="s">
        <v>757</v>
      </c>
      <c r="E445" s="875"/>
      <c r="F445" s="875"/>
      <c r="G445" s="876"/>
      <c r="H445" s="877"/>
      <c r="I445" s="1135">
        <f>SUM(J445:N445)</f>
        <v>168476</v>
      </c>
      <c r="J445" s="1142"/>
      <c r="K445" s="1142"/>
      <c r="L445" s="1142">
        <v>168476</v>
      </c>
      <c r="M445" s="868"/>
      <c r="N445" s="869"/>
    </row>
    <row r="446" spans="1:14" s="878" customFormat="1" ht="18" customHeight="1">
      <c r="A446" s="451">
        <v>412</v>
      </c>
      <c r="B446" s="872"/>
      <c r="C446" s="873"/>
      <c r="D446" s="1151" t="s">
        <v>892</v>
      </c>
      <c r="E446" s="875"/>
      <c r="F446" s="875"/>
      <c r="G446" s="876"/>
      <c r="H446" s="877"/>
      <c r="I446" s="1138">
        <f>SUM(J446:N446)</f>
        <v>63672</v>
      </c>
      <c r="J446" s="1142"/>
      <c r="K446" s="1142"/>
      <c r="L446" s="1144">
        <v>63672</v>
      </c>
      <c r="M446" s="868"/>
      <c r="N446" s="869"/>
    </row>
    <row r="447" spans="1:16" s="3" customFormat="1" ht="22.5" customHeight="1">
      <c r="A447" s="451">
        <v>413</v>
      </c>
      <c r="B447" s="119"/>
      <c r="C447" s="120">
        <v>101</v>
      </c>
      <c r="D447" s="446" t="s">
        <v>94</v>
      </c>
      <c r="E447" s="122">
        <v>20000</v>
      </c>
      <c r="F447" s="122">
        <v>17000</v>
      </c>
      <c r="G447" s="123">
        <v>19000</v>
      </c>
      <c r="H447" s="453" t="s">
        <v>22</v>
      </c>
      <c r="I447" s="867"/>
      <c r="J447" s="1017"/>
      <c r="K447" s="1017"/>
      <c r="L447" s="1017"/>
      <c r="M447" s="1017"/>
      <c r="N447" s="1018"/>
      <c r="P447" s="8"/>
    </row>
    <row r="448" spans="1:14" s="878" customFormat="1" ht="18" customHeight="1">
      <c r="A448" s="451">
        <v>414</v>
      </c>
      <c r="B448" s="872"/>
      <c r="C448" s="873"/>
      <c r="D448" s="874" t="s">
        <v>283</v>
      </c>
      <c r="E448" s="875"/>
      <c r="F448" s="875"/>
      <c r="G448" s="876"/>
      <c r="H448" s="877"/>
      <c r="I448" s="867">
        <f>SUM(J448:N448)</f>
        <v>20000</v>
      </c>
      <c r="J448" s="868"/>
      <c r="K448" s="868"/>
      <c r="L448" s="868">
        <v>20000</v>
      </c>
      <c r="M448" s="868"/>
      <c r="N448" s="869"/>
    </row>
    <row r="449" spans="1:14" s="878" customFormat="1" ht="18" customHeight="1">
      <c r="A449" s="451">
        <v>415</v>
      </c>
      <c r="B449" s="872"/>
      <c r="C449" s="873"/>
      <c r="D449" s="1457" t="s">
        <v>757</v>
      </c>
      <c r="E449" s="875"/>
      <c r="F449" s="875"/>
      <c r="G449" s="876"/>
      <c r="H449" s="877"/>
      <c r="I449" s="1135">
        <f>SUM(J449:N449)</f>
        <v>25000</v>
      </c>
      <c r="J449" s="1142"/>
      <c r="K449" s="1142"/>
      <c r="L449" s="1142">
        <v>25000</v>
      </c>
      <c r="M449" s="868"/>
      <c r="N449" s="869"/>
    </row>
    <row r="450" spans="1:14" s="878" customFormat="1" ht="18" customHeight="1">
      <c r="A450" s="451">
        <v>416</v>
      </c>
      <c r="B450" s="872"/>
      <c r="C450" s="873"/>
      <c r="D450" s="1090" t="s">
        <v>892</v>
      </c>
      <c r="E450" s="875"/>
      <c r="F450" s="875"/>
      <c r="G450" s="876"/>
      <c r="H450" s="877"/>
      <c r="I450" s="1138">
        <f>SUM(J450:N450)</f>
        <v>5000</v>
      </c>
      <c r="J450" s="1142"/>
      <c r="K450" s="1142"/>
      <c r="L450" s="1144">
        <v>5000</v>
      </c>
      <c r="M450" s="868"/>
      <c r="N450" s="869"/>
    </row>
    <row r="451" spans="1:16" s="3" customFormat="1" ht="22.5" customHeight="1">
      <c r="A451" s="451">
        <v>417</v>
      </c>
      <c r="B451" s="119"/>
      <c r="C451" s="120">
        <v>102</v>
      </c>
      <c r="D451" s="446" t="s">
        <v>95</v>
      </c>
      <c r="E451" s="122">
        <v>1000</v>
      </c>
      <c r="F451" s="122">
        <v>1020</v>
      </c>
      <c r="G451" s="123">
        <v>1020</v>
      </c>
      <c r="H451" s="453" t="s">
        <v>22</v>
      </c>
      <c r="I451" s="867"/>
      <c r="J451" s="1017"/>
      <c r="K451" s="1017"/>
      <c r="L451" s="1017"/>
      <c r="M451" s="1017"/>
      <c r="N451" s="1018"/>
      <c r="P451" s="8"/>
    </row>
    <row r="452" spans="1:14" s="878" customFormat="1" ht="18" customHeight="1">
      <c r="A452" s="451">
        <v>418</v>
      </c>
      <c r="B452" s="872"/>
      <c r="C452" s="873"/>
      <c r="D452" s="874" t="s">
        <v>283</v>
      </c>
      <c r="E452" s="875"/>
      <c r="F452" s="875"/>
      <c r="G452" s="876"/>
      <c r="H452" s="877"/>
      <c r="I452" s="867">
        <f>SUM(J452:N452)</f>
        <v>1100</v>
      </c>
      <c r="J452" s="868"/>
      <c r="K452" s="868"/>
      <c r="L452" s="868">
        <v>1100</v>
      </c>
      <c r="M452" s="868"/>
      <c r="N452" s="869"/>
    </row>
    <row r="453" spans="1:14" s="878" customFormat="1" ht="18" customHeight="1">
      <c r="A453" s="451">
        <v>419</v>
      </c>
      <c r="B453" s="872"/>
      <c r="C453" s="873"/>
      <c r="D453" s="1457" t="s">
        <v>757</v>
      </c>
      <c r="E453" s="875"/>
      <c r="F453" s="875"/>
      <c r="G453" s="876"/>
      <c r="H453" s="877"/>
      <c r="I453" s="1135">
        <f>SUM(J453:N453)</f>
        <v>1100</v>
      </c>
      <c r="J453" s="1142"/>
      <c r="K453" s="1142"/>
      <c r="L453" s="1142">
        <v>1100</v>
      </c>
      <c r="M453" s="1142"/>
      <c r="N453" s="869"/>
    </row>
    <row r="454" spans="1:14" s="878" customFormat="1" ht="18" customHeight="1">
      <c r="A454" s="451">
        <v>420</v>
      </c>
      <c r="B454" s="872"/>
      <c r="C454" s="873"/>
      <c r="D454" s="1090" t="s">
        <v>893</v>
      </c>
      <c r="E454" s="875"/>
      <c r="F454" s="875"/>
      <c r="G454" s="876"/>
      <c r="H454" s="877"/>
      <c r="I454" s="1138">
        <f>SUM(J454:N454)</f>
        <v>0</v>
      </c>
      <c r="J454" s="1142"/>
      <c r="K454" s="1142"/>
      <c r="L454" s="1142">
        <v>0</v>
      </c>
      <c r="M454" s="868"/>
      <c r="N454" s="869"/>
    </row>
    <row r="455" spans="1:16" s="3" customFormat="1" ht="22.5" customHeight="1">
      <c r="A455" s="451">
        <v>421</v>
      </c>
      <c r="B455" s="119"/>
      <c r="C455" s="120">
        <v>103</v>
      </c>
      <c r="D455" s="446" t="s">
        <v>96</v>
      </c>
      <c r="E455" s="122">
        <v>2889</v>
      </c>
      <c r="F455" s="122">
        <v>4250</v>
      </c>
      <c r="G455" s="123">
        <v>1405</v>
      </c>
      <c r="H455" s="453" t="s">
        <v>22</v>
      </c>
      <c r="I455" s="867"/>
      <c r="J455" s="1017"/>
      <c r="K455" s="1017"/>
      <c r="L455" s="1017"/>
      <c r="M455" s="1017"/>
      <c r="N455" s="1018"/>
      <c r="P455" s="8"/>
    </row>
    <row r="456" spans="1:14" s="878" customFormat="1" ht="18" customHeight="1">
      <c r="A456" s="451">
        <v>422</v>
      </c>
      <c r="B456" s="872"/>
      <c r="C456" s="873"/>
      <c r="D456" s="874" t="s">
        <v>283</v>
      </c>
      <c r="E456" s="875"/>
      <c r="F456" s="875"/>
      <c r="G456" s="876"/>
      <c r="H456" s="877"/>
      <c r="I456" s="867">
        <f>SUM(J456:N456)</f>
        <v>5000</v>
      </c>
      <c r="J456" s="868"/>
      <c r="K456" s="868"/>
      <c r="L456" s="868">
        <v>5000</v>
      </c>
      <c r="M456" s="868"/>
      <c r="N456" s="869"/>
    </row>
    <row r="457" spans="1:14" s="878" customFormat="1" ht="18" customHeight="1">
      <c r="A457" s="451">
        <v>423</v>
      </c>
      <c r="B457" s="872"/>
      <c r="C457" s="873"/>
      <c r="D457" s="1457" t="s">
        <v>757</v>
      </c>
      <c r="E457" s="875"/>
      <c r="F457" s="875"/>
      <c r="G457" s="876"/>
      <c r="H457" s="877"/>
      <c r="I457" s="1135">
        <f>SUM(J457:N457)</f>
        <v>5100</v>
      </c>
      <c r="J457" s="1142"/>
      <c r="K457" s="1142"/>
      <c r="L457" s="1142">
        <v>5100</v>
      </c>
      <c r="M457" s="868"/>
      <c r="N457" s="869"/>
    </row>
    <row r="458" spans="1:14" s="878" customFormat="1" ht="18" customHeight="1">
      <c r="A458" s="451">
        <v>424</v>
      </c>
      <c r="B458" s="872"/>
      <c r="C458" s="873"/>
      <c r="D458" s="1090" t="s">
        <v>892</v>
      </c>
      <c r="E458" s="875"/>
      <c r="F458" s="875"/>
      <c r="G458" s="876"/>
      <c r="H458" s="877"/>
      <c r="I458" s="1138">
        <f>SUM(J458:N458)</f>
        <v>125</v>
      </c>
      <c r="J458" s="1142"/>
      <c r="K458" s="1142"/>
      <c r="L458" s="1144">
        <v>125</v>
      </c>
      <c r="M458" s="868"/>
      <c r="N458" s="869"/>
    </row>
    <row r="459" spans="1:16" s="3" customFormat="1" ht="22.5" customHeight="1">
      <c r="A459" s="451">
        <v>425</v>
      </c>
      <c r="B459" s="119"/>
      <c r="C459" s="120">
        <v>104</v>
      </c>
      <c r="D459" s="446" t="s">
        <v>97</v>
      </c>
      <c r="E459" s="122">
        <v>13710</v>
      </c>
      <c r="F459" s="122">
        <v>17000</v>
      </c>
      <c r="G459" s="123">
        <v>17199</v>
      </c>
      <c r="H459" s="453" t="s">
        <v>22</v>
      </c>
      <c r="I459" s="867"/>
      <c r="J459" s="1017"/>
      <c r="K459" s="1017"/>
      <c r="L459" s="1017"/>
      <c r="M459" s="1017"/>
      <c r="N459" s="1018"/>
      <c r="P459" s="8"/>
    </row>
    <row r="460" spans="1:14" s="878" customFormat="1" ht="18" customHeight="1">
      <c r="A460" s="451">
        <v>426</v>
      </c>
      <c r="B460" s="872"/>
      <c r="C460" s="873"/>
      <c r="D460" s="874" t="s">
        <v>283</v>
      </c>
      <c r="E460" s="875"/>
      <c r="F460" s="875"/>
      <c r="G460" s="876"/>
      <c r="H460" s="877"/>
      <c r="I460" s="867">
        <f>SUM(J460:N460)</f>
        <v>20000</v>
      </c>
      <c r="J460" s="868"/>
      <c r="K460" s="868"/>
      <c r="L460" s="868">
        <v>20000</v>
      </c>
      <c r="M460" s="868"/>
      <c r="N460" s="869"/>
    </row>
    <row r="461" spans="1:14" s="878" customFormat="1" ht="18" customHeight="1">
      <c r="A461" s="451">
        <v>427</v>
      </c>
      <c r="B461" s="872"/>
      <c r="C461" s="873"/>
      <c r="D461" s="1457" t="s">
        <v>757</v>
      </c>
      <c r="E461" s="875"/>
      <c r="F461" s="875"/>
      <c r="G461" s="876"/>
      <c r="H461" s="877"/>
      <c r="I461" s="1135">
        <f>SUM(J461:N461)</f>
        <v>34305</v>
      </c>
      <c r="J461" s="1142"/>
      <c r="K461" s="1142"/>
      <c r="L461" s="1142">
        <v>34305</v>
      </c>
      <c r="M461" s="868"/>
      <c r="N461" s="869"/>
    </row>
    <row r="462" spans="1:14" s="878" customFormat="1" ht="18" customHeight="1">
      <c r="A462" s="451">
        <v>428</v>
      </c>
      <c r="B462" s="872"/>
      <c r="C462" s="873"/>
      <c r="D462" s="1090" t="s">
        <v>892</v>
      </c>
      <c r="E462" s="875"/>
      <c r="F462" s="875"/>
      <c r="G462" s="876"/>
      <c r="H462" s="877"/>
      <c r="I462" s="1138">
        <f>SUM(J462:N462)</f>
        <v>10272</v>
      </c>
      <c r="J462" s="1142"/>
      <c r="K462" s="1142"/>
      <c r="L462" s="1144">
        <v>10272</v>
      </c>
      <c r="M462" s="868"/>
      <c r="N462" s="869"/>
    </row>
    <row r="463" spans="1:16" s="3" customFormat="1" ht="22.5" customHeight="1">
      <c r="A463" s="451">
        <v>429</v>
      </c>
      <c r="B463" s="119"/>
      <c r="C463" s="120">
        <v>105</v>
      </c>
      <c r="D463" s="446" t="s">
        <v>98</v>
      </c>
      <c r="E463" s="122">
        <v>189414</v>
      </c>
      <c r="F463" s="122">
        <v>191250</v>
      </c>
      <c r="G463" s="123">
        <v>225617</v>
      </c>
      <c r="H463" s="453" t="s">
        <v>22</v>
      </c>
      <c r="I463" s="867"/>
      <c r="J463" s="1017"/>
      <c r="K463" s="1017"/>
      <c r="L463" s="1017"/>
      <c r="M463" s="1017"/>
      <c r="N463" s="1018"/>
      <c r="P463" s="8"/>
    </row>
    <row r="464" spans="1:14" s="878" customFormat="1" ht="18" customHeight="1">
      <c r="A464" s="451">
        <v>430</v>
      </c>
      <c r="B464" s="872"/>
      <c r="C464" s="873"/>
      <c r="D464" s="874" t="s">
        <v>283</v>
      </c>
      <c r="E464" s="875"/>
      <c r="F464" s="875"/>
      <c r="G464" s="876"/>
      <c r="H464" s="877"/>
      <c r="I464" s="867">
        <f>SUM(J464:N464)</f>
        <v>235000</v>
      </c>
      <c r="J464" s="868"/>
      <c r="K464" s="868"/>
      <c r="L464" s="868">
        <v>235000</v>
      </c>
      <c r="M464" s="868"/>
      <c r="N464" s="869"/>
    </row>
    <row r="465" spans="1:14" s="878" customFormat="1" ht="18" customHeight="1">
      <c r="A465" s="451">
        <v>431</v>
      </c>
      <c r="B465" s="872"/>
      <c r="C465" s="873"/>
      <c r="D465" s="1457" t="s">
        <v>757</v>
      </c>
      <c r="E465" s="875"/>
      <c r="F465" s="875"/>
      <c r="G465" s="876"/>
      <c r="H465" s="877"/>
      <c r="I465" s="1135">
        <f>SUM(J465:N465)</f>
        <v>235000</v>
      </c>
      <c r="J465" s="1142"/>
      <c r="K465" s="1142"/>
      <c r="L465" s="1142">
        <v>235000</v>
      </c>
      <c r="M465" s="868"/>
      <c r="N465" s="869"/>
    </row>
    <row r="466" spans="1:14" s="878" customFormat="1" ht="18" customHeight="1">
      <c r="A466" s="451">
        <v>432</v>
      </c>
      <c r="B466" s="872"/>
      <c r="C466" s="873"/>
      <c r="D466" s="1090" t="s">
        <v>893</v>
      </c>
      <c r="E466" s="875"/>
      <c r="F466" s="875"/>
      <c r="G466" s="876"/>
      <c r="H466" s="877"/>
      <c r="I466" s="1138">
        <f>SUM(J466:N466)</f>
        <v>94897</v>
      </c>
      <c r="J466" s="1144"/>
      <c r="K466" s="1144"/>
      <c r="L466" s="1144">
        <v>94897</v>
      </c>
      <c r="M466" s="868"/>
      <c r="N466" s="869"/>
    </row>
    <row r="467" spans="1:16" s="3" customFormat="1" ht="22.5" customHeight="1">
      <c r="A467" s="451">
        <v>433</v>
      </c>
      <c r="B467" s="119"/>
      <c r="C467" s="120">
        <v>106</v>
      </c>
      <c r="D467" s="446" t="s">
        <v>99</v>
      </c>
      <c r="E467" s="122">
        <v>3526</v>
      </c>
      <c r="F467" s="122">
        <v>4250</v>
      </c>
      <c r="G467" s="123">
        <v>3555</v>
      </c>
      <c r="H467" s="453" t="s">
        <v>22</v>
      </c>
      <c r="I467" s="867"/>
      <c r="J467" s="1017"/>
      <c r="K467" s="1017"/>
      <c r="L467" s="1017"/>
      <c r="M467" s="1017"/>
      <c r="N467" s="1018"/>
      <c r="P467" s="8"/>
    </row>
    <row r="468" spans="1:14" s="878" customFormat="1" ht="18" customHeight="1">
      <c r="A468" s="451">
        <v>434</v>
      </c>
      <c r="B468" s="872"/>
      <c r="C468" s="873"/>
      <c r="D468" s="874" t="s">
        <v>283</v>
      </c>
      <c r="E468" s="875"/>
      <c r="F468" s="875"/>
      <c r="G468" s="876"/>
      <c r="H468" s="877"/>
      <c r="I468" s="867">
        <f>SUM(J468:N468)</f>
        <v>5000</v>
      </c>
      <c r="J468" s="868"/>
      <c r="K468" s="868"/>
      <c r="L468" s="868">
        <v>5000</v>
      </c>
      <c r="M468" s="868"/>
      <c r="N468" s="869"/>
    </row>
    <row r="469" spans="1:14" s="878" customFormat="1" ht="18" customHeight="1">
      <c r="A469" s="451">
        <v>435</v>
      </c>
      <c r="B469" s="872"/>
      <c r="C469" s="873"/>
      <c r="D469" s="1457" t="s">
        <v>757</v>
      </c>
      <c r="E469" s="875"/>
      <c r="F469" s="875"/>
      <c r="G469" s="876"/>
      <c r="H469" s="877"/>
      <c r="I469" s="1135">
        <f>SUM(J469:N469)</f>
        <v>6881</v>
      </c>
      <c r="J469" s="1142"/>
      <c r="K469" s="1142"/>
      <c r="L469" s="1142">
        <v>6881</v>
      </c>
      <c r="M469" s="868"/>
      <c r="N469" s="869"/>
    </row>
    <row r="470" spans="1:14" s="878" customFormat="1" ht="18" customHeight="1">
      <c r="A470" s="451">
        <v>436</v>
      </c>
      <c r="B470" s="872"/>
      <c r="C470" s="873"/>
      <c r="D470" s="1090" t="s">
        <v>892</v>
      </c>
      <c r="E470" s="875"/>
      <c r="F470" s="875"/>
      <c r="G470" s="876"/>
      <c r="H470" s="877"/>
      <c r="I470" s="1138">
        <f>SUM(J470:N470)</f>
        <v>2108</v>
      </c>
      <c r="J470" s="1144"/>
      <c r="K470" s="1144"/>
      <c r="L470" s="1144">
        <v>2108</v>
      </c>
      <c r="M470" s="868"/>
      <c r="N470" s="869"/>
    </row>
    <row r="471" spans="1:16" s="3" customFormat="1" ht="22.5" customHeight="1">
      <c r="A471" s="451">
        <v>437</v>
      </c>
      <c r="B471" s="119"/>
      <c r="C471" s="120">
        <v>107</v>
      </c>
      <c r="D471" s="446" t="s">
        <v>100</v>
      </c>
      <c r="E471" s="122">
        <v>4382</v>
      </c>
      <c r="F471" s="122">
        <v>5100</v>
      </c>
      <c r="G471" s="123">
        <v>1141</v>
      </c>
      <c r="H471" s="453" t="s">
        <v>22</v>
      </c>
      <c r="I471" s="867"/>
      <c r="J471" s="1017"/>
      <c r="K471" s="1017"/>
      <c r="L471" s="1017"/>
      <c r="M471" s="1017"/>
      <c r="N471" s="1018"/>
      <c r="P471" s="8"/>
    </row>
    <row r="472" spans="1:14" s="878" customFormat="1" ht="18" customHeight="1">
      <c r="A472" s="451">
        <v>438</v>
      </c>
      <c r="B472" s="872"/>
      <c r="C472" s="873"/>
      <c r="D472" s="874" t="s">
        <v>283</v>
      </c>
      <c r="E472" s="875"/>
      <c r="F472" s="875"/>
      <c r="G472" s="876"/>
      <c r="H472" s="877"/>
      <c r="I472" s="867">
        <f>SUM(J472:N472)</f>
        <v>4000</v>
      </c>
      <c r="J472" s="868"/>
      <c r="K472" s="868"/>
      <c r="L472" s="868">
        <v>4000</v>
      </c>
      <c r="M472" s="868"/>
      <c r="N472" s="869"/>
    </row>
    <row r="473" spans="1:14" s="878" customFormat="1" ht="18" customHeight="1">
      <c r="A473" s="451">
        <v>439</v>
      </c>
      <c r="B473" s="872"/>
      <c r="C473" s="873"/>
      <c r="D473" s="1457" t="s">
        <v>757</v>
      </c>
      <c r="E473" s="875"/>
      <c r="F473" s="875"/>
      <c r="G473" s="876"/>
      <c r="H473" s="877"/>
      <c r="I473" s="1135">
        <f>SUM(J473:N473)</f>
        <v>4000</v>
      </c>
      <c r="J473" s="1142"/>
      <c r="K473" s="1142"/>
      <c r="L473" s="1142">
        <v>4000</v>
      </c>
      <c r="M473" s="868"/>
      <c r="N473" s="869"/>
    </row>
    <row r="474" spans="1:14" s="878" customFormat="1" ht="18" customHeight="1">
      <c r="A474" s="451">
        <v>440</v>
      </c>
      <c r="B474" s="872"/>
      <c r="C474" s="873"/>
      <c r="D474" s="1090" t="s">
        <v>892</v>
      </c>
      <c r="E474" s="875"/>
      <c r="F474" s="875"/>
      <c r="G474" s="876"/>
      <c r="H474" s="877"/>
      <c r="I474" s="1138">
        <f>SUM(J474:N474)</f>
        <v>0</v>
      </c>
      <c r="J474" s="1144"/>
      <c r="K474" s="1144"/>
      <c r="L474" s="1144">
        <v>0</v>
      </c>
      <c r="M474" s="868"/>
      <c r="N474" s="869"/>
    </row>
    <row r="475" spans="1:16" s="3" customFormat="1" ht="22.5" customHeight="1">
      <c r="A475" s="451">
        <v>441</v>
      </c>
      <c r="B475" s="119"/>
      <c r="C475" s="120">
        <v>108</v>
      </c>
      <c r="D475" s="446" t="s">
        <v>101</v>
      </c>
      <c r="E475" s="122">
        <v>36</v>
      </c>
      <c r="F475" s="122">
        <v>850</v>
      </c>
      <c r="G475" s="123">
        <v>185</v>
      </c>
      <c r="H475" s="453" t="s">
        <v>22</v>
      </c>
      <c r="I475" s="867"/>
      <c r="J475" s="1017"/>
      <c r="K475" s="1017"/>
      <c r="L475" s="1017"/>
      <c r="M475" s="1017"/>
      <c r="N475" s="1018"/>
      <c r="P475" s="8"/>
    </row>
    <row r="476" spans="1:14" s="878" customFormat="1" ht="18" customHeight="1">
      <c r="A476" s="451">
        <v>442</v>
      </c>
      <c r="B476" s="872"/>
      <c r="C476" s="873"/>
      <c r="D476" s="874" t="s">
        <v>283</v>
      </c>
      <c r="E476" s="875"/>
      <c r="F476" s="875"/>
      <c r="G476" s="876"/>
      <c r="H476" s="877"/>
      <c r="I476" s="867">
        <f>SUM(J476:N476)</f>
        <v>500</v>
      </c>
      <c r="J476" s="868"/>
      <c r="K476" s="868"/>
      <c r="L476" s="868">
        <v>500</v>
      </c>
      <c r="M476" s="868"/>
      <c r="N476" s="869"/>
    </row>
    <row r="477" spans="1:14" s="878" customFormat="1" ht="18" customHeight="1">
      <c r="A477" s="451">
        <v>443</v>
      </c>
      <c r="B477" s="872"/>
      <c r="C477" s="873"/>
      <c r="D477" s="1457" t="s">
        <v>757</v>
      </c>
      <c r="E477" s="875"/>
      <c r="F477" s="875"/>
      <c r="G477" s="876"/>
      <c r="H477" s="877"/>
      <c r="I477" s="1135">
        <f>SUM(J477:N477)</f>
        <v>800</v>
      </c>
      <c r="J477" s="1142"/>
      <c r="K477" s="1142"/>
      <c r="L477" s="1142">
        <v>800</v>
      </c>
      <c r="M477" s="868"/>
      <c r="N477" s="869"/>
    </row>
    <row r="478" spans="1:14" s="878" customFormat="1" ht="18" customHeight="1">
      <c r="A478" s="451">
        <v>444</v>
      </c>
      <c r="B478" s="872"/>
      <c r="C478" s="873"/>
      <c r="D478" s="1090" t="s">
        <v>892</v>
      </c>
      <c r="E478" s="875"/>
      <c r="F478" s="875"/>
      <c r="G478" s="876"/>
      <c r="H478" s="877"/>
      <c r="I478" s="1138">
        <f>SUM(J478:N478)</f>
        <v>0</v>
      </c>
      <c r="J478" s="1144"/>
      <c r="K478" s="1144"/>
      <c r="L478" s="1144">
        <v>0</v>
      </c>
      <c r="M478" s="868"/>
      <c r="N478" s="869"/>
    </row>
    <row r="479" spans="1:16" s="3" customFormat="1" ht="22.5" customHeight="1">
      <c r="A479" s="451">
        <v>445</v>
      </c>
      <c r="B479" s="119"/>
      <c r="C479" s="120">
        <v>109</v>
      </c>
      <c r="D479" s="450" t="s">
        <v>287</v>
      </c>
      <c r="E479" s="122">
        <v>59551</v>
      </c>
      <c r="F479" s="122">
        <v>65195</v>
      </c>
      <c r="G479" s="123">
        <v>66237</v>
      </c>
      <c r="H479" s="453" t="s">
        <v>22</v>
      </c>
      <c r="I479" s="867"/>
      <c r="J479" s="1017"/>
      <c r="K479" s="1017"/>
      <c r="L479" s="1017"/>
      <c r="M479" s="1017"/>
      <c r="N479" s="1018"/>
      <c r="P479" s="8"/>
    </row>
    <row r="480" spans="1:14" s="878" customFormat="1" ht="18" customHeight="1">
      <c r="A480" s="451">
        <v>446</v>
      </c>
      <c r="B480" s="872"/>
      <c r="C480" s="873"/>
      <c r="D480" s="874" t="s">
        <v>283</v>
      </c>
      <c r="E480" s="875"/>
      <c r="F480" s="875"/>
      <c r="G480" s="876"/>
      <c r="H480" s="877"/>
      <c r="I480" s="867">
        <f>SUM(J480:N480)</f>
        <v>67760</v>
      </c>
      <c r="J480" s="868"/>
      <c r="K480" s="868"/>
      <c r="L480" s="868">
        <v>67760</v>
      </c>
      <c r="M480" s="868"/>
      <c r="N480" s="869"/>
    </row>
    <row r="481" spans="1:14" s="878" customFormat="1" ht="18" customHeight="1">
      <c r="A481" s="451">
        <v>447</v>
      </c>
      <c r="B481" s="872"/>
      <c r="C481" s="873"/>
      <c r="D481" s="1457" t="s">
        <v>757</v>
      </c>
      <c r="E481" s="875"/>
      <c r="F481" s="875"/>
      <c r="G481" s="876"/>
      <c r="H481" s="877"/>
      <c r="I481" s="1135">
        <f>SUM(J481:N481)</f>
        <v>70292</v>
      </c>
      <c r="J481" s="1142"/>
      <c r="K481" s="1142"/>
      <c r="L481" s="1142">
        <v>70292</v>
      </c>
      <c r="M481" s="868"/>
      <c r="N481" s="869"/>
    </row>
    <row r="482" spans="1:14" s="878" customFormat="1" ht="18" customHeight="1">
      <c r="A482" s="451">
        <v>448</v>
      </c>
      <c r="B482" s="872"/>
      <c r="C482" s="873"/>
      <c r="D482" s="1090" t="s">
        <v>892</v>
      </c>
      <c r="E482" s="875"/>
      <c r="F482" s="875"/>
      <c r="G482" s="876"/>
      <c r="H482" s="877"/>
      <c r="I482" s="1138">
        <f>SUM(J482:N482)</f>
        <v>34126</v>
      </c>
      <c r="J482" s="1144"/>
      <c r="K482" s="1144"/>
      <c r="L482" s="1144">
        <v>34126</v>
      </c>
      <c r="M482" s="868"/>
      <c r="N482" s="869"/>
    </row>
    <row r="483" spans="1:16" s="3" customFormat="1" ht="22.5" customHeight="1">
      <c r="A483" s="451">
        <v>449</v>
      </c>
      <c r="B483" s="119"/>
      <c r="C483" s="120">
        <v>110</v>
      </c>
      <c r="D483" s="450" t="s">
        <v>503</v>
      </c>
      <c r="E483" s="122">
        <v>60900</v>
      </c>
      <c r="F483" s="122">
        <v>57501</v>
      </c>
      <c r="G483" s="123">
        <v>57448</v>
      </c>
      <c r="H483" s="453" t="s">
        <v>22</v>
      </c>
      <c r="I483" s="867"/>
      <c r="J483" s="1017"/>
      <c r="K483" s="1017"/>
      <c r="L483" s="1017"/>
      <c r="M483" s="1017"/>
      <c r="N483" s="1018"/>
      <c r="P483" s="8"/>
    </row>
    <row r="484" spans="1:14" s="878" customFormat="1" ht="18" customHeight="1">
      <c r="A484" s="451">
        <v>450</v>
      </c>
      <c r="B484" s="872"/>
      <c r="C484" s="873"/>
      <c r="D484" s="874" t="s">
        <v>283</v>
      </c>
      <c r="E484" s="875"/>
      <c r="F484" s="875"/>
      <c r="G484" s="876"/>
      <c r="H484" s="877"/>
      <c r="I484" s="867">
        <f>SUM(J484:N484)</f>
        <v>67000</v>
      </c>
      <c r="J484" s="868"/>
      <c r="K484" s="868"/>
      <c r="L484" s="868">
        <v>67000</v>
      </c>
      <c r="M484" s="868"/>
      <c r="N484" s="869"/>
    </row>
    <row r="485" spans="1:14" s="878" customFormat="1" ht="18" customHeight="1">
      <c r="A485" s="451">
        <v>451</v>
      </c>
      <c r="B485" s="872"/>
      <c r="C485" s="873"/>
      <c r="D485" s="1457" t="s">
        <v>757</v>
      </c>
      <c r="E485" s="875"/>
      <c r="F485" s="875"/>
      <c r="G485" s="876"/>
      <c r="H485" s="877"/>
      <c r="I485" s="1135">
        <f>SUM(J485:N485)</f>
        <v>70101</v>
      </c>
      <c r="J485" s="1142"/>
      <c r="K485" s="1142"/>
      <c r="L485" s="1142">
        <v>70101</v>
      </c>
      <c r="M485" s="868"/>
      <c r="N485" s="869"/>
    </row>
    <row r="486" spans="1:14" s="878" customFormat="1" ht="18" customHeight="1">
      <c r="A486" s="451">
        <v>452</v>
      </c>
      <c r="B486" s="872"/>
      <c r="C486" s="873"/>
      <c r="D486" s="1090" t="s">
        <v>892</v>
      </c>
      <c r="E486" s="875"/>
      <c r="F486" s="875"/>
      <c r="G486" s="876"/>
      <c r="H486" s="877"/>
      <c r="I486" s="1138">
        <f>SUM(J486:N486)</f>
        <v>33001</v>
      </c>
      <c r="J486" s="1144"/>
      <c r="K486" s="1144"/>
      <c r="L486" s="1144">
        <v>33001</v>
      </c>
      <c r="M486" s="868"/>
      <c r="N486" s="869"/>
    </row>
    <row r="487" spans="1:16" s="3" customFormat="1" ht="22.5" customHeight="1">
      <c r="A487" s="451">
        <v>453</v>
      </c>
      <c r="B487" s="119"/>
      <c r="C487" s="120">
        <v>111</v>
      </c>
      <c r="D487" s="450" t="s">
        <v>240</v>
      </c>
      <c r="E487" s="122">
        <v>18999</v>
      </c>
      <c r="F487" s="122">
        <v>17000</v>
      </c>
      <c r="G487" s="123">
        <v>17000</v>
      </c>
      <c r="H487" s="453" t="s">
        <v>22</v>
      </c>
      <c r="I487" s="867"/>
      <c r="J487" s="1017"/>
      <c r="K487" s="1017"/>
      <c r="L487" s="1017"/>
      <c r="M487" s="1017"/>
      <c r="N487" s="1018"/>
      <c r="P487" s="8"/>
    </row>
    <row r="488" spans="1:14" s="878" customFormat="1" ht="18" customHeight="1">
      <c r="A488" s="451">
        <v>454</v>
      </c>
      <c r="B488" s="872"/>
      <c r="C488" s="873"/>
      <c r="D488" s="874" t="s">
        <v>283</v>
      </c>
      <c r="E488" s="875"/>
      <c r="F488" s="875"/>
      <c r="G488" s="876"/>
      <c r="H488" s="877"/>
      <c r="I488" s="867">
        <f>SUM(J488:N488)</f>
        <v>19000</v>
      </c>
      <c r="J488" s="868"/>
      <c r="K488" s="868"/>
      <c r="L488" s="868">
        <v>19000</v>
      </c>
      <c r="M488" s="868"/>
      <c r="N488" s="869"/>
    </row>
    <row r="489" spans="1:14" s="878" customFormat="1" ht="18" customHeight="1">
      <c r="A489" s="451">
        <v>455</v>
      </c>
      <c r="B489" s="872"/>
      <c r="C489" s="873"/>
      <c r="D489" s="1457" t="s">
        <v>757</v>
      </c>
      <c r="E489" s="875"/>
      <c r="F489" s="875"/>
      <c r="G489" s="876"/>
      <c r="H489" s="881"/>
      <c r="I489" s="1135">
        <f>SUM(J489:N489)</f>
        <v>19000</v>
      </c>
      <c r="J489" s="1142"/>
      <c r="K489" s="1142"/>
      <c r="L489" s="1142">
        <v>19000</v>
      </c>
      <c r="M489" s="868"/>
      <c r="N489" s="869"/>
    </row>
    <row r="490" spans="1:14" s="878" customFormat="1" ht="18" customHeight="1">
      <c r="A490" s="451">
        <v>456</v>
      </c>
      <c r="B490" s="872"/>
      <c r="C490" s="873"/>
      <c r="D490" s="1090" t="s">
        <v>893</v>
      </c>
      <c r="E490" s="875"/>
      <c r="F490" s="875"/>
      <c r="G490" s="876"/>
      <c r="H490" s="881"/>
      <c r="I490" s="1138">
        <f>SUM(J490:N490)</f>
        <v>0</v>
      </c>
      <c r="J490" s="1144"/>
      <c r="K490" s="1144"/>
      <c r="L490" s="1144">
        <v>0</v>
      </c>
      <c r="M490" s="868"/>
      <c r="N490" s="869"/>
    </row>
    <row r="491" spans="1:16" s="3" customFormat="1" ht="22.5" customHeight="1">
      <c r="A491" s="451">
        <v>457</v>
      </c>
      <c r="B491" s="119"/>
      <c r="C491" s="120">
        <v>112</v>
      </c>
      <c r="D491" s="446" t="s">
        <v>239</v>
      </c>
      <c r="E491" s="122">
        <v>1601</v>
      </c>
      <c r="F491" s="122">
        <v>1275</v>
      </c>
      <c r="G491" s="123">
        <v>778</v>
      </c>
      <c r="H491" s="455" t="s">
        <v>22</v>
      </c>
      <c r="I491" s="867"/>
      <c r="J491" s="1017"/>
      <c r="K491" s="1017"/>
      <c r="L491" s="1017"/>
      <c r="M491" s="1017"/>
      <c r="N491" s="1018"/>
      <c r="P491" s="8"/>
    </row>
    <row r="492" spans="1:14" s="878" customFormat="1" ht="18" customHeight="1">
      <c r="A492" s="451">
        <v>458</v>
      </c>
      <c r="B492" s="895"/>
      <c r="C492" s="873"/>
      <c r="D492" s="874" t="s">
        <v>283</v>
      </c>
      <c r="E492" s="879"/>
      <c r="F492" s="879"/>
      <c r="G492" s="880"/>
      <c r="H492" s="881"/>
      <c r="I492" s="867">
        <f>SUM(J492:N492)</f>
        <v>1500</v>
      </c>
      <c r="J492" s="882"/>
      <c r="K492" s="882"/>
      <c r="L492" s="882">
        <v>1500</v>
      </c>
      <c r="M492" s="882"/>
      <c r="N492" s="883"/>
    </row>
    <row r="493" spans="1:14" s="878" customFormat="1" ht="18" customHeight="1">
      <c r="A493" s="451">
        <v>459</v>
      </c>
      <c r="B493" s="895"/>
      <c r="C493" s="873"/>
      <c r="D493" s="1457" t="s">
        <v>757</v>
      </c>
      <c r="E493" s="879"/>
      <c r="F493" s="879"/>
      <c r="G493" s="880"/>
      <c r="H493" s="881"/>
      <c r="I493" s="1135">
        <f>SUM(J493:N493)</f>
        <v>1500</v>
      </c>
      <c r="J493" s="1136"/>
      <c r="K493" s="1136"/>
      <c r="L493" s="1136">
        <v>1500</v>
      </c>
      <c r="M493" s="882"/>
      <c r="N493" s="883"/>
    </row>
    <row r="494" spans="1:14" s="878" customFormat="1" ht="18" customHeight="1">
      <c r="A494" s="451">
        <v>460</v>
      </c>
      <c r="B494" s="895"/>
      <c r="C494" s="873"/>
      <c r="D494" s="1090" t="s">
        <v>893</v>
      </c>
      <c r="E494" s="879"/>
      <c r="F494" s="879"/>
      <c r="G494" s="880"/>
      <c r="H494" s="881"/>
      <c r="I494" s="1138">
        <f>SUM(J494:N494)</f>
        <v>281</v>
      </c>
      <c r="J494" s="1708"/>
      <c r="K494" s="1708"/>
      <c r="L494" s="1708">
        <v>281</v>
      </c>
      <c r="M494" s="882"/>
      <c r="N494" s="883"/>
    </row>
    <row r="495" spans="1:16" s="3" customFormat="1" ht="22.5" customHeight="1">
      <c r="A495" s="451">
        <v>461</v>
      </c>
      <c r="B495" s="119"/>
      <c r="C495" s="120">
        <v>113</v>
      </c>
      <c r="D495" s="446" t="s">
        <v>340</v>
      </c>
      <c r="E495" s="122">
        <v>2971</v>
      </c>
      <c r="F495" s="122">
        <v>6350</v>
      </c>
      <c r="G495" s="123">
        <v>2087</v>
      </c>
      <c r="H495" s="453" t="s">
        <v>23</v>
      </c>
      <c r="I495" s="867"/>
      <c r="J495" s="1017"/>
      <c r="K495" s="1017"/>
      <c r="L495" s="1017"/>
      <c r="M495" s="1017"/>
      <c r="N495" s="1018"/>
      <c r="P495" s="8"/>
    </row>
    <row r="496" spans="1:14" s="878" customFormat="1" ht="18" customHeight="1">
      <c r="A496" s="451">
        <v>462</v>
      </c>
      <c r="B496" s="872"/>
      <c r="C496" s="873"/>
      <c r="D496" s="874" t="s">
        <v>283</v>
      </c>
      <c r="E496" s="875"/>
      <c r="F496" s="875"/>
      <c r="G496" s="876"/>
      <c r="H496" s="877"/>
      <c r="I496" s="867">
        <f>SUM(J496:N496)</f>
        <v>3500</v>
      </c>
      <c r="J496" s="868"/>
      <c r="K496" s="868"/>
      <c r="L496" s="868">
        <v>3500</v>
      </c>
      <c r="M496" s="868"/>
      <c r="N496" s="869"/>
    </row>
    <row r="497" spans="1:14" s="878" customFormat="1" ht="18" customHeight="1">
      <c r="A497" s="451">
        <v>463</v>
      </c>
      <c r="B497" s="872"/>
      <c r="C497" s="873"/>
      <c r="D497" s="1457" t="s">
        <v>757</v>
      </c>
      <c r="E497" s="875"/>
      <c r="F497" s="875"/>
      <c r="G497" s="876"/>
      <c r="H497" s="877"/>
      <c r="I497" s="1135">
        <f>SUM(J497:N497)</f>
        <v>7558</v>
      </c>
      <c r="J497" s="1142"/>
      <c r="K497" s="1142"/>
      <c r="L497" s="1142">
        <v>7558</v>
      </c>
      <c r="M497" s="868"/>
      <c r="N497" s="869"/>
    </row>
    <row r="498" spans="1:14" s="878" customFormat="1" ht="18" customHeight="1">
      <c r="A498" s="451">
        <v>464</v>
      </c>
      <c r="B498" s="872"/>
      <c r="C498" s="873"/>
      <c r="D498" s="1090" t="s">
        <v>892</v>
      </c>
      <c r="E498" s="875"/>
      <c r="F498" s="875"/>
      <c r="G498" s="876"/>
      <c r="H498" s="877"/>
      <c r="I498" s="1138">
        <f>SUM(J498:N498)</f>
        <v>2862</v>
      </c>
      <c r="J498" s="1144"/>
      <c r="K498" s="1144"/>
      <c r="L498" s="1144">
        <v>2862</v>
      </c>
      <c r="M498" s="1144"/>
      <c r="N498" s="869"/>
    </row>
    <row r="499" spans="1:16" s="3" customFormat="1" ht="22.5" customHeight="1">
      <c r="A499" s="451">
        <v>465</v>
      </c>
      <c r="B499" s="119"/>
      <c r="C499" s="120">
        <v>114</v>
      </c>
      <c r="D499" s="446" t="s">
        <v>643</v>
      </c>
      <c r="E499" s="122">
        <v>8435</v>
      </c>
      <c r="F499" s="122">
        <v>16000</v>
      </c>
      <c r="G499" s="123">
        <f>13189-5690</f>
        <v>7499</v>
      </c>
      <c r="H499" s="453" t="s">
        <v>22</v>
      </c>
      <c r="I499" s="867"/>
      <c r="J499" s="1017"/>
      <c r="K499" s="1017"/>
      <c r="L499" s="1017"/>
      <c r="M499" s="1017"/>
      <c r="N499" s="1018"/>
      <c r="P499" s="8"/>
    </row>
    <row r="500" spans="1:14" s="878" customFormat="1" ht="18" customHeight="1">
      <c r="A500" s="451">
        <v>466</v>
      </c>
      <c r="B500" s="872"/>
      <c r="C500" s="873"/>
      <c r="D500" s="874" t="s">
        <v>283</v>
      </c>
      <c r="E500" s="875"/>
      <c r="F500" s="875"/>
      <c r="G500" s="876"/>
      <c r="H500" s="877"/>
      <c r="I500" s="867">
        <f>SUM(J500:N500)</f>
        <v>9600</v>
      </c>
      <c r="J500" s="868"/>
      <c r="K500" s="868"/>
      <c r="L500" s="868">
        <v>9600</v>
      </c>
      <c r="M500" s="868"/>
      <c r="N500" s="869"/>
    </row>
    <row r="501" spans="1:14" s="878" customFormat="1" ht="18" customHeight="1">
      <c r="A501" s="451">
        <v>467</v>
      </c>
      <c r="B501" s="872"/>
      <c r="C501" s="873"/>
      <c r="D501" s="1457" t="s">
        <v>757</v>
      </c>
      <c r="E501" s="875"/>
      <c r="F501" s="875"/>
      <c r="G501" s="876"/>
      <c r="H501" s="877"/>
      <c r="I501" s="1135">
        <f>SUM(J501:N501)</f>
        <v>14096</v>
      </c>
      <c r="J501" s="1142"/>
      <c r="K501" s="1142"/>
      <c r="L501" s="1142">
        <v>14096</v>
      </c>
      <c r="M501" s="868"/>
      <c r="N501" s="869"/>
    </row>
    <row r="502" spans="1:14" s="878" customFormat="1" ht="18" customHeight="1">
      <c r="A502" s="451">
        <v>468</v>
      </c>
      <c r="B502" s="872"/>
      <c r="C502" s="873"/>
      <c r="D502" s="1090" t="s">
        <v>892</v>
      </c>
      <c r="E502" s="875"/>
      <c r="F502" s="875"/>
      <c r="G502" s="876"/>
      <c r="H502" s="877"/>
      <c r="I502" s="1138">
        <f>SUM(J502:N502)</f>
        <v>1662</v>
      </c>
      <c r="J502" s="1144"/>
      <c r="K502" s="1144"/>
      <c r="L502" s="1144">
        <v>1662</v>
      </c>
      <c r="M502" s="868"/>
      <c r="N502" s="869"/>
    </row>
    <row r="503" spans="1:14" s="878" customFormat="1" ht="22.5" customHeight="1">
      <c r="A503" s="451">
        <v>469</v>
      </c>
      <c r="B503" s="872"/>
      <c r="C503" s="125">
        <v>115</v>
      </c>
      <c r="D503" s="446" t="s">
        <v>642</v>
      </c>
      <c r="E503" s="875"/>
      <c r="F503" s="875"/>
      <c r="G503" s="123">
        <v>5690</v>
      </c>
      <c r="H503" s="453" t="s">
        <v>22</v>
      </c>
      <c r="I503" s="867"/>
      <c r="J503" s="868"/>
      <c r="K503" s="868"/>
      <c r="L503" s="868"/>
      <c r="M503" s="868"/>
      <c r="N503" s="869"/>
    </row>
    <row r="504" spans="1:14" s="878" customFormat="1" ht="18" customHeight="1">
      <c r="A504" s="451">
        <v>470</v>
      </c>
      <c r="B504" s="872"/>
      <c r="C504" s="873"/>
      <c r="D504" s="874" t="s">
        <v>283</v>
      </c>
      <c r="E504" s="875"/>
      <c r="F504" s="875"/>
      <c r="G504" s="876"/>
      <c r="H504" s="877"/>
      <c r="I504" s="867">
        <f>SUM(J504:N504)</f>
        <v>11000</v>
      </c>
      <c r="J504" s="868"/>
      <c r="K504" s="868"/>
      <c r="L504" s="868">
        <v>11000</v>
      </c>
      <c r="M504" s="868"/>
      <c r="N504" s="869"/>
    </row>
    <row r="505" spans="1:14" s="878" customFormat="1" ht="18" customHeight="1">
      <c r="A505" s="451">
        <v>471</v>
      </c>
      <c r="B505" s="872"/>
      <c r="C505" s="873"/>
      <c r="D505" s="1457" t="s">
        <v>757</v>
      </c>
      <c r="E505" s="875"/>
      <c r="F505" s="875"/>
      <c r="G505" s="876"/>
      <c r="H505" s="877"/>
      <c r="I505" s="1135">
        <f>SUM(J505:N505)</f>
        <v>12000</v>
      </c>
      <c r="J505" s="1142"/>
      <c r="K505" s="1142"/>
      <c r="L505" s="1142">
        <v>12000</v>
      </c>
      <c r="M505" s="868"/>
      <c r="N505" s="869"/>
    </row>
    <row r="506" spans="1:14" s="878" customFormat="1" ht="18" customHeight="1">
      <c r="A506" s="451">
        <v>472</v>
      </c>
      <c r="B506" s="872"/>
      <c r="C506" s="873"/>
      <c r="D506" s="1090" t="s">
        <v>892</v>
      </c>
      <c r="E506" s="875"/>
      <c r="F506" s="875"/>
      <c r="G506" s="876"/>
      <c r="H506" s="877"/>
      <c r="I506" s="1138">
        <f>SUM(J506:N506)</f>
        <v>4416</v>
      </c>
      <c r="J506" s="1144"/>
      <c r="K506" s="1144"/>
      <c r="L506" s="1144">
        <v>4416</v>
      </c>
      <c r="M506" s="868"/>
      <c r="N506" s="869"/>
    </row>
    <row r="507" spans="1:14" s="8" customFormat="1" ht="22.5" customHeight="1">
      <c r="A507" s="451">
        <v>473</v>
      </c>
      <c r="B507" s="135"/>
      <c r="C507" s="120">
        <v>116</v>
      </c>
      <c r="D507" s="446" t="s">
        <v>264</v>
      </c>
      <c r="E507" s="122">
        <v>156855</v>
      </c>
      <c r="F507" s="122">
        <v>155388</v>
      </c>
      <c r="G507" s="123">
        <v>146597</v>
      </c>
      <c r="H507" s="453" t="s">
        <v>22</v>
      </c>
      <c r="I507" s="1022"/>
      <c r="J507" s="1023"/>
      <c r="K507" s="1023"/>
      <c r="L507" s="1023"/>
      <c r="M507" s="1023"/>
      <c r="N507" s="1024"/>
    </row>
    <row r="508" spans="1:14" s="878" customFormat="1" ht="18" customHeight="1">
      <c r="A508" s="451">
        <v>474</v>
      </c>
      <c r="B508" s="872"/>
      <c r="C508" s="873"/>
      <c r="D508" s="874" t="s">
        <v>283</v>
      </c>
      <c r="E508" s="875"/>
      <c r="F508" s="875"/>
      <c r="G508" s="876"/>
      <c r="H508" s="877"/>
      <c r="I508" s="867">
        <f>SUM(J508:N508)</f>
        <v>137959</v>
      </c>
      <c r="J508" s="868"/>
      <c r="K508" s="868"/>
      <c r="L508" s="868">
        <v>137959</v>
      </c>
      <c r="M508" s="868"/>
      <c r="N508" s="869"/>
    </row>
    <row r="509" spans="1:14" s="878" customFormat="1" ht="18" customHeight="1">
      <c r="A509" s="451">
        <v>475</v>
      </c>
      <c r="B509" s="872"/>
      <c r="C509" s="873"/>
      <c r="D509" s="1457" t="s">
        <v>757</v>
      </c>
      <c r="E509" s="875"/>
      <c r="F509" s="875"/>
      <c r="G509" s="876"/>
      <c r="H509" s="877"/>
      <c r="I509" s="1135">
        <f>SUM(J509:N509)</f>
        <v>146751</v>
      </c>
      <c r="J509" s="1142"/>
      <c r="K509" s="1142"/>
      <c r="L509" s="1142">
        <v>146751</v>
      </c>
      <c r="M509" s="868"/>
      <c r="N509" s="869"/>
    </row>
    <row r="510" spans="1:14" s="878" customFormat="1" ht="18" customHeight="1">
      <c r="A510" s="451">
        <v>476</v>
      </c>
      <c r="B510" s="872"/>
      <c r="C510" s="873"/>
      <c r="D510" s="1090" t="s">
        <v>892</v>
      </c>
      <c r="E510" s="875"/>
      <c r="F510" s="875"/>
      <c r="G510" s="876"/>
      <c r="H510" s="877"/>
      <c r="I510" s="1138">
        <f>SUM(J510:N510)</f>
        <v>71487</v>
      </c>
      <c r="J510" s="1144"/>
      <c r="K510" s="1144"/>
      <c r="L510" s="1144">
        <v>71487</v>
      </c>
      <c r="M510" s="868"/>
      <c r="N510" s="869"/>
    </row>
    <row r="511" spans="1:14" s="8" customFormat="1" ht="22.5" customHeight="1">
      <c r="A511" s="451">
        <v>477</v>
      </c>
      <c r="B511" s="135"/>
      <c r="C511" s="120">
        <v>117</v>
      </c>
      <c r="D511" s="446" t="s">
        <v>338</v>
      </c>
      <c r="E511" s="122">
        <v>4930</v>
      </c>
      <c r="F511" s="122">
        <v>2362</v>
      </c>
      <c r="G511" s="123">
        <v>2362</v>
      </c>
      <c r="H511" s="453" t="s">
        <v>23</v>
      </c>
      <c r="I511" s="1022"/>
      <c r="J511" s="1023"/>
      <c r="K511" s="1023"/>
      <c r="L511" s="1023"/>
      <c r="M511" s="1023"/>
      <c r="N511" s="1024"/>
    </row>
    <row r="512" spans="1:16" s="3" customFormat="1" ht="22.5" customHeight="1">
      <c r="A512" s="451">
        <v>478</v>
      </c>
      <c r="B512" s="119"/>
      <c r="C512" s="120">
        <v>118</v>
      </c>
      <c r="D512" s="446" t="s">
        <v>102</v>
      </c>
      <c r="E512" s="122">
        <f>E516+E520+E524+E528+E532</f>
        <v>3250</v>
      </c>
      <c r="F512" s="122">
        <f>F516+F520+F524+F528+F532</f>
        <v>2765</v>
      </c>
      <c r="G512" s="122">
        <f>G516+G520+G524+G528+G532</f>
        <v>2765</v>
      </c>
      <c r="H512" s="453" t="s">
        <v>22</v>
      </c>
      <c r="I512" s="1022"/>
      <c r="J512" s="1023"/>
      <c r="K512" s="1023"/>
      <c r="L512" s="1023"/>
      <c r="M512" s="1023"/>
      <c r="N512" s="1024"/>
      <c r="O512" s="8"/>
      <c r="P512" s="8"/>
    </row>
    <row r="513" spans="1:14" s="878" customFormat="1" ht="18" customHeight="1">
      <c r="A513" s="451">
        <v>479</v>
      </c>
      <c r="B513" s="872"/>
      <c r="C513" s="873"/>
      <c r="D513" s="874" t="s">
        <v>283</v>
      </c>
      <c r="E513" s="875"/>
      <c r="F513" s="875"/>
      <c r="G513" s="876"/>
      <c r="H513" s="877"/>
      <c r="I513" s="867">
        <f>SUM(J513:N513)</f>
        <v>2765</v>
      </c>
      <c r="J513" s="890"/>
      <c r="K513" s="890"/>
      <c r="L513" s="890"/>
      <c r="M513" s="890"/>
      <c r="N513" s="869">
        <f>N517+N521+N525+N529+N533</f>
        <v>2765</v>
      </c>
    </row>
    <row r="514" spans="1:14" s="878" customFormat="1" ht="18" customHeight="1">
      <c r="A514" s="451">
        <v>480</v>
      </c>
      <c r="B514" s="872"/>
      <c r="C514" s="873"/>
      <c r="D514" s="1457" t="s">
        <v>757</v>
      </c>
      <c r="E514" s="875"/>
      <c r="F514" s="875"/>
      <c r="G514" s="876"/>
      <c r="H514" s="877"/>
      <c r="I514" s="1135">
        <f>SUM(J514:N514)</f>
        <v>2765</v>
      </c>
      <c r="J514" s="1145"/>
      <c r="K514" s="1145"/>
      <c r="L514" s="1145"/>
      <c r="M514" s="1145"/>
      <c r="N514" s="1148">
        <f>N518+N522+N526+N530+N534</f>
        <v>2765</v>
      </c>
    </row>
    <row r="515" spans="1:14" s="878" customFormat="1" ht="18" customHeight="1">
      <c r="A515" s="451">
        <v>481</v>
      </c>
      <c r="B515" s="872"/>
      <c r="C515" s="873"/>
      <c r="D515" s="1090" t="s">
        <v>893</v>
      </c>
      <c r="E515" s="875"/>
      <c r="F515" s="875"/>
      <c r="G515" s="876"/>
      <c r="H515" s="877"/>
      <c r="I515" s="1138">
        <f>SUM(J515:N515)</f>
        <v>1385</v>
      </c>
      <c r="J515" s="1144"/>
      <c r="K515" s="1144"/>
      <c r="L515" s="1144"/>
      <c r="M515" s="1144"/>
      <c r="N515" s="1143">
        <f>N519+N523+N527+N531+N535</f>
        <v>1385</v>
      </c>
    </row>
    <row r="516" spans="1:16" s="9" customFormat="1" ht="18" customHeight="1">
      <c r="A516" s="451">
        <v>482</v>
      </c>
      <c r="B516" s="129"/>
      <c r="C516" s="125"/>
      <c r="D516" s="132" t="s">
        <v>103</v>
      </c>
      <c r="E516" s="122">
        <v>650</v>
      </c>
      <c r="F516" s="130">
        <v>553</v>
      </c>
      <c r="G516" s="131">
        <v>553</v>
      </c>
      <c r="H516" s="454"/>
      <c r="I516" s="870"/>
      <c r="J516" s="1025"/>
      <c r="K516" s="1025"/>
      <c r="L516" s="1025"/>
      <c r="M516" s="1025"/>
      <c r="N516" s="1026"/>
      <c r="P516" s="8"/>
    </row>
    <row r="517" spans="1:16" s="892" customFormat="1" ht="18" customHeight="1">
      <c r="A517" s="451">
        <v>483</v>
      </c>
      <c r="B517" s="885"/>
      <c r="C517" s="873"/>
      <c r="D517" s="886" t="s">
        <v>283</v>
      </c>
      <c r="E517" s="875"/>
      <c r="F517" s="887"/>
      <c r="G517" s="888"/>
      <c r="H517" s="889"/>
      <c r="I517" s="870">
        <f>SUM(J517:N517)</f>
        <v>553</v>
      </c>
      <c r="J517" s="890"/>
      <c r="K517" s="890"/>
      <c r="L517" s="890"/>
      <c r="M517" s="890"/>
      <c r="N517" s="891">
        <v>553</v>
      </c>
      <c r="P517" s="878"/>
    </row>
    <row r="518" spans="1:16" s="892" customFormat="1" ht="18" customHeight="1">
      <c r="A518" s="451">
        <v>484</v>
      </c>
      <c r="B518" s="885"/>
      <c r="C518" s="873"/>
      <c r="D518" s="1134" t="s">
        <v>757</v>
      </c>
      <c r="E518" s="875"/>
      <c r="F518" s="887"/>
      <c r="G518" s="888"/>
      <c r="H518" s="889"/>
      <c r="I518" s="1137">
        <f>SUM(J518:N518)</f>
        <v>553</v>
      </c>
      <c r="J518" s="1145"/>
      <c r="K518" s="1145"/>
      <c r="L518" s="1145"/>
      <c r="M518" s="1145"/>
      <c r="N518" s="1146">
        <v>553</v>
      </c>
      <c r="P518" s="878"/>
    </row>
    <row r="519" spans="1:16" s="892" customFormat="1" ht="18" customHeight="1">
      <c r="A519" s="451">
        <v>485</v>
      </c>
      <c r="B519" s="885"/>
      <c r="C519" s="873"/>
      <c r="D519" s="1134" t="s">
        <v>893</v>
      </c>
      <c r="E519" s="875"/>
      <c r="F519" s="887"/>
      <c r="G519" s="888"/>
      <c r="H519" s="889"/>
      <c r="I519" s="1138">
        <f>SUM(J519:N519)</f>
        <v>277</v>
      </c>
      <c r="J519" s="1145"/>
      <c r="K519" s="1145"/>
      <c r="L519" s="1145"/>
      <c r="M519" s="1145"/>
      <c r="N519" s="1146">
        <v>277</v>
      </c>
      <c r="P519" s="878"/>
    </row>
    <row r="520" spans="1:16" s="9" customFormat="1" ht="18" customHeight="1">
      <c r="A520" s="451">
        <v>486</v>
      </c>
      <c r="B520" s="129"/>
      <c r="C520" s="125"/>
      <c r="D520" s="136" t="s">
        <v>104</v>
      </c>
      <c r="E520" s="122">
        <v>650</v>
      </c>
      <c r="F520" s="130">
        <v>553</v>
      </c>
      <c r="G520" s="131">
        <v>553</v>
      </c>
      <c r="H520" s="454"/>
      <c r="I520" s="1027"/>
      <c r="J520" s="1028"/>
      <c r="K520" s="1028"/>
      <c r="L520" s="1028"/>
      <c r="M520" s="1028"/>
      <c r="N520" s="1029"/>
      <c r="P520" s="8"/>
    </row>
    <row r="521" spans="1:16" s="892" customFormat="1" ht="18" customHeight="1">
      <c r="A521" s="451">
        <v>487</v>
      </c>
      <c r="B521" s="885"/>
      <c r="C521" s="873"/>
      <c r="D521" s="886" t="s">
        <v>283</v>
      </c>
      <c r="E521" s="875"/>
      <c r="F521" s="887"/>
      <c r="G521" s="888"/>
      <c r="H521" s="889"/>
      <c r="I521" s="870">
        <f>SUM(J521:N521)</f>
        <v>553</v>
      </c>
      <c r="J521" s="890"/>
      <c r="K521" s="890"/>
      <c r="L521" s="890"/>
      <c r="M521" s="890"/>
      <c r="N521" s="891">
        <v>553</v>
      </c>
      <c r="P521" s="878"/>
    </row>
    <row r="522" spans="1:16" s="892" customFormat="1" ht="18" customHeight="1">
      <c r="A522" s="451">
        <v>488</v>
      </c>
      <c r="B522" s="885"/>
      <c r="C522" s="873"/>
      <c r="D522" s="1134" t="s">
        <v>757</v>
      </c>
      <c r="E522" s="875"/>
      <c r="F522" s="887"/>
      <c r="G522" s="888"/>
      <c r="H522" s="889"/>
      <c r="I522" s="1137">
        <f>SUM(J522:N522)</f>
        <v>553</v>
      </c>
      <c r="J522" s="1145"/>
      <c r="K522" s="1145"/>
      <c r="L522" s="1145"/>
      <c r="M522" s="1145"/>
      <c r="N522" s="1146">
        <v>553</v>
      </c>
      <c r="P522" s="878"/>
    </row>
    <row r="523" spans="1:16" s="892" customFormat="1" ht="18" customHeight="1">
      <c r="A523" s="451">
        <v>489</v>
      </c>
      <c r="B523" s="885"/>
      <c r="C523" s="873"/>
      <c r="D523" s="1134" t="s">
        <v>893</v>
      </c>
      <c r="E523" s="875"/>
      <c r="F523" s="887"/>
      <c r="G523" s="888"/>
      <c r="H523" s="889"/>
      <c r="I523" s="1138">
        <f>SUM(J523:N523)</f>
        <v>277</v>
      </c>
      <c r="J523" s="1145"/>
      <c r="K523" s="1145"/>
      <c r="L523" s="1145"/>
      <c r="M523" s="1145"/>
      <c r="N523" s="1146">
        <v>277</v>
      </c>
      <c r="P523" s="878"/>
    </row>
    <row r="524" spans="1:16" s="9" customFormat="1" ht="18" customHeight="1">
      <c r="A524" s="451">
        <v>490</v>
      </c>
      <c r="B524" s="129"/>
      <c r="C524" s="125"/>
      <c r="D524" s="136" t="s">
        <v>105</v>
      </c>
      <c r="E524" s="122">
        <v>650</v>
      </c>
      <c r="F524" s="130">
        <v>553</v>
      </c>
      <c r="G524" s="131">
        <v>553</v>
      </c>
      <c r="H524" s="454"/>
      <c r="I524" s="1027"/>
      <c r="J524" s="1028"/>
      <c r="K524" s="1028"/>
      <c r="L524" s="1028"/>
      <c r="M524" s="1028"/>
      <c r="N524" s="1029"/>
      <c r="P524" s="8"/>
    </row>
    <row r="525" spans="1:16" s="892" customFormat="1" ht="18" customHeight="1">
      <c r="A525" s="451">
        <v>491</v>
      </c>
      <c r="B525" s="885"/>
      <c r="C525" s="873"/>
      <c r="D525" s="886" t="s">
        <v>283</v>
      </c>
      <c r="E525" s="875"/>
      <c r="F525" s="887"/>
      <c r="G525" s="888"/>
      <c r="H525" s="889"/>
      <c r="I525" s="870">
        <f>SUM(J525:N525)</f>
        <v>553</v>
      </c>
      <c r="J525" s="890"/>
      <c r="K525" s="890"/>
      <c r="L525" s="890"/>
      <c r="M525" s="890"/>
      <c r="N525" s="891">
        <v>553</v>
      </c>
      <c r="P525" s="878"/>
    </row>
    <row r="526" spans="1:16" s="892" customFormat="1" ht="18" customHeight="1">
      <c r="A526" s="451">
        <v>492</v>
      </c>
      <c r="B526" s="885"/>
      <c r="C526" s="873"/>
      <c r="D526" s="1134" t="s">
        <v>757</v>
      </c>
      <c r="E526" s="875"/>
      <c r="F526" s="887"/>
      <c r="G526" s="888"/>
      <c r="H526" s="889"/>
      <c r="I526" s="1137">
        <f>SUM(J526:N526)</f>
        <v>553</v>
      </c>
      <c r="J526" s="1145"/>
      <c r="K526" s="1145"/>
      <c r="L526" s="1145"/>
      <c r="M526" s="1145"/>
      <c r="N526" s="1146">
        <v>553</v>
      </c>
      <c r="P526" s="878"/>
    </row>
    <row r="527" spans="1:16" s="892" customFormat="1" ht="18" customHeight="1">
      <c r="A527" s="451">
        <v>493</v>
      </c>
      <c r="B527" s="885"/>
      <c r="C527" s="873"/>
      <c r="D527" s="1134" t="s">
        <v>893</v>
      </c>
      <c r="E527" s="875"/>
      <c r="F527" s="887"/>
      <c r="G527" s="888"/>
      <c r="H527" s="889"/>
      <c r="I527" s="1138">
        <f>SUM(J527:N527)</f>
        <v>277</v>
      </c>
      <c r="J527" s="1145"/>
      <c r="K527" s="1145"/>
      <c r="L527" s="1145"/>
      <c r="M527" s="1145"/>
      <c r="N527" s="1146">
        <v>277</v>
      </c>
      <c r="P527" s="878"/>
    </row>
    <row r="528" spans="1:16" s="9" customFormat="1" ht="18" customHeight="1">
      <c r="A528" s="451">
        <v>494</v>
      </c>
      <c r="B528" s="129"/>
      <c r="C528" s="125"/>
      <c r="D528" s="136" t="s">
        <v>106</v>
      </c>
      <c r="E528" s="122">
        <v>650</v>
      </c>
      <c r="F528" s="130">
        <v>553</v>
      </c>
      <c r="G528" s="131">
        <v>553</v>
      </c>
      <c r="H528" s="454"/>
      <c r="I528" s="1027"/>
      <c r="J528" s="1028"/>
      <c r="K528" s="1028"/>
      <c r="L528" s="1028"/>
      <c r="M528" s="1028"/>
      <c r="N528" s="1029"/>
      <c r="P528" s="8"/>
    </row>
    <row r="529" spans="1:16" s="892" customFormat="1" ht="18" customHeight="1">
      <c r="A529" s="451">
        <v>495</v>
      </c>
      <c r="B529" s="885"/>
      <c r="C529" s="873"/>
      <c r="D529" s="886" t="s">
        <v>283</v>
      </c>
      <c r="E529" s="875"/>
      <c r="F529" s="887"/>
      <c r="G529" s="888"/>
      <c r="H529" s="889"/>
      <c r="I529" s="870">
        <f>SUM(J529:N529)</f>
        <v>553</v>
      </c>
      <c r="J529" s="890"/>
      <c r="K529" s="890"/>
      <c r="L529" s="890"/>
      <c r="M529" s="890"/>
      <c r="N529" s="891">
        <v>553</v>
      </c>
      <c r="P529" s="878"/>
    </row>
    <row r="530" spans="1:16" s="892" customFormat="1" ht="18" customHeight="1">
      <c r="A530" s="451">
        <v>496</v>
      </c>
      <c r="B530" s="885"/>
      <c r="C530" s="873"/>
      <c r="D530" s="1134" t="s">
        <v>757</v>
      </c>
      <c r="E530" s="875"/>
      <c r="F530" s="887"/>
      <c r="G530" s="888"/>
      <c r="H530" s="889"/>
      <c r="I530" s="1137">
        <f>SUM(J530:N530)</f>
        <v>553</v>
      </c>
      <c r="J530" s="1145"/>
      <c r="K530" s="1145"/>
      <c r="L530" s="1145"/>
      <c r="M530" s="1145"/>
      <c r="N530" s="1146">
        <v>553</v>
      </c>
      <c r="P530" s="878"/>
    </row>
    <row r="531" spans="1:16" s="892" customFormat="1" ht="18" customHeight="1">
      <c r="A531" s="451">
        <v>497</v>
      </c>
      <c r="B531" s="885"/>
      <c r="C531" s="873"/>
      <c r="D531" s="1134" t="s">
        <v>893</v>
      </c>
      <c r="E531" s="875"/>
      <c r="F531" s="887"/>
      <c r="G531" s="888"/>
      <c r="H531" s="889"/>
      <c r="I531" s="1138">
        <f>SUM(J531:N531)</f>
        <v>277</v>
      </c>
      <c r="J531" s="1145"/>
      <c r="K531" s="1145"/>
      <c r="L531" s="1145"/>
      <c r="M531" s="1145"/>
      <c r="N531" s="1146">
        <v>277</v>
      </c>
      <c r="P531" s="878"/>
    </row>
    <row r="532" spans="1:16" s="9" customFormat="1" ht="18" customHeight="1">
      <c r="A532" s="451">
        <v>498</v>
      </c>
      <c r="B532" s="129"/>
      <c r="C532" s="125"/>
      <c r="D532" s="136" t="s">
        <v>107</v>
      </c>
      <c r="E532" s="122">
        <v>650</v>
      </c>
      <c r="F532" s="130">
        <v>553</v>
      </c>
      <c r="G532" s="131">
        <v>553</v>
      </c>
      <c r="H532" s="454"/>
      <c r="I532" s="1711"/>
      <c r="J532" s="1712"/>
      <c r="K532" s="1712"/>
      <c r="L532" s="1712"/>
      <c r="M532" s="1712"/>
      <c r="N532" s="1496"/>
      <c r="P532" s="8"/>
    </row>
    <row r="533" spans="1:16" s="892" customFormat="1" ht="18" customHeight="1">
      <c r="A533" s="451">
        <v>499</v>
      </c>
      <c r="B533" s="885"/>
      <c r="C533" s="873"/>
      <c r="D533" s="886" t="s">
        <v>283</v>
      </c>
      <c r="E533" s="875"/>
      <c r="F533" s="887"/>
      <c r="G533" s="888"/>
      <c r="H533" s="889"/>
      <c r="I533" s="870">
        <f>SUM(J533:N533)</f>
        <v>553</v>
      </c>
      <c r="J533" s="890"/>
      <c r="K533" s="890"/>
      <c r="L533" s="890"/>
      <c r="M533" s="890"/>
      <c r="N533" s="891">
        <v>553</v>
      </c>
      <c r="P533" s="878"/>
    </row>
    <row r="534" spans="1:16" s="892" customFormat="1" ht="18" customHeight="1">
      <c r="A534" s="451">
        <v>500</v>
      </c>
      <c r="B534" s="899"/>
      <c r="C534" s="873"/>
      <c r="D534" s="1134" t="s">
        <v>757</v>
      </c>
      <c r="E534" s="879"/>
      <c r="F534" s="900"/>
      <c r="G534" s="901"/>
      <c r="H534" s="904"/>
      <c r="I534" s="1137">
        <f>SUM(J534:N534)</f>
        <v>553</v>
      </c>
      <c r="J534" s="1140"/>
      <c r="K534" s="1140"/>
      <c r="L534" s="1140"/>
      <c r="M534" s="1140"/>
      <c r="N534" s="1141">
        <v>553</v>
      </c>
      <c r="P534" s="878"/>
    </row>
    <row r="535" spans="1:16" s="892" customFormat="1" ht="18" customHeight="1">
      <c r="A535" s="451">
        <v>501</v>
      </c>
      <c r="B535" s="899"/>
      <c r="C535" s="873"/>
      <c r="D535" s="1134" t="s">
        <v>893</v>
      </c>
      <c r="E535" s="879"/>
      <c r="F535" s="900"/>
      <c r="G535" s="901"/>
      <c r="H535" s="904"/>
      <c r="I535" s="1138">
        <f>SUM(J535:N535)</f>
        <v>277</v>
      </c>
      <c r="J535" s="1140"/>
      <c r="K535" s="1140"/>
      <c r="L535" s="1140"/>
      <c r="M535" s="1140"/>
      <c r="N535" s="1141">
        <v>277</v>
      </c>
      <c r="P535" s="878"/>
    </row>
    <row r="536" spans="1:16" s="9" customFormat="1" ht="30" customHeight="1">
      <c r="A536" s="451">
        <v>502</v>
      </c>
      <c r="B536" s="463"/>
      <c r="C536" s="437">
        <v>119</v>
      </c>
      <c r="D536" s="446" t="s">
        <v>387</v>
      </c>
      <c r="E536" s="149"/>
      <c r="F536" s="127">
        <v>3700</v>
      </c>
      <c r="G536" s="128">
        <v>0</v>
      </c>
      <c r="H536" s="455" t="s">
        <v>23</v>
      </c>
      <c r="I536" s="867"/>
      <c r="J536" s="1030"/>
      <c r="K536" s="1030"/>
      <c r="L536" s="1020"/>
      <c r="M536" s="1030"/>
      <c r="N536" s="1031"/>
      <c r="P536" s="8"/>
    </row>
    <row r="537" spans="1:16" s="474" customFormat="1" ht="22.5" customHeight="1">
      <c r="A537" s="451">
        <v>503</v>
      </c>
      <c r="B537" s="473"/>
      <c r="C537" s="120">
        <v>120</v>
      </c>
      <c r="D537" s="446" t="s">
        <v>463</v>
      </c>
      <c r="E537" s="149">
        <v>344</v>
      </c>
      <c r="F537" s="127">
        <v>341</v>
      </c>
      <c r="G537" s="128">
        <v>0</v>
      </c>
      <c r="H537" s="455" t="s">
        <v>23</v>
      </c>
      <c r="I537" s="867"/>
      <c r="J537" s="1030"/>
      <c r="K537" s="1030"/>
      <c r="L537" s="1020"/>
      <c r="M537" s="1030"/>
      <c r="N537" s="1031"/>
      <c r="P537" s="3"/>
    </row>
    <row r="538" spans="1:16" s="474" customFormat="1" ht="22.5" customHeight="1">
      <c r="A538" s="451">
        <v>504</v>
      </c>
      <c r="B538" s="473"/>
      <c r="C538" s="120">
        <v>121</v>
      </c>
      <c r="D538" s="446" t="s">
        <v>388</v>
      </c>
      <c r="E538" s="149">
        <v>605</v>
      </c>
      <c r="F538" s="127">
        <v>1895</v>
      </c>
      <c r="G538" s="128">
        <v>381</v>
      </c>
      <c r="H538" s="455" t="s">
        <v>23</v>
      </c>
      <c r="I538" s="867"/>
      <c r="J538" s="1030"/>
      <c r="K538" s="1030"/>
      <c r="L538" s="1020"/>
      <c r="M538" s="1030"/>
      <c r="N538" s="1031"/>
      <c r="P538" s="3"/>
    </row>
    <row r="539" spans="1:16" s="892" customFormat="1" ht="18" customHeight="1">
      <c r="A539" s="451">
        <v>505</v>
      </c>
      <c r="B539" s="899"/>
      <c r="C539" s="873"/>
      <c r="D539" s="874" t="s">
        <v>283</v>
      </c>
      <c r="E539" s="879"/>
      <c r="F539" s="900"/>
      <c r="G539" s="901"/>
      <c r="H539" s="904"/>
      <c r="I539" s="867">
        <f>SUM(J539:N539)</f>
        <v>1600</v>
      </c>
      <c r="J539" s="902"/>
      <c r="K539" s="902"/>
      <c r="L539" s="882">
        <v>1600</v>
      </c>
      <c r="M539" s="902"/>
      <c r="N539" s="903"/>
      <c r="P539" s="878"/>
    </row>
    <row r="540" spans="1:16" s="892" customFormat="1" ht="18" customHeight="1">
      <c r="A540" s="451">
        <v>506</v>
      </c>
      <c r="B540" s="899"/>
      <c r="C540" s="873"/>
      <c r="D540" s="1457" t="s">
        <v>757</v>
      </c>
      <c r="E540" s="879"/>
      <c r="F540" s="900"/>
      <c r="G540" s="901"/>
      <c r="H540" s="904"/>
      <c r="I540" s="1135">
        <f>SUM(J540:N540)</f>
        <v>3114</v>
      </c>
      <c r="J540" s="1140"/>
      <c r="K540" s="1140"/>
      <c r="L540" s="1136">
        <v>3114</v>
      </c>
      <c r="M540" s="902"/>
      <c r="N540" s="903"/>
      <c r="P540" s="878"/>
    </row>
    <row r="541" spans="1:16" s="892" customFormat="1" ht="18" customHeight="1">
      <c r="A541" s="451">
        <v>507</v>
      </c>
      <c r="B541" s="899"/>
      <c r="C541" s="873"/>
      <c r="D541" s="1090" t="s">
        <v>892</v>
      </c>
      <c r="E541" s="879"/>
      <c r="F541" s="900"/>
      <c r="G541" s="901"/>
      <c r="H541" s="904"/>
      <c r="I541" s="1138">
        <f>SUM(J541:N541)</f>
        <v>381</v>
      </c>
      <c r="J541" s="1140"/>
      <c r="K541" s="1140"/>
      <c r="L541" s="1708">
        <v>381</v>
      </c>
      <c r="M541" s="1140"/>
      <c r="N541" s="903"/>
      <c r="P541" s="878"/>
    </row>
    <row r="542" spans="1:16" s="474" customFormat="1" ht="22.5" customHeight="1">
      <c r="A542" s="451">
        <v>508</v>
      </c>
      <c r="B542" s="473"/>
      <c r="C542" s="120">
        <v>122</v>
      </c>
      <c r="D542" s="446" t="s">
        <v>527</v>
      </c>
      <c r="E542" s="149">
        <v>3000</v>
      </c>
      <c r="F542" s="127">
        <v>3000</v>
      </c>
      <c r="G542" s="128">
        <v>1704</v>
      </c>
      <c r="H542" s="455" t="s">
        <v>23</v>
      </c>
      <c r="I542" s="1135"/>
      <c r="J542" s="1708"/>
      <c r="K542" s="1708"/>
      <c r="L542" s="148"/>
      <c r="M542" s="1708"/>
      <c r="N542" s="1031"/>
      <c r="P542" s="3"/>
    </row>
    <row r="543" spans="1:16" s="474" customFormat="1" ht="22.5" customHeight="1">
      <c r="A543" s="451">
        <v>509</v>
      </c>
      <c r="B543" s="473"/>
      <c r="C543" s="120"/>
      <c r="D543" s="1457" t="s">
        <v>757</v>
      </c>
      <c r="E543" s="149"/>
      <c r="F543" s="127"/>
      <c r="G543" s="128"/>
      <c r="H543" s="455"/>
      <c r="I543" s="1135">
        <f>SUM(J543:N543)</f>
        <v>1296</v>
      </c>
      <c r="J543" s="1030"/>
      <c r="K543" s="1030"/>
      <c r="L543" s="882">
        <v>1296</v>
      </c>
      <c r="M543" s="1030"/>
      <c r="N543" s="1031"/>
      <c r="P543" s="3"/>
    </row>
    <row r="544" spans="1:16" s="474" customFormat="1" ht="18" customHeight="1">
      <c r="A544" s="451">
        <v>510</v>
      </c>
      <c r="B544" s="473"/>
      <c r="C544" s="120"/>
      <c r="D544" s="1090" t="s">
        <v>892</v>
      </c>
      <c r="E544" s="149"/>
      <c r="F544" s="127"/>
      <c r="G544" s="128"/>
      <c r="H544" s="455"/>
      <c r="I544" s="1138">
        <f>SUM(J544:N544)</f>
        <v>0</v>
      </c>
      <c r="J544" s="1708"/>
      <c r="K544" s="1708"/>
      <c r="L544" s="1708">
        <v>0</v>
      </c>
      <c r="M544" s="1030"/>
      <c r="N544" s="1031"/>
      <c r="P544" s="3"/>
    </row>
    <row r="545" spans="1:16" s="474" customFormat="1" ht="22.5" customHeight="1">
      <c r="A545" s="451">
        <v>511</v>
      </c>
      <c r="B545" s="473"/>
      <c r="C545" s="120">
        <v>123</v>
      </c>
      <c r="D545" s="446" t="s">
        <v>389</v>
      </c>
      <c r="E545" s="149"/>
      <c r="F545" s="127">
        <v>2800</v>
      </c>
      <c r="G545" s="128">
        <v>1800</v>
      </c>
      <c r="H545" s="455" t="s">
        <v>23</v>
      </c>
      <c r="I545" s="867"/>
      <c r="J545" s="1030"/>
      <c r="K545" s="1030"/>
      <c r="L545" s="1020"/>
      <c r="M545" s="1030"/>
      <c r="N545" s="1031"/>
      <c r="P545" s="3"/>
    </row>
    <row r="546" spans="1:16" s="892" customFormat="1" ht="18" customHeight="1">
      <c r="A546" s="451">
        <v>512</v>
      </c>
      <c r="B546" s="899"/>
      <c r="C546" s="873"/>
      <c r="D546" s="874" t="s">
        <v>283</v>
      </c>
      <c r="E546" s="879"/>
      <c r="F546" s="900"/>
      <c r="G546" s="901"/>
      <c r="H546" s="904"/>
      <c r="I546" s="867">
        <f>SUM(J546:N546)</f>
        <v>2000</v>
      </c>
      <c r="J546" s="902"/>
      <c r="K546" s="902"/>
      <c r="L546" s="882">
        <v>2000</v>
      </c>
      <c r="M546" s="902"/>
      <c r="N546" s="903"/>
      <c r="P546" s="878"/>
    </row>
    <row r="547" spans="1:16" s="892" customFormat="1" ht="18" customHeight="1">
      <c r="A547" s="451">
        <v>513</v>
      </c>
      <c r="B547" s="899"/>
      <c r="C547" s="873"/>
      <c r="D547" s="1457" t="s">
        <v>757</v>
      </c>
      <c r="E547" s="879"/>
      <c r="F547" s="900"/>
      <c r="G547" s="901"/>
      <c r="H547" s="904"/>
      <c r="I547" s="1135">
        <f>SUM(J547:N547)</f>
        <v>3000</v>
      </c>
      <c r="J547" s="1140"/>
      <c r="K547" s="1140"/>
      <c r="L547" s="1136">
        <v>3000</v>
      </c>
      <c r="M547" s="902"/>
      <c r="N547" s="903"/>
      <c r="P547" s="878"/>
    </row>
    <row r="548" spans="1:16" s="892" customFormat="1" ht="18" customHeight="1">
      <c r="A548" s="451">
        <v>514</v>
      </c>
      <c r="B548" s="899"/>
      <c r="C548" s="873"/>
      <c r="D548" s="1090" t="s">
        <v>892</v>
      </c>
      <c r="E548" s="879"/>
      <c r="F548" s="900"/>
      <c r="G548" s="901"/>
      <c r="H548" s="904"/>
      <c r="I548" s="1138">
        <f>SUM(J548:N548)</f>
        <v>1200</v>
      </c>
      <c r="J548" s="1140"/>
      <c r="K548" s="1140"/>
      <c r="L548" s="1708">
        <v>1200</v>
      </c>
      <c r="M548" s="902"/>
      <c r="N548" s="903"/>
      <c r="P548" s="878"/>
    </row>
    <row r="549" spans="1:14" s="8" customFormat="1" ht="22.5" customHeight="1">
      <c r="A549" s="451">
        <v>515</v>
      </c>
      <c r="B549" s="138"/>
      <c r="C549" s="120">
        <v>124</v>
      </c>
      <c r="D549" s="445" t="s">
        <v>299</v>
      </c>
      <c r="E549" s="149"/>
      <c r="F549" s="127"/>
      <c r="G549" s="150"/>
      <c r="H549" s="455" t="s">
        <v>23</v>
      </c>
      <c r="I549" s="867"/>
      <c r="J549" s="1020"/>
      <c r="K549" s="1020"/>
      <c r="L549" s="1020"/>
      <c r="M549" s="1020"/>
      <c r="N549" s="1021"/>
    </row>
    <row r="550" spans="1:14" s="878" customFormat="1" ht="18" customHeight="1">
      <c r="A550" s="451">
        <v>516</v>
      </c>
      <c r="B550" s="905"/>
      <c r="C550" s="906"/>
      <c r="D550" s="874" t="s">
        <v>283</v>
      </c>
      <c r="E550" s="149">
        <v>6531</v>
      </c>
      <c r="F550" s="149">
        <v>13969</v>
      </c>
      <c r="G550" s="150">
        <v>10738</v>
      </c>
      <c r="H550" s="881"/>
      <c r="I550" s="867">
        <f>SUM(J550:N550)</f>
        <v>12000</v>
      </c>
      <c r="J550" s="882"/>
      <c r="K550" s="882"/>
      <c r="L550" s="882"/>
      <c r="M550" s="882"/>
      <c r="N550" s="883">
        <v>12000</v>
      </c>
    </row>
    <row r="551" spans="1:14" s="878" customFormat="1" ht="18" customHeight="1">
      <c r="A551" s="451">
        <v>517</v>
      </c>
      <c r="B551" s="905"/>
      <c r="C551" s="906"/>
      <c r="D551" s="1457" t="s">
        <v>757</v>
      </c>
      <c r="E551" s="149"/>
      <c r="F551" s="149"/>
      <c r="G551" s="150"/>
      <c r="H551" s="881"/>
      <c r="I551" s="1135">
        <f>SUM(J551:N551)</f>
        <v>15231</v>
      </c>
      <c r="J551" s="1136"/>
      <c r="K551" s="1136"/>
      <c r="L551" s="1136"/>
      <c r="M551" s="1136"/>
      <c r="N551" s="1139">
        <v>15231</v>
      </c>
    </row>
    <row r="552" spans="1:14" s="878" customFormat="1" ht="18" customHeight="1">
      <c r="A552" s="451">
        <v>518</v>
      </c>
      <c r="B552" s="905"/>
      <c r="C552" s="906"/>
      <c r="D552" s="1090" t="s">
        <v>892</v>
      </c>
      <c r="E552" s="149"/>
      <c r="F552" s="149"/>
      <c r="G552" s="150"/>
      <c r="H552" s="881"/>
      <c r="I552" s="1138">
        <f>SUM(J552:N552)</f>
        <v>4652</v>
      </c>
      <c r="J552" s="1136"/>
      <c r="K552" s="1136"/>
      <c r="L552" s="1136"/>
      <c r="M552" s="1136"/>
      <c r="N552" s="1710">
        <v>4652</v>
      </c>
    </row>
    <row r="553" spans="1:16" s="3" customFormat="1" ht="22.5" customHeight="1">
      <c r="A553" s="451">
        <v>519</v>
      </c>
      <c r="B553" s="137"/>
      <c r="C553" s="120">
        <v>125</v>
      </c>
      <c r="D553" s="445" t="s">
        <v>458</v>
      </c>
      <c r="E553" s="149"/>
      <c r="F553" s="149"/>
      <c r="G553" s="150"/>
      <c r="H553" s="455" t="s">
        <v>23</v>
      </c>
      <c r="I553" s="867"/>
      <c r="J553" s="1020"/>
      <c r="K553" s="1020"/>
      <c r="L553" s="1020"/>
      <c r="M553" s="1020"/>
      <c r="N553" s="1021"/>
      <c r="O553" s="8"/>
      <c r="P553" s="8"/>
    </row>
    <row r="554" spans="1:16" s="884" customFormat="1" ht="18" customHeight="1">
      <c r="A554" s="451">
        <v>520</v>
      </c>
      <c r="B554" s="895"/>
      <c r="C554" s="906"/>
      <c r="D554" s="874" t="s">
        <v>283</v>
      </c>
      <c r="E554" s="149">
        <v>698</v>
      </c>
      <c r="F554" s="149">
        <v>687</v>
      </c>
      <c r="G554" s="150">
        <v>95</v>
      </c>
      <c r="H554" s="881"/>
      <c r="I554" s="867">
        <f>SUM(J554:N554)</f>
        <v>2000</v>
      </c>
      <c r="J554" s="882"/>
      <c r="K554" s="882"/>
      <c r="L554" s="882">
        <v>2000</v>
      </c>
      <c r="M554" s="882"/>
      <c r="N554" s="883"/>
      <c r="O554" s="878"/>
      <c r="P554" s="878"/>
    </row>
    <row r="555" spans="1:16" s="884" customFormat="1" ht="18" customHeight="1">
      <c r="A555" s="451">
        <v>521</v>
      </c>
      <c r="B555" s="895"/>
      <c r="C555" s="906"/>
      <c r="D555" s="1457" t="s">
        <v>757</v>
      </c>
      <c r="E555" s="149"/>
      <c r="F555" s="149"/>
      <c r="G555" s="150"/>
      <c r="H555" s="881"/>
      <c r="I555" s="1135">
        <f>SUM(J555:N555)</f>
        <v>2592</v>
      </c>
      <c r="J555" s="1136"/>
      <c r="K555" s="1136"/>
      <c r="L555" s="1136">
        <v>2592</v>
      </c>
      <c r="M555" s="882"/>
      <c r="N555" s="883"/>
      <c r="O555" s="878"/>
      <c r="P555" s="878"/>
    </row>
    <row r="556" spans="1:16" s="884" customFormat="1" ht="18" customHeight="1">
      <c r="A556" s="451">
        <v>522</v>
      </c>
      <c r="B556" s="895"/>
      <c r="C556" s="906"/>
      <c r="D556" s="1090" t="s">
        <v>892</v>
      </c>
      <c r="E556" s="149"/>
      <c r="F556" s="149"/>
      <c r="G556" s="150"/>
      <c r="H556" s="881"/>
      <c r="I556" s="1138">
        <f>SUM(J556:N556)</f>
        <v>123</v>
      </c>
      <c r="J556" s="1136"/>
      <c r="K556" s="1136"/>
      <c r="L556" s="1708">
        <v>123</v>
      </c>
      <c r="M556" s="882"/>
      <c r="N556" s="883"/>
      <c r="O556" s="878"/>
      <c r="P556" s="878"/>
    </row>
    <row r="557" spans="1:16" s="884" customFormat="1" ht="22.5" customHeight="1">
      <c r="A557" s="451">
        <v>523</v>
      </c>
      <c r="B557" s="895"/>
      <c r="C557" s="120">
        <v>126</v>
      </c>
      <c r="D557" s="445" t="s">
        <v>644</v>
      </c>
      <c r="E557" s="149"/>
      <c r="F557" s="149"/>
      <c r="G557" s="150"/>
      <c r="H557" s="455" t="s">
        <v>23</v>
      </c>
      <c r="I557" s="1135"/>
      <c r="J557" s="1136"/>
      <c r="K557" s="1136"/>
      <c r="L557" s="1136"/>
      <c r="M557" s="882"/>
      <c r="N557" s="883"/>
      <c r="O557" s="878"/>
      <c r="P557" s="878"/>
    </row>
    <row r="558" spans="1:16" s="884" customFormat="1" ht="18" customHeight="1">
      <c r="A558" s="451">
        <v>524</v>
      </c>
      <c r="B558" s="895"/>
      <c r="C558" s="906"/>
      <c r="D558" s="874" t="s">
        <v>283</v>
      </c>
      <c r="E558" s="879"/>
      <c r="F558" s="879"/>
      <c r="G558" s="880"/>
      <c r="H558" s="881"/>
      <c r="I558" s="867">
        <f>SUM(J558:N558)</f>
        <v>1200</v>
      </c>
      <c r="J558" s="882"/>
      <c r="K558" s="882"/>
      <c r="L558" s="882">
        <v>1200</v>
      </c>
      <c r="M558" s="882"/>
      <c r="N558" s="883"/>
      <c r="O558" s="878"/>
      <c r="P558" s="878"/>
    </row>
    <row r="559" spans="1:16" s="884" customFormat="1" ht="18" customHeight="1">
      <c r="A559" s="451">
        <v>525</v>
      </c>
      <c r="B559" s="895"/>
      <c r="C559" s="906"/>
      <c r="D559" s="1457" t="s">
        <v>757</v>
      </c>
      <c r="E559" s="879"/>
      <c r="F559" s="879"/>
      <c r="G559" s="880"/>
      <c r="H559" s="881"/>
      <c r="I559" s="1135">
        <f>SUM(J559:N559)</f>
        <v>1200</v>
      </c>
      <c r="J559" s="882"/>
      <c r="K559" s="882"/>
      <c r="L559" s="1136">
        <v>1200</v>
      </c>
      <c r="M559" s="882"/>
      <c r="N559" s="883"/>
      <c r="O559" s="878"/>
      <c r="P559" s="878"/>
    </row>
    <row r="560" spans="1:16" s="884" customFormat="1" ht="18" customHeight="1">
      <c r="A560" s="451">
        <v>526</v>
      </c>
      <c r="B560" s="895"/>
      <c r="C560" s="906"/>
      <c r="D560" s="1090" t="s">
        <v>893</v>
      </c>
      <c r="E560" s="879"/>
      <c r="F560" s="879"/>
      <c r="G560" s="880"/>
      <c r="H560" s="881"/>
      <c r="I560" s="1138">
        <f aca="true" t="shared" si="6" ref="I560:I581">SUM(J560:N560)</f>
        <v>0</v>
      </c>
      <c r="J560" s="1136"/>
      <c r="K560" s="1136"/>
      <c r="L560" s="1708">
        <v>0</v>
      </c>
      <c r="M560" s="882"/>
      <c r="N560" s="883"/>
      <c r="O560" s="878"/>
      <c r="P560" s="878"/>
    </row>
    <row r="561" spans="1:16" s="884" customFormat="1" ht="22.5" customHeight="1">
      <c r="A561" s="451">
        <v>527</v>
      </c>
      <c r="B561" s="895"/>
      <c r="C561" s="120">
        <v>127</v>
      </c>
      <c r="D561" s="479" t="s">
        <v>718</v>
      </c>
      <c r="E561" s="879"/>
      <c r="F561" s="879"/>
      <c r="G561" s="880"/>
      <c r="H561" s="455" t="s">
        <v>23</v>
      </c>
      <c r="I561" s="1135"/>
      <c r="J561" s="882"/>
      <c r="K561" s="882"/>
      <c r="L561" s="1136"/>
      <c r="M561" s="882"/>
      <c r="N561" s="883"/>
      <c r="O561" s="878"/>
      <c r="P561" s="878"/>
    </row>
    <row r="562" spans="1:16" s="884" customFormat="1" ht="22.5" customHeight="1">
      <c r="A562" s="451">
        <v>528</v>
      </c>
      <c r="B562" s="895"/>
      <c r="C562" s="120"/>
      <c r="D562" s="1457" t="s">
        <v>757</v>
      </c>
      <c r="E562" s="879"/>
      <c r="F562" s="879"/>
      <c r="G562" s="880"/>
      <c r="H562" s="455"/>
      <c r="I562" s="1135">
        <f t="shared" si="6"/>
        <v>2286</v>
      </c>
      <c r="J562" s="882"/>
      <c r="K562" s="882"/>
      <c r="L562" s="1136">
        <v>2286</v>
      </c>
      <c r="M562" s="882"/>
      <c r="N562" s="883"/>
      <c r="O562" s="878"/>
      <c r="P562" s="878"/>
    </row>
    <row r="563" spans="1:16" s="884" customFormat="1" ht="18" customHeight="1">
      <c r="A563" s="451">
        <v>529</v>
      </c>
      <c r="B563" s="895"/>
      <c r="C563" s="906"/>
      <c r="D563" s="1090" t="s">
        <v>893</v>
      </c>
      <c r="E563" s="879"/>
      <c r="F563" s="879"/>
      <c r="G563" s="880"/>
      <c r="H563" s="881"/>
      <c r="I563" s="1138">
        <f t="shared" si="6"/>
        <v>0</v>
      </c>
      <c r="J563" s="1136"/>
      <c r="K563" s="1136"/>
      <c r="L563" s="1708">
        <v>0</v>
      </c>
      <c r="M563" s="882"/>
      <c r="N563" s="883"/>
      <c r="O563" s="878"/>
      <c r="P563" s="878"/>
    </row>
    <row r="564" spans="1:16" s="3" customFormat="1" ht="22.5" customHeight="1">
      <c r="A564" s="451">
        <v>530</v>
      </c>
      <c r="B564" s="124"/>
      <c r="C564" s="120">
        <v>128</v>
      </c>
      <c r="D564" s="445" t="s">
        <v>254</v>
      </c>
      <c r="E564" s="122"/>
      <c r="F564" s="122">
        <v>1210</v>
      </c>
      <c r="G564" s="123">
        <v>0</v>
      </c>
      <c r="H564" s="453" t="s">
        <v>23</v>
      </c>
      <c r="I564" s="1022"/>
      <c r="J564" s="1023"/>
      <c r="K564" s="1023"/>
      <c r="L564" s="1023"/>
      <c r="M564" s="1023"/>
      <c r="N564" s="1024"/>
      <c r="O564" s="8"/>
      <c r="P564" s="8"/>
    </row>
    <row r="565" spans="1:16" s="3" customFormat="1" ht="22.5" customHeight="1">
      <c r="A565" s="451">
        <v>531</v>
      </c>
      <c r="B565" s="124"/>
      <c r="C565" s="120"/>
      <c r="D565" s="1457" t="s">
        <v>757</v>
      </c>
      <c r="E565" s="122"/>
      <c r="F565" s="122"/>
      <c r="G565" s="123"/>
      <c r="H565" s="453"/>
      <c r="I565" s="1135">
        <f t="shared" si="6"/>
        <v>1210</v>
      </c>
      <c r="J565" s="1023"/>
      <c r="K565" s="1023"/>
      <c r="L565" s="1147">
        <v>1210</v>
      </c>
      <c r="M565" s="1023"/>
      <c r="N565" s="1024"/>
      <c r="O565" s="8"/>
      <c r="P565" s="8"/>
    </row>
    <row r="566" spans="1:16" s="3" customFormat="1" ht="18" customHeight="1">
      <c r="A566" s="451">
        <v>532</v>
      </c>
      <c r="B566" s="124"/>
      <c r="C566" s="120"/>
      <c r="D566" s="1090" t="s">
        <v>897</v>
      </c>
      <c r="E566" s="122"/>
      <c r="F566" s="122"/>
      <c r="G566" s="123"/>
      <c r="H566" s="453"/>
      <c r="I566" s="1138">
        <f t="shared" si="6"/>
        <v>0</v>
      </c>
      <c r="J566" s="1713"/>
      <c r="K566" s="1713"/>
      <c r="L566" s="1712">
        <v>0</v>
      </c>
      <c r="M566" s="1023"/>
      <c r="N566" s="1024"/>
      <c r="O566" s="8"/>
      <c r="P566" s="8"/>
    </row>
    <row r="567" spans="1:16" s="3" customFormat="1" ht="22.5" customHeight="1">
      <c r="A567" s="451">
        <v>533</v>
      </c>
      <c r="B567" s="124"/>
      <c r="C567" s="120">
        <v>129</v>
      </c>
      <c r="D567" s="445" t="s">
        <v>255</v>
      </c>
      <c r="E567" s="122"/>
      <c r="F567" s="122">
        <v>1254</v>
      </c>
      <c r="G567" s="123">
        <v>0</v>
      </c>
      <c r="H567" s="453" t="s">
        <v>23</v>
      </c>
      <c r="I567" s="1022"/>
      <c r="J567" s="1023"/>
      <c r="K567" s="1023"/>
      <c r="L567" s="1023"/>
      <c r="M567" s="1023"/>
      <c r="N567" s="1024"/>
      <c r="O567" s="8"/>
      <c r="P567" s="8"/>
    </row>
    <row r="568" spans="1:16" s="3" customFormat="1" ht="22.5" customHeight="1">
      <c r="A568" s="451">
        <v>534</v>
      </c>
      <c r="B568" s="124"/>
      <c r="C568" s="120"/>
      <c r="D568" s="1457" t="s">
        <v>757</v>
      </c>
      <c r="E568" s="122"/>
      <c r="F568" s="122"/>
      <c r="G568" s="123"/>
      <c r="H568" s="453"/>
      <c r="I568" s="1135">
        <f t="shared" si="6"/>
        <v>1254</v>
      </c>
      <c r="J568" s="1023"/>
      <c r="K568" s="1023"/>
      <c r="L568" s="1147">
        <v>1254</v>
      </c>
      <c r="M568" s="1023"/>
      <c r="N568" s="1024"/>
      <c r="O568" s="8"/>
      <c r="P568" s="8"/>
    </row>
    <row r="569" spans="1:16" s="3" customFormat="1" ht="18" customHeight="1">
      <c r="A569" s="451">
        <v>535</v>
      </c>
      <c r="B569" s="124"/>
      <c r="C569" s="120"/>
      <c r="D569" s="1090" t="s">
        <v>897</v>
      </c>
      <c r="E569" s="122"/>
      <c r="F569" s="122"/>
      <c r="G569" s="123"/>
      <c r="H569" s="453"/>
      <c r="I569" s="1138">
        <f t="shared" si="6"/>
        <v>0</v>
      </c>
      <c r="J569" s="1713"/>
      <c r="K569" s="1713"/>
      <c r="L569" s="1712">
        <v>0</v>
      </c>
      <c r="M569" s="1023"/>
      <c r="N569" s="1024"/>
      <c r="O569" s="8"/>
      <c r="P569" s="8"/>
    </row>
    <row r="570" spans="1:14" ht="22.5" customHeight="1">
      <c r="A570" s="451">
        <v>536</v>
      </c>
      <c r="B570" s="1012"/>
      <c r="C570" s="120">
        <v>130</v>
      </c>
      <c r="D570" s="446" t="s">
        <v>652</v>
      </c>
      <c r="E570" s="1013"/>
      <c r="F570" s="149">
        <v>32172</v>
      </c>
      <c r="G570" s="149">
        <v>26352</v>
      </c>
      <c r="H570" s="1014" t="s">
        <v>23</v>
      </c>
      <c r="I570" s="1032"/>
      <c r="J570" s="1033"/>
      <c r="K570" s="1033"/>
      <c r="L570" s="1033"/>
      <c r="M570" s="1033"/>
      <c r="N570" s="1034"/>
    </row>
    <row r="571" spans="1:14" ht="22.5" customHeight="1">
      <c r="A571" s="451">
        <v>537</v>
      </c>
      <c r="B571" s="1012"/>
      <c r="C571" s="120"/>
      <c r="D571" s="1457" t="s">
        <v>757</v>
      </c>
      <c r="E571" s="1013"/>
      <c r="F571" s="149"/>
      <c r="G571" s="150"/>
      <c r="H571" s="1014"/>
      <c r="I571" s="1135">
        <f t="shared" si="6"/>
        <v>2818</v>
      </c>
      <c r="J571" s="1476"/>
      <c r="K571" s="1476"/>
      <c r="L571" s="1477">
        <v>2818</v>
      </c>
      <c r="M571" s="1033"/>
      <c r="N571" s="1034"/>
    </row>
    <row r="572" spans="1:16" s="3" customFormat="1" ht="18" customHeight="1">
      <c r="A572" s="451">
        <v>538</v>
      </c>
      <c r="B572" s="124"/>
      <c r="C572" s="120"/>
      <c r="D572" s="1090" t="s">
        <v>892</v>
      </c>
      <c r="E572" s="122"/>
      <c r="F572" s="122"/>
      <c r="G572" s="123"/>
      <c r="H572" s="453"/>
      <c r="I572" s="1138">
        <f t="shared" si="6"/>
        <v>1437</v>
      </c>
      <c r="J572" s="1713"/>
      <c r="K572" s="1713"/>
      <c r="L572" s="1144">
        <v>1437</v>
      </c>
      <c r="M572" s="1023"/>
      <c r="N572" s="1024"/>
      <c r="O572" s="8"/>
      <c r="P572" s="8"/>
    </row>
    <row r="573" spans="1:16" s="3" customFormat="1" ht="37.5" customHeight="1">
      <c r="A573" s="451">
        <v>539</v>
      </c>
      <c r="B573" s="124"/>
      <c r="C573" s="437">
        <v>131</v>
      </c>
      <c r="D573" s="446" t="s">
        <v>864</v>
      </c>
      <c r="E573" s="122"/>
      <c r="F573" s="122"/>
      <c r="G573" s="123"/>
      <c r="H573" s="1497" t="s">
        <v>23</v>
      </c>
      <c r="I573" s="1135"/>
      <c r="J573" s="1023"/>
      <c r="K573" s="1023"/>
      <c r="L573" s="1142"/>
      <c r="M573" s="1023"/>
      <c r="N573" s="1024"/>
      <c r="O573" s="8"/>
      <c r="P573" s="8"/>
    </row>
    <row r="574" spans="1:16" s="3" customFormat="1" ht="22.5" customHeight="1">
      <c r="A574" s="451">
        <v>540</v>
      </c>
      <c r="B574" s="124"/>
      <c r="C574" s="437"/>
      <c r="D574" s="1533" t="s">
        <v>757</v>
      </c>
      <c r="E574" s="122"/>
      <c r="F574" s="122"/>
      <c r="G574" s="123"/>
      <c r="H574" s="1497"/>
      <c r="I574" s="1135">
        <f t="shared" si="6"/>
        <v>7777</v>
      </c>
      <c r="J574" s="1023"/>
      <c r="K574" s="1023"/>
      <c r="L574" s="1142"/>
      <c r="M574" s="1023"/>
      <c r="N574" s="1148">
        <v>7777</v>
      </c>
      <c r="O574" s="8"/>
      <c r="P574" s="8"/>
    </row>
    <row r="575" spans="1:16" s="3" customFormat="1" ht="18" customHeight="1">
      <c r="A575" s="451">
        <v>541</v>
      </c>
      <c r="B575" s="124"/>
      <c r="C575" s="120"/>
      <c r="D575" s="1090" t="s">
        <v>892</v>
      </c>
      <c r="E575" s="122"/>
      <c r="F575" s="122"/>
      <c r="G575" s="123"/>
      <c r="H575" s="453"/>
      <c r="I575" s="1138">
        <f t="shared" si="6"/>
        <v>0</v>
      </c>
      <c r="J575" s="1713"/>
      <c r="K575" s="1713"/>
      <c r="L575" s="1142"/>
      <c r="M575" s="1713"/>
      <c r="N575" s="1496">
        <v>0</v>
      </c>
      <c r="O575" s="8"/>
      <c r="P575" s="8"/>
    </row>
    <row r="576" spans="1:16" s="3" customFormat="1" ht="22.5" customHeight="1">
      <c r="A576" s="451">
        <v>542</v>
      </c>
      <c r="B576" s="124"/>
      <c r="C576" s="120">
        <v>132</v>
      </c>
      <c r="D576" s="479" t="s">
        <v>865</v>
      </c>
      <c r="E576" s="122"/>
      <c r="F576" s="122"/>
      <c r="G576" s="123"/>
      <c r="H576" s="453" t="s">
        <v>23</v>
      </c>
      <c r="I576" s="1135"/>
      <c r="J576" s="1023"/>
      <c r="K576" s="1023"/>
      <c r="L576" s="1142"/>
      <c r="M576" s="1023"/>
      <c r="N576" s="1160"/>
      <c r="O576" s="8"/>
      <c r="P576" s="8"/>
    </row>
    <row r="577" spans="1:16" s="3" customFormat="1" ht="22.5" customHeight="1">
      <c r="A577" s="451">
        <v>543</v>
      </c>
      <c r="B577" s="124"/>
      <c r="C577" s="120"/>
      <c r="D577" s="479" t="s">
        <v>757</v>
      </c>
      <c r="E577" s="122"/>
      <c r="F577" s="122"/>
      <c r="G577" s="123"/>
      <c r="H577" s="453"/>
      <c r="I577" s="1135">
        <f t="shared" si="6"/>
        <v>1500</v>
      </c>
      <c r="J577" s="1023"/>
      <c r="K577" s="1023"/>
      <c r="L577" s="1142"/>
      <c r="M577" s="1023"/>
      <c r="N577" s="1148">
        <v>1500</v>
      </c>
      <c r="O577" s="8"/>
      <c r="P577" s="8"/>
    </row>
    <row r="578" spans="1:16" s="3" customFormat="1" ht="18" customHeight="1">
      <c r="A578" s="451">
        <v>544</v>
      </c>
      <c r="B578" s="124"/>
      <c r="C578" s="120"/>
      <c r="D578" s="1090" t="s">
        <v>892</v>
      </c>
      <c r="E578" s="122"/>
      <c r="F578" s="122"/>
      <c r="G578" s="123"/>
      <c r="H578" s="453"/>
      <c r="I578" s="1138">
        <f t="shared" si="6"/>
        <v>0</v>
      </c>
      <c r="J578" s="1713"/>
      <c r="K578" s="1713"/>
      <c r="L578" s="1142"/>
      <c r="M578" s="1713"/>
      <c r="N578" s="1496">
        <v>0</v>
      </c>
      <c r="O578" s="8"/>
      <c r="P578" s="8"/>
    </row>
    <row r="579" spans="1:16" s="3" customFormat="1" ht="22.5" customHeight="1">
      <c r="A579" s="451">
        <v>545</v>
      </c>
      <c r="B579" s="124"/>
      <c r="C579" s="437">
        <v>133</v>
      </c>
      <c r="D579" s="479" t="s">
        <v>867</v>
      </c>
      <c r="E579" s="122"/>
      <c r="F579" s="122"/>
      <c r="G579" s="123"/>
      <c r="H579" s="453"/>
      <c r="I579" s="1135"/>
      <c r="J579" s="1023"/>
      <c r="K579" s="1023"/>
      <c r="L579" s="1142"/>
      <c r="M579" s="1023"/>
      <c r="N579" s="1160"/>
      <c r="O579" s="8"/>
      <c r="P579" s="8"/>
    </row>
    <row r="580" spans="1:16" s="3" customFormat="1" ht="22.5" customHeight="1">
      <c r="A580" s="451">
        <v>546</v>
      </c>
      <c r="B580" s="124"/>
      <c r="C580" s="437"/>
      <c r="D580" s="479" t="s">
        <v>757</v>
      </c>
      <c r="E580" s="122"/>
      <c r="F580" s="122"/>
      <c r="G580" s="123"/>
      <c r="H580" s="453"/>
      <c r="I580" s="1135">
        <f t="shared" si="6"/>
        <v>1000</v>
      </c>
      <c r="J580" s="1023"/>
      <c r="K580" s="1023"/>
      <c r="L580" s="1142">
        <v>1000</v>
      </c>
      <c r="M580" s="1023"/>
      <c r="N580" s="1160"/>
      <c r="O580" s="8"/>
      <c r="P580" s="8"/>
    </row>
    <row r="581" spans="1:16" s="3" customFormat="1" ht="18" customHeight="1">
      <c r="A581" s="451">
        <v>547</v>
      </c>
      <c r="B581" s="124"/>
      <c r="C581" s="120"/>
      <c r="D581" s="1090" t="s">
        <v>892</v>
      </c>
      <c r="E581" s="122"/>
      <c r="F581" s="122"/>
      <c r="G581" s="123"/>
      <c r="H581" s="453" t="s">
        <v>23</v>
      </c>
      <c r="I581" s="1138">
        <f t="shared" si="6"/>
        <v>0</v>
      </c>
      <c r="J581" s="1713"/>
      <c r="K581" s="1713"/>
      <c r="L581" s="1144">
        <v>0</v>
      </c>
      <c r="M581" s="1023"/>
      <c r="N581" s="1496"/>
      <c r="O581" s="8"/>
      <c r="P581" s="8"/>
    </row>
    <row r="582" spans="1:16" s="3" customFormat="1" ht="22.5" customHeight="1">
      <c r="A582" s="451">
        <v>548</v>
      </c>
      <c r="B582" s="124"/>
      <c r="C582" s="120">
        <v>134</v>
      </c>
      <c r="D582" s="126" t="s">
        <v>363</v>
      </c>
      <c r="E582" s="122"/>
      <c r="F582" s="122">
        <v>451</v>
      </c>
      <c r="G582" s="123">
        <v>0</v>
      </c>
      <c r="H582" s="453" t="s">
        <v>23</v>
      </c>
      <c r="I582" s="1022"/>
      <c r="J582" s="1023"/>
      <c r="K582" s="1023"/>
      <c r="L582" s="1023"/>
      <c r="M582" s="1023"/>
      <c r="N582" s="1024"/>
      <c r="O582" s="8"/>
      <c r="P582" s="8"/>
    </row>
    <row r="583" spans="1:16" s="3" customFormat="1" ht="22.5" customHeight="1">
      <c r="A583" s="451">
        <v>549</v>
      </c>
      <c r="B583" s="124"/>
      <c r="C583" s="120">
        <v>135</v>
      </c>
      <c r="D583" s="126" t="s">
        <v>364</v>
      </c>
      <c r="E583" s="122"/>
      <c r="F583" s="122">
        <v>259</v>
      </c>
      <c r="G583" s="123">
        <v>0</v>
      </c>
      <c r="H583" s="453" t="s">
        <v>23</v>
      </c>
      <c r="I583" s="1022"/>
      <c r="J583" s="1023"/>
      <c r="K583" s="1023"/>
      <c r="L583" s="1023"/>
      <c r="M583" s="1023"/>
      <c r="N583" s="1024"/>
      <c r="O583" s="8"/>
      <c r="P583" s="8"/>
    </row>
    <row r="584" spans="1:16" s="3" customFormat="1" ht="22.5" customHeight="1">
      <c r="A584" s="451">
        <v>550</v>
      </c>
      <c r="B584" s="124"/>
      <c r="C584" s="120">
        <v>136</v>
      </c>
      <c r="D584" s="126" t="s">
        <v>460</v>
      </c>
      <c r="E584" s="122"/>
      <c r="F584" s="122">
        <v>480</v>
      </c>
      <c r="G584" s="123">
        <v>0</v>
      </c>
      <c r="H584" s="453" t="s">
        <v>23</v>
      </c>
      <c r="I584" s="867"/>
      <c r="J584" s="1023"/>
      <c r="K584" s="1023"/>
      <c r="L584" s="1023"/>
      <c r="M584" s="1023"/>
      <c r="N584" s="1024"/>
      <c r="O584" s="8"/>
      <c r="P584" s="8"/>
    </row>
    <row r="585" spans="1:16" s="3" customFormat="1" ht="22.5" customHeight="1">
      <c r="A585" s="451">
        <v>551</v>
      </c>
      <c r="B585" s="124"/>
      <c r="C585" s="120">
        <v>137</v>
      </c>
      <c r="D585" s="126" t="s">
        <v>528</v>
      </c>
      <c r="E585" s="122"/>
      <c r="F585" s="122">
        <v>362</v>
      </c>
      <c r="G585" s="123">
        <v>0</v>
      </c>
      <c r="H585" s="453" t="s">
        <v>23</v>
      </c>
      <c r="I585" s="867"/>
      <c r="J585" s="1023"/>
      <c r="K585" s="1023"/>
      <c r="L585" s="1023"/>
      <c r="M585" s="1023"/>
      <c r="N585" s="1024"/>
      <c r="O585" s="8"/>
      <c r="P585" s="8"/>
    </row>
    <row r="586" spans="1:16" s="3" customFormat="1" ht="22.5" customHeight="1">
      <c r="A586" s="451">
        <v>552</v>
      </c>
      <c r="B586" s="124"/>
      <c r="C586" s="120">
        <v>138</v>
      </c>
      <c r="D586" s="126" t="s">
        <v>461</v>
      </c>
      <c r="E586" s="122"/>
      <c r="F586" s="122">
        <v>400</v>
      </c>
      <c r="G586" s="123">
        <v>0</v>
      </c>
      <c r="H586" s="453" t="s">
        <v>23</v>
      </c>
      <c r="I586" s="867"/>
      <c r="J586" s="1023"/>
      <c r="K586" s="1023"/>
      <c r="L586" s="1713"/>
      <c r="M586" s="1023"/>
      <c r="N586" s="1024"/>
      <c r="O586" s="8"/>
      <c r="P586" s="8"/>
    </row>
    <row r="587" spans="1:16" s="3" customFormat="1" ht="22.5" customHeight="1">
      <c r="A587" s="451">
        <v>553</v>
      </c>
      <c r="B587" s="124"/>
      <c r="C587" s="120">
        <v>139</v>
      </c>
      <c r="D587" s="126" t="s">
        <v>462</v>
      </c>
      <c r="E587" s="122"/>
      <c r="F587" s="122">
        <v>738</v>
      </c>
      <c r="G587" s="123">
        <v>0</v>
      </c>
      <c r="H587" s="453" t="s">
        <v>23</v>
      </c>
      <c r="I587" s="867"/>
      <c r="J587" s="1023"/>
      <c r="K587" s="1023"/>
      <c r="L587" s="1023"/>
      <c r="M587" s="1023"/>
      <c r="N587" s="1024"/>
      <c r="O587" s="8"/>
      <c r="P587" s="8"/>
    </row>
    <row r="588" spans="1:16" s="3" customFormat="1" ht="22.5" customHeight="1">
      <c r="A588" s="451">
        <v>554</v>
      </c>
      <c r="B588" s="124"/>
      <c r="C588" s="120">
        <v>140</v>
      </c>
      <c r="D588" s="126" t="s">
        <v>392</v>
      </c>
      <c r="E588" s="122"/>
      <c r="F588" s="122">
        <v>100</v>
      </c>
      <c r="G588" s="123">
        <v>0</v>
      </c>
      <c r="H588" s="453" t="s">
        <v>23</v>
      </c>
      <c r="I588" s="1022"/>
      <c r="J588" s="1023"/>
      <c r="K588" s="1023"/>
      <c r="L588" s="1023"/>
      <c r="M588" s="1023"/>
      <c r="N588" s="1024"/>
      <c r="O588" s="8"/>
      <c r="P588" s="8"/>
    </row>
    <row r="589" spans="1:14" s="8" customFormat="1" ht="22.5" customHeight="1">
      <c r="A589" s="451">
        <v>555</v>
      </c>
      <c r="B589" s="124"/>
      <c r="C589" s="120">
        <v>141</v>
      </c>
      <c r="D589" s="121" t="s">
        <v>385</v>
      </c>
      <c r="E589" s="122">
        <v>2112</v>
      </c>
      <c r="F589" s="122">
        <v>0</v>
      </c>
      <c r="G589" s="123">
        <v>159</v>
      </c>
      <c r="H589" s="453" t="s">
        <v>22</v>
      </c>
      <c r="I589" s="867"/>
      <c r="J589" s="1017"/>
      <c r="K589" s="1017"/>
      <c r="L589" s="1017"/>
      <c r="M589" s="1017"/>
      <c r="N589" s="1018"/>
    </row>
    <row r="590" spans="1:16" s="139" customFormat="1" ht="22.5" customHeight="1">
      <c r="A590" s="451">
        <v>556</v>
      </c>
      <c r="B590" s="138"/>
      <c r="C590" s="120">
        <v>142</v>
      </c>
      <c r="D590" s="121" t="s">
        <v>108</v>
      </c>
      <c r="E590" s="149"/>
      <c r="F590" s="149"/>
      <c r="G590" s="149">
        <v>49</v>
      </c>
      <c r="H590" s="455" t="s">
        <v>23</v>
      </c>
      <c r="I590" s="867"/>
      <c r="J590" s="1020"/>
      <c r="K590" s="1020"/>
      <c r="L590" s="1020"/>
      <c r="M590" s="1020"/>
      <c r="N590" s="1021"/>
      <c r="O590" s="115"/>
      <c r="P590" s="8"/>
    </row>
    <row r="591" spans="1:16" s="3" customFormat="1" ht="22.5" customHeight="1">
      <c r="A591" s="451">
        <v>557</v>
      </c>
      <c r="B591" s="119"/>
      <c r="C591" s="120">
        <v>143</v>
      </c>
      <c r="D591" s="121" t="s">
        <v>90</v>
      </c>
      <c r="E591" s="122">
        <v>21955</v>
      </c>
      <c r="F591" s="122">
        <v>0</v>
      </c>
      <c r="G591" s="123">
        <v>0</v>
      </c>
      <c r="H591" s="453" t="s">
        <v>23</v>
      </c>
      <c r="I591" s="867"/>
      <c r="J591" s="1017"/>
      <c r="K591" s="1017"/>
      <c r="L591" s="1017"/>
      <c r="M591" s="1017"/>
      <c r="N591" s="1018"/>
      <c r="P591" s="8"/>
    </row>
    <row r="592" spans="1:16" s="1050" customFormat="1" ht="22.5" customHeight="1">
      <c r="A592" s="451">
        <v>558</v>
      </c>
      <c r="B592" s="119"/>
      <c r="C592" s="120">
        <v>144</v>
      </c>
      <c r="D592" s="1057" t="s">
        <v>337</v>
      </c>
      <c r="E592" s="122">
        <v>135683</v>
      </c>
      <c r="F592" s="122">
        <v>70760</v>
      </c>
      <c r="G592" s="123">
        <v>70760</v>
      </c>
      <c r="H592" s="453" t="s">
        <v>22</v>
      </c>
      <c r="I592" s="867"/>
      <c r="J592" s="1017"/>
      <c r="K592" s="1017"/>
      <c r="L592" s="1017"/>
      <c r="M592" s="1017"/>
      <c r="N592" s="1018"/>
      <c r="O592" s="3"/>
      <c r="P592" s="1049"/>
    </row>
    <row r="593" spans="1:14" s="1049" customFormat="1" ht="22.5" customHeight="1">
      <c r="A593" s="451">
        <v>559</v>
      </c>
      <c r="B593" s="138"/>
      <c r="C593" s="120">
        <v>145</v>
      </c>
      <c r="D593" s="126" t="s">
        <v>504</v>
      </c>
      <c r="E593" s="149"/>
      <c r="F593" s="127">
        <v>41919</v>
      </c>
      <c r="G593" s="150">
        <v>14960</v>
      </c>
      <c r="H593" s="455" t="s">
        <v>22</v>
      </c>
      <c r="I593" s="867"/>
      <c r="J593" s="1020"/>
      <c r="K593" s="1020"/>
      <c r="L593" s="1020"/>
      <c r="M593" s="1020"/>
      <c r="N593" s="1021"/>
    </row>
    <row r="594" spans="1:14" s="1049" customFormat="1" ht="22.5" customHeight="1">
      <c r="A594" s="451">
        <v>560</v>
      </c>
      <c r="B594" s="138"/>
      <c r="C594" s="120">
        <v>146</v>
      </c>
      <c r="D594" s="126" t="s">
        <v>362</v>
      </c>
      <c r="E594" s="149">
        <v>268</v>
      </c>
      <c r="F594" s="127">
        <v>509</v>
      </c>
      <c r="G594" s="150">
        <v>0</v>
      </c>
      <c r="H594" s="453" t="s">
        <v>23</v>
      </c>
      <c r="I594" s="867"/>
      <c r="J594" s="1020"/>
      <c r="K594" s="1020"/>
      <c r="L594" s="1020"/>
      <c r="M594" s="1020"/>
      <c r="N594" s="1021"/>
    </row>
    <row r="595" spans="1:16" s="1050" customFormat="1" ht="22.5" customHeight="1">
      <c r="A595" s="451">
        <v>561</v>
      </c>
      <c r="B595" s="119"/>
      <c r="C595" s="120">
        <v>147</v>
      </c>
      <c r="D595" s="121" t="s">
        <v>383</v>
      </c>
      <c r="E595" s="122">
        <v>1000</v>
      </c>
      <c r="F595" s="122">
        <v>0</v>
      </c>
      <c r="G595" s="123">
        <v>0</v>
      </c>
      <c r="H595" s="453" t="s">
        <v>23</v>
      </c>
      <c r="I595" s="1022"/>
      <c r="J595" s="1023"/>
      <c r="K595" s="1023"/>
      <c r="L595" s="1023"/>
      <c r="M595" s="1023"/>
      <c r="N595" s="1024"/>
      <c r="O595" s="1049"/>
      <c r="P595" s="1049"/>
    </row>
    <row r="596" spans="1:16" s="1050" customFormat="1" ht="22.5" customHeight="1" thickBot="1">
      <c r="A596" s="451">
        <v>562</v>
      </c>
      <c r="B596" s="137"/>
      <c r="C596" s="120">
        <v>148</v>
      </c>
      <c r="D596" s="126" t="s">
        <v>459</v>
      </c>
      <c r="E596" s="149"/>
      <c r="F596" s="149">
        <v>4000</v>
      </c>
      <c r="G596" s="150"/>
      <c r="H596" s="455" t="s">
        <v>23</v>
      </c>
      <c r="I596" s="867"/>
      <c r="J596" s="1020"/>
      <c r="K596" s="1020"/>
      <c r="L596" s="1020"/>
      <c r="M596" s="1020"/>
      <c r="N596" s="1021"/>
      <c r="O596" s="1049"/>
      <c r="P596" s="1049"/>
    </row>
    <row r="597" spans="1:16" s="87" customFormat="1" ht="19.5" customHeight="1" thickTop="1">
      <c r="A597" s="451">
        <v>563</v>
      </c>
      <c r="B597" s="1152"/>
      <c r="C597" s="1153"/>
      <c r="D597" s="1971" t="s">
        <v>13</v>
      </c>
      <c r="E597" s="1972"/>
      <c r="F597" s="1972"/>
      <c r="G597" s="1973"/>
      <c r="H597" s="1154"/>
      <c r="I597" s="1155"/>
      <c r="J597" s="1155"/>
      <c r="K597" s="1155"/>
      <c r="L597" s="1155"/>
      <c r="M597" s="1155"/>
      <c r="N597" s="1162"/>
      <c r="O597" s="442"/>
      <c r="P597" s="8"/>
    </row>
    <row r="598" spans="1:16" s="1058" customFormat="1" ht="19.5" customHeight="1">
      <c r="A598" s="451">
        <v>564</v>
      </c>
      <c r="B598" s="444"/>
      <c r="C598" s="1159"/>
      <c r="D598" s="1945" t="s">
        <v>283</v>
      </c>
      <c r="E598" s="1946"/>
      <c r="F598" s="1946"/>
      <c r="G598" s="1947"/>
      <c r="H598" s="453"/>
      <c r="I598" s="632">
        <f>SUM(J598:N598)</f>
        <v>5426646</v>
      </c>
      <c r="J598" s="1248">
        <f>J558+J554+J550+J546+J539+J513+J508+J504+J500+J496+J492+J488+J484+J480+J476+J472+J468+J464+J460+J456+J452+J448+J444+J437+J433+J429+J425+J420+J415+J411+J407+J403+J399+J395+J391+J386+J382+J377+J373+J367+J363+J359+J355+J351+J347+J343+J339+J335+J331+J327+J322+J318+J314+J309+J305+J301+J297+J293+J289+J285+J281+J277+J273+J229+J225+J221+J217+J213+J199+J185+J181+J177+J173+J169+J165+J161+J157+J153+J149+J145+J141+J103+J98+J94+J90+J86+J72+J68+J43+J24+J20+J15+J11</f>
        <v>155795</v>
      </c>
      <c r="K598" s="1248">
        <f>K558+K554+K550+K546+K539+K513+K508+K504+K500+K496+K492+K488+K484+K480+K476+K472+K468+K464+K460+K456+K452+K448+K444+K437+K433+K429+K425+K420+K415+K411+K407+K403+K399+K395+K391+K386+K382+K377+K373+K367+K363+K359+K355+K351+K347+K343+K339+K335+K331+K327+K322+K318+K314+K309+K305+K301+K297+K293+K289+K285+K281+K277+K273+K229+K225+K221+K217+K213+K199+K185+K181+K177+K173+K169+K165+K161+K157+K153+K149+K145+K141+K103+K98+K94+K90+K86+K72+K68+K43+K24+K20+K15+K11</f>
        <v>23456</v>
      </c>
      <c r="L598" s="1248">
        <f>L558+L554+L550+L546+L539+L513+L508+L504+L500+L496+L492+L488+L484+L480+L476+L472+L468+L464+L460+L456+L452+L448+L444+L437+L433+L429+L425+L420+L415+L411+L407+L403+L399+L395+L391+L386+L382+L377+L373+L367+L363+L359+L355+L351+L347+L343+L339+L335+L331+L327+L322+L318+L314+L309+L305+L301+L297+L293+L289+L285+L281+L277+L273+L229+L225+L221+L217+L213+L199+L185+L181+L177+L173+L169+L165+L161+L157+L153+L149+L145+L141+L103+L98+L94+L90+L86+L72+L68+L43+L24+L20+L15+L11</f>
        <v>1768220</v>
      </c>
      <c r="M598" s="1248">
        <f>M558+M554+M550+M546+M539+M513+M508+M504+M500+M496+M492+M488+M484+M480+M476+M472+M468+M464+M460+M456+M452+M448+M444+M437+M433+M429+M425+M420+M415+M411+M407+M403+M399+M395+M391+M386+M382+M377+M373+M367+M363+M359+M355+M351+M347+M343+M339+M335+M331+M327+M322+M318+M314+M309+M305+M301+M297+M293+M289+M285+M281+M277+M273+M229+M225+M221+M217+M213+M199+M185+M181+M177+M173+M169+M165+M161+M157+M153+M149+M145+M141+M103+M98+M94+M90+M86+M72+M68+M43+M24+M20+M15+M11</f>
        <v>36460</v>
      </c>
      <c r="N598" s="1308">
        <f>N558+N554+N550+N546+N539+N513+N508+N504+N500+N496+N492+N488+N484+N480+N476+N472+N468+N464+N460+N456+N452+N448+N444+N437+N433+N429+N425+N420+N415+N411+N407+N403+N399+N395+N391+N386+N382+N377+N373+N367+N363+N359+N355+N351+N347+N343+N339+N335+N331+N327+N322+N318+N314+N309+N305+N301+N297+N293+N289+N285+N281+N277+N273+N229+N225+N221+N217+N213+N199+N185+N181+N177+N173+N169+N165+N161+N157+N153+N149+N145+N141+N103+N98+N94+N90+N86+N72+N68+N43+N24+N20+N15+N11</f>
        <v>3442715</v>
      </c>
      <c r="O598" s="1059"/>
      <c r="P598" s="8"/>
    </row>
    <row r="599" spans="1:16" s="1434" customFormat="1" ht="19.5" customHeight="1">
      <c r="A599" s="451">
        <v>565</v>
      </c>
      <c r="B599" s="1156"/>
      <c r="C599" s="1157"/>
      <c r="D599" s="1953" t="s">
        <v>757</v>
      </c>
      <c r="E599" s="1954"/>
      <c r="F599" s="1954"/>
      <c r="G599" s="1955"/>
      <c r="H599" s="1158"/>
      <c r="I599" s="1114">
        <f>SUM(J599:N599)</f>
        <v>6176313</v>
      </c>
      <c r="J599" s="1458">
        <f>J559+J555+J551+J547+J540+J514+J509+J505+J501+J497+J493+J489+J485+J481+J477+J473+J469+J465+J461+J457+J453+J449+J445+J438+J434+J430+J426+J421+J416+J412+J408+J404+J400+J396+J392+J387+J383+J378+J374+J368+J364+J360+J356+J352+J348+J344+J340+J336+J332+J328+J323+J319+J315+J310+J306+J302+J298+J294+J290+J286+J282+J278+J274+J230+J226+J222+J218+J214+J200+J186+J182+J178+J174+J170+J166+J162+J158+J154+J150+J146+J142+J104+J99+J95+J91+J87+J73+J69+J44+J25+J21+J16+J12+J571+J568+J565+J562+J543+J76+J580+J577+J574+J28</f>
        <v>195504</v>
      </c>
      <c r="K599" s="1458">
        <f>K559+K555+K551+K547+K540+K514+K509+K505+K501+K497+K493+K489+K485+K481+K477+K473+K469+K465+K461+K457+K453+K449+K445+K438+K434+K430+K426+K421+K416+K412+K408+K404+K400+K396+K392+K387+K383+K378+K374+K368+K364+K360+K356+K352+K348+K344+K340+K336+K332+K328+K323+K319+K315+K310+K306+K302+K298+K294+K290+K286+K282+K278+K274+K230+K226+K222+K218+K214+K200+K186+K182+K178+K174+K170+K166+K162+K158+K154+K150+K146+K142+K104+K99+K95+K91+K87+K73+K69+K44+K25+K21+K16+K12+K571+K568+K565+K562+K543+K76+K580+K577+K574+K28</f>
        <v>36391</v>
      </c>
      <c r="L599" s="1458">
        <f>L559+L555+L551+L547+L540+L514+L509+L505+L501+L497+L493+L489+L485+L481+L477+L473+L469+L465+L461+L457+L453+L449+L445+L438+L434+L430+L426+L421+L416+L412+L408+L404+L400+L396+L392+L387+L383+L378+L374+L368+L364+L360+L356+L352+L348+L344+L340+L336+L332+L328+L323+L319+L315+L310+L306+L302+L298+L294+L290+L286+L282+L278+L274+L230+L226+L222+L218+L214+L200+L186+L182+L178+L174+L170+L166+L162+L158+L154+L150+L146+L142+L104+L99+L95+L91+L87+L73+L69+L44+L25+L21+L16+L12+L571+L568+L565+L562+L543+L76+L580+L577+L574+L28</f>
        <v>1937795</v>
      </c>
      <c r="M599" s="1458">
        <f>M559+M555+M551+M547+M540+M514+M509+M505+M501+M497+M493+M489+M485+M481+M477+M473+M469+M465+M461+M457+M453+M449+M445+M438+M434+M430+M426+M421+M416+M412+M408+M404+M400+M396+M392+M387+M383+M378+M374+M368+M364+M360+M356+M352+M348+M344+M340+M336+M332+M328+M323+M319+M315+M310+M306+M302+M298+M294+M290+M286+M282+M278+M274+M230+M226+M222+M218+M214+M200+M186+M182+M178+M174+M170+M166+M162+M158+M154+M150+M146+M142+M104+M99+M95+M91+M87+M73+M69+M44+M25+M21+M16+M12+M571+M568+M565+M562+M543+M76+M580+M577+M574+M28</f>
        <v>47418</v>
      </c>
      <c r="N599" s="1508">
        <f>N559+N555+N551+N547+N540+N514+N509+N505+N501+N497+N493+N489+N485+N481+N477+N473+N469+N465+N461+N457+N453+N449+N445+N438+N434+N430+N426+N421+N416+N412+N408+N404+N400+N396+N392+N387+N383+N378+N374+N368+N364+N360+N356+N352+N348+N344+N340+N336+N332+N328+N323+N319+N315+N310+N306+N302+N298+N294+N290+N286+N282+N278+N274+N230+N226+N222+N218+N214+N200+N186+N182+N178+N174+N170+N166+N162+N158+N154+N150+N146+N142+N104+N99+N95+N91+N87+N73+N69+N44+N25+N21+N16+N12+N571+N568+N565+N562+N543+N76+N580+N577+N574+N28</f>
        <v>3959205</v>
      </c>
      <c r="O599" s="1435"/>
      <c r="P599" s="8"/>
    </row>
    <row r="600" spans="1:16" s="1058" customFormat="1" ht="19.5" customHeight="1" thickBot="1">
      <c r="A600" s="451">
        <v>566</v>
      </c>
      <c r="B600" s="444"/>
      <c r="C600" s="1159"/>
      <c r="D600" s="1939" t="s">
        <v>893</v>
      </c>
      <c r="E600" s="1940"/>
      <c r="F600" s="1940"/>
      <c r="G600" s="1941"/>
      <c r="H600" s="453"/>
      <c r="I600" s="1137">
        <f>SUM(J600:N600)</f>
        <v>2213058</v>
      </c>
      <c r="J600" s="1714">
        <f>J560+J556+J552+J548+J541+J515+J510+J506+J502+J498+J494+J490+J486+J482+J478+J474+J470+J466+J462+J458+J454+J450+J446+J439+J435+J431+J427+J422+J417+J413+J409+J405+J401+J397+J393+J388+J384+J379+J375+J369+J365+J361+J357+J353+J349+J345+J341+J337+J333+J329+J324+J320+J316+J311+J307+J303+J299+J295+J291+J287+J283+J279+J275+J231+J227+J223+J219+J215+J201+J187+J183+J179+J175+J171+J167+J163+J159+J155+J151+J147+J143+J105+J100+J96+J92+J88+J74+J70+J45+J26+J22+J17+J13+J563+J544+J566+J569+J572+J77+J29+J575+J578+J581</f>
        <v>68610</v>
      </c>
      <c r="K600" s="1714">
        <f>K560+K556+K552+K548+K541+K515+K510+K506+K502+K498+K494+K490+K486+K482+K478+K474+K470+K466+K462+K458+K454+K450+K446+K439+K435+K431+K427+K422+K417+K413+K409+K405+K401+K397+K393+K388+K384+K379+K375+K369+K365+K361+K357+K353+K349+K345+K341+K337+K333+K329+K324+K320+K316+K311+K307+K303+K299+K295+K291+K287+K283+K279+K275+K231+K227+K223+K219+K215+K201+K187+K183+K179+K175+K171+K167+K163+K159+K155+K151+K147+K143+K105+K100+K96+K92+K88+K74+K70+K45+K26+K22+K17+K13+K563+K544+K566+K569+K572+K77+K29+K575+K578+K581</f>
        <v>9082</v>
      </c>
      <c r="L600" s="1714">
        <f>L560+L556+L552+L548+L541+L515+L510+L506+L502+L498+L494+L490+L486+L482+L478+L474+L470+L466+L462+L458+L454+L450+L446+L439+L435+L431+L427+L422+L417+L413+L409+L405+L401+L397+L393+L388+L384+L379+L375+L369+L365+L361+L357+L353+L349+L345+L341+L337+L333+L329+L324+L320+L316+L311+L307+L303+L299+L295+L291+L287+L283+L279+L275+L231+L227+L223+L219+L215+L201+L187+L183+L179+L175+L171+L167+L163+L159+L155+L151+L147+L143+L105+L100+L96+L92+L88+L74+L70+L45+L26+L22+L17+L13+L563+L544+L566+L569+L572+L77+L29+L575+L578+L581</f>
        <v>676589</v>
      </c>
      <c r="M600" s="1714">
        <f>M560+M556+M552+M548+M541+M515+M510+M506+M502+M498+M494+M490+M486+M482+M478+M474+M470+M466+M462+M458+M454+M450+M446+M439+M435+M431+M427+M422+M417+M413+M409+M405+M401+M397+M393+M388+M384+M379+M375+M369+M365+M361+M357+M353+M349+M345+M341+M337+M333+M329+M324+M320+M316+M311+M307+M303+M299+M295+M291+M287+M283+M279+M275+M231+M227+M223+M219+M215+M201+M187+M183+M179+M175+M171+M167+M163+M159+M155+M151+M147+M143+M105+M100+M96+M92+M88+M74+M70+M45+M26+M22+M17+M13+M563+M544+M566+M569+M572+M77+M29+M575+M578+M581</f>
        <v>9265</v>
      </c>
      <c r="N600" s="1715">
        <f>N560+N556+N552+N548+N541+N515+N510+N506+N502+N498+N494+N490+N486+N482+N478+N474+N470+N466+N462+N458+N454+N450+N446+N439+N435+N431+N427+N422+N417+N413+N409+N405+N401+N397+N393+N388+N384+N379+N375+N369+N365+N361+N357+N353+N349+N345+N341+N337+N333+N329+N324+N320+N316+N311+N307+N303+N299+N295+N291+N287+N283+N279+N275+N231+N227+N223+N219+N215+N201+N187+N183+N179+N175+N171+N167+N163+N159+N155+N151+N147+N143+N105+N100+N96+N92+N88+N74+N70+N45+N26+N22+N17+N13+N563+N544+N566+N569+N572+N77+N29+N575+N578+N581</f>
        <v>1449512</v>
      </c>
      <c r="O600" s="1059"/>
      <c r="P600" s="8"/>
    </row>
    <row r="601" spans="1:16" s="87" customFormat="1" ht="18" customHeight="1" thickTop="1">
      <c r="A601" s="451">
        <v>567</v>
      </c>
      <c r="B601" s="90"/>
      <c r="C601" s="91"/>
      <c r="D601" s="1976" t="s">
        <v>109</v>
      </c>
      <c r="E601" s="1977"/>
      <c r="F601" s="1977"/>
      <c r="G601" s="1978"/>
      <c r="H601" s="456"/>
      <c r="I601" s="1163"/>
      <c r="J601" s="1035"/>
      <c r="K601" s="1035"/>
      <c r="L601" s="1035"/>
      <c r="M601" s="1035"/>
      <c r="N601" s="1055"/>
      <c r="O601" s="442"/>
      <c r="P601" s="8"/>
    </row>
    <row r="602" spans="1:16" s="907" customFormat="1" ht="18" customHeight="1">
      <c r="A602" s="451">
        <v>568</v>
      </c>
      <c r="B602" s="872"/>
      <c r="C602" s="873"/>
      <c r="D602" s="1945" t="s">
        <v>283</v>
      </c>
      <c r="E602" s="1946"/>
      <c r="F602" s="1946"/>
      <c r="G602" s="1947"/>
      <c r="H602" s="877"/>
      <c r="I602" s="632">
        <f>SUM(J602:N602)</f>
        <v>4698100</v>
      </c>
      <c r="J602" s="868">
        <f>J513+J508+J504+J500+J492+J488+J484+J480+J476+J472+J468+J464+J460+J456+J452+J448+J444+J437+J433+J429+J425+J415+J411+J407+J403+J395+J359+J351+J343+J339+J331+J327+J305+J301+J297+J293+J289+J273+J233+J225+J221+J217+J161+J153+J11+J347+J165+J157</f>
        <v>148380</v>
      </c>
      <c r="K602" s="868">
        <f>K513+K508+K504+K500+K492+K488+K484+K480+K476+K472+K468+K464+K460+K456+K452+K448+K444+K437+K433+K429+K425+K415+K411+K407+K403+K395+K359+K351+K343+K339+K331+K327+K305+K301+K297+K293+K289+K273+K233+K225+K221+K217+K161+K153+K11+K347+K165+K157</f>
        <v>22676</v>
      </c>
      <c r="L602" s="868">
        <f>L513+L508+L504+L500+L492+L488+L484+L480+L476+L472+L468+L464+L460+L456+L452+L448+L444+L437+L433+L429+L425+L415+L411+L407+L403+L395+L359+L351+L343+L339+L331+L327+L305+L301+L297+L293+L289+L273+L233+L225+L221+L217+L161+L153+L11+L347+L165+L157</f>
        <v>1376129</v>
      </c>
      <c r="M602" s="868">
        <f>M513+M508+M504+M500+M492+M488+M484+M480+M476+M472+M468+M464+M460+M456+M452+M448+M444+M437+M433+M429+M425+M415+M411+M407+M403+M395+M359+M351+M343+M339+M331+M327+M305+M301+M297+M293+M289+M273+M233+M225+M221+M217+M161+M153+M11+M347+M165+M157</f>
        <v>8600</v>
      </c>
      <c r="N602" s="869">
        <f>N513+N508+N504+N500+N492+N488+N484+N480+N476+N472+N468+N464+N460+N456+N452+N448+N444+N437+N433+N429+N425+N415+N411+N407+N403+N395+N359+N351+N343+N339+N331+N327+N305+N301+N297+N293+N289+N273+N233+N225+N221+N217+N161+N153+N11+N347+N165+N157</f>
        <v>3142315</v>
      </c>
      <c r="O602" s="878"/>
      <c r="P602" s="878"/>
    </row>
    <row r="603" spans="1:16" s="907" customFormat="1" ht="18" customHeight="1">
      <c r="A603" s="451">
        <v>569</v>
      </c>
      <c r="B603" s="872"/>
      <c r="C603" s="873"/>
      <c r="D603" s="1953" t="s">
        <v>757</v>
      </c>
      <c r="E603" s="1954"/>
      <c r="F603" s="1954"/>
      <c r="G603" s="1955"/>
      <c r="H603" s="877"/>
      <c r="I603" s="1114">
        <f>SUM(J603:N603)</f>
        <v>5438045</v>
      </c>
      <c r="J603" s="1142">
        <f>J514+J509+J505+J501+J493+J489+J485+J481+J477+J473+J469+J465+J461+J457+J453+J449+J445+J438+J434+J430+J426+J416+J412+J408+J404+J396+J360+J352+J344+J340+J332+J328+J306+J302+J298+J294+J290+J274+J234+J226+J222+J218+J162+J154+J12+J348+J166+J158+J40+J34</f>
        <v>187079</v>
      </c>
      <c r="K603" s="1142">
        <f>K514+K509+K505+K501+K493+K489+K485+K481+K477+K473+K469+K465+K461+K457+K453+K449+K445+K438+K434+K430+K426+K416+K412+K408+K404+K396+K360+K352+K344+K340+K332+K328+K306+K302+K298+K294+K290+K274+K234+K226+K222+K218+K162+K154+K12+K348+K166+K158+K40+K34</f>
        <v>35407</v>
      </c>
      <c r="L603" s="1142">
        <f>L514+L509+L505+L501+L493+L489+L485+L481+L477+L473+L469+L465+L461+L457+L453+L449+L445+L438+L434+L430+L426+L416+L412+L408+L404+L396+L360+L352+L344+L340+L332+L328+L306+L302+L298+L294+L290+L274+L234+L226+L222+L218+L162+L154+L12+L348+L166+L158+L40+L34</f>
        <v>1555705</v>
      </c>
      <c r="M603" s="1142">
        <f>M514+M509+M505+M501+M493+M489+M485+M481+M477+M473+M469+M465+M461+M457+M453+M449+M445+M438+M434+M430+M426+M416+M412+M408+M404+M396+M360+M352+M344+M340+M332+M328+M306+M302+M298+M294+M290+M274+M234+M226+M222+M218+M162+M154+M12+M348+M166+M158+M40+M34</f>
        <v>10608</v>
      </c>
      <c r="N603" s="1148">
        <f>N514+N509+N505+N501+N493+N489+N485+N481+N477+N473+N469+N465+N461+N457+N453+N449+N445+N438+N434+N430+N426+N416+N412+N408+N404+N396+N360+N352+N344+N340+N332+N328+N306+N302+N298+N294+N290+N274+N234+N226+N222+N218+N162+N154+N12+N348+N166+N158+N40+N34</f>
        <v>3649246</v>
      </c>
      <c r="O603" s="878"/>
      <c r="P603" s="878"/>
    </row>
    <row r="604" spans="1:16" s="907" customFormat="1" ht="18" customHeight="1">
      <c r="A604" s="451">
        <v>570</v>
      </c>
      <c r="B604" s="872"/>
      <c r="C604" s="873"/>
      <c r="D604" s="1939" t="s">
        <v>893</v>
      </c>
      <c r="E604" s="1940"/>
      <c r="F604" s="1940"/>
      <c r="G604" s="1941"/>
      <c r="H604" s="877"/>
      <c r="I604" s="1138">
        <f>SUM(J604:N604)</f>
        <v>1910389</v>
      </c>
      <c r="J604" s="1144">
        <f>J515+J510+J506+J502+J494+J490+J486+J482+J478+J474+J470+J466+J462+J458+J454+J450+J446+J439+J435+J431+J427+J417+J413+J409+J405+J397+J361+J353+J345+J341+J333+J329+J307+J303+J299+J295+J291+J275+J235+J227+J223+J219+J163+J155+J13+J349+J167+J159+J35+J41</f>
        <v>67364</v>
      </c>
      <c r="K604" s="1144">
        <f>K515+K510+K506+K502+K494+K490+K486+K482+K478+K474+K470+K466+K462+K458+K454+K450+K446+K439+K435+K431+K427+K417+K413+K409+K405+K397+K361+K353+K345+K341+K333+K329+K307+K303+K299+K295+K291+K275+K235+K227+K223+K219+K163+K155+K13+K349+K167+K159+K35+K41</f>
        <v>9002</v>
      </c>
      <c r="L604" s="1144">
        <f>L515+L510+L506+L502+L494+L490+L486+L482+L478+L474+L470+L466+L462+L458+L454+L450+L446+L439+L435+L431+L427+L417+L413+L409+L405+L397+L361+L353+L345+L341+L333+L329+L307+L303+L299+L295+L291+L275+L235+L227+L223+L219+L163+L155+L13+L349+L167+L159+L35+L41</f>
        <v>558170</v>
      </c>
      <c r="M604" s="1144">
        <f>M515+M510+M506+M502+M494+M490+M486+M482+M478+M474+M470+M466+M462+M458+M454+M450+M446+M439+M435+M431+M427+M417+M413+M409+M405+M397+M361+M353+M345+M341+M333+M329+M307+M303+M299+M295+M291+M275+M235+M227+M223+M219+M163+M155+M13+M349+M167+M159+M35+M41</f>
        <v>3893</v>
      </c>
      <c r="N604" s="1143">
        <f>N515+N510+N506+N502+N494+N490+N486+N482+N478+N474+N470+N466+N462+N458+N454+N450+N446+N439+N435+N431+N427+N417+N413+N409+N405+N397+N361+N353+N345+N341+N333+N329+N307+N303+N299+N295+N291+N275+N235+N227+N223+N219+N163+N155+N13+N349+N167+N159+N35+N41</f>
        <v>1271960</v>
      </c>
      <c r="O604" s="878"/>
      <c r="P604" s="878"/>
    </row>
    <row r="605" spans="1:16" s="87" customFormat="1" ht="18" customHeight="1">
      <c r="A605" s="451">
        <v>571</v>
      </c>
      <c r="B605" s="92"/>
      <c r="C605" s="93"/>
      <c r="D605" s="1979" t="s">
        <v>110</v>
      </c>
      <c r="E605" s="1946"/>
      <c r="F605" s="1946"/>
      <c r="G605" s="1947"/>
      <c r="H605" s="457"/>
      <c r="I605" s="1036"/>
      <c r="J605" s="1017"/>
      <c r="K605" s="1017"/>
      <c r="L605" s="1017"/>
      <c r="M605" s="1017"/>
      <c r="N605" s="1018"/>
      <c r="O605" s="442"/>
      <c r="P605" s="8"/>
    </row>
    <row r="606" spans="1:16" s="912" customFormat="1" ht="18" customHeight="1">
      <c r="A606" s="451">
        <v>572</v>
      </c>
      <c r="B606" s="872"/>
      <c r="C606" s="873"/>
      <c r="D606" s="1945" t="s">
        <v>283</v>
      </c>
      <c r="E606" s="1946"/>
      <c r="F606" s="1946"/>
      <c r="G606" s="1947"/>
      <c r="H606" s="877"/>
      <c r="I606" s="1036">
        <f>SUM(J606:N606)</f>
        <v>728546</v>
      </c>
      <c r="J606" s="868">
        <f>J558+J554+J550+J546+J539+J496+J399+J391+J386+J382+J377+J373+J367+J363+J355+J335+J322+J318+J314+J309+J285+J281+J277+J269+J265+J261+J257+J253+J249+J245+J241+J237+J213+J199+J185+J181+J177+J173+J169+J149+J145+J141+J103+J98+J94+J90+J86+J72+J68+J43+J24+J20+J15+J420</f>
        <v>7415</v>
      </c>
      <c r="K606" s="868">
        <f>K558+K554+K550+K546+K539+K496+K399+K391+K386+K382+K377+K373+K367+K363+K355+K335+K322+K318+K314+K309+K285+K281+K277+K269+K265+K261+K257+K253+K249+K245+K241+K237+K213+K199+K185+K181+K177+K173+K169+K149+K145+K141+K103+K98+K94+K90+K86+K72+K68+K43+K24+K20+K15+K420</f>
        <v>780</v>
      </c>
      <c r="L606" s="868">
        <f>L558+L554+L550+L546+L539+L496+L399+L391+L386+L382+L377+L373+L367+L363+L355+L335+L322+L318+L314+L309+L285+L281+L277+L269+L265+L261+L257+L253+L249+L245+L241+L237+L213+L199+L185+L181+L177+L173+L169+L149+L145+L141+L103+L98+L94+L90+L86+L72+L68+L43+L24+L20+L15+L420</f>
        <v>392091</v>
      </c>
      <c r="M606" s="868">
        <f>M558+M554+M550+M546+M539+M496+M399+M391+M386+M382+M377+M373+M367+M363+M355+M335+M322+M318+M314+M309+M285+M281+M277+M269+M265+M261+M257+M253+M249+M245+M241+M237+M213+M199+M185+M181+M177+M173+M169+M149+M145+M141+M103+M98+M94+M90+M86+M72+M68+M43+M24+M20+M15+M420</f>
        <v>27860</v>
      </c>
      <c r="N606" s="869">
        <f>N558+N554+N550+N546+N539+N496+N399+N391+N386+N382+N377+N373+N367+N363+N355+N335+N322+N318+N314+N309+N285+N281+N277+N269+N265+N261+N257+N253+N249+N245+N241+N237+N213+N199+N185+N181+N177+N173+N169+N149+N145+N141+N103+N98+N94+N90+N86+N72+N68+N43+N24+N20+N15+N420</f>
        <v>300400</v>
      </c>
      <c r="O606" s="911"/>
      <c r="P606" s="878"/>
    </row>
    <row r="607" spans="1:16" s="912" customFormat="1" ht="18" customHeight="1">
      <c r="A607" s="451">
        <v>573</v>
      </c>
      <c r="B607" s="872"/>
      <c r="C607" s="873"/>
      <c r="D607" s="1953" t="s">
        <v>757</v>
      </c>
      <c r="E607" s="1954"/>
      <c r="F607" s="1954"/>
      <c r="G607" s="1955"/>
      <c r="H607" s="877"/>
      <c r="I607" s="1459">
        <f>SUM(J607:N607)</f>
        <v>738268</v>
      </c>
      <c r="J607" s="1142">
        <f>J559+J555+J551+J547+J540+J497+J400+J392+J387+J383+J378+J374+J368+J364+J356+J336+J323+J319+J315+J310+J286+J282+J278+J270+J266+J262+J258+J254+J250+J246+J242+J238+J214+J200+J186+J182+J178+J174+J170+J150+J146+J142+J104+J99+J95+J91+J87+J73+J69+J44+J25+J21+J16+J421+J571+J568+J565+J562+J543+J76+J580+J577+J574+J37+J31</f>
        <v>8425</v>
      </c>
      <c r="K607" s="1142">
        <f>K559+K555+K551+K547+K540+K497+K400+K392+K387+K383+K378+K374+K368+K364+K356+K336+K323+K319+K315+K310+K286+K282+K278+K270+K266+K262+K258+K254+K250+K246+K242+K238+K214+K200+K186+K182+K178+K174+K170+K150+K146+K142+K104+K99+K95+K91+K87+K73+K69+K44+K25+K21+K16+K421+K571+K568+K565+K562+K543+K76+K580+K577+K574+K37+K31</f>
        <v>984</v>
      </c>
      <c r="L607" s="1142">
        <f>L559+L555+L551+L547+L540+L497+L400+L392+L387+L383+L378+L374+L368+L364+L356+L336+L323+L319+L315+L310+L286+L282+L278+L270+L266+L262+L258+L254+L250+L246+L242+L238+L214+L200+L186+L182+L178+L174+L170+L150+L146+L142+L104+L99+L95+L91+L87+L73+L69+L44+L25+L21+L16+L421+L571+L568+L565+L562+L543+L76+L580+L577+L574+L37+L31</f>
        <v>382090</v>
      </c>
      <c r="M607" s="1142">
        <f>M559+M555+M551+M547+M540+M497+M400+M392+M387+M383+M378+M374+M368+M364+M356+M336+M323+M319+M315+M310+M286+M282+M278+M270+M266+M262+M258+M254+M250+M246+M242+M238+M214+M200+M186+M182+M178+M174+M170+M150+M146+M142+M104+M99+M95+M91+M87+M73+M69+M44+M25+M21+M16+M421+M571+M568+M565+M562+M543+M76+M580+M577+M574+M37+M31</f>
        <v>36810</v>
      </c>
      <c r="N607" s="1148">
        <f>N559+N555+N551+N547+N540+N497+N400+N392+N387+N383+N378+N374+N368+N364+N356+N336+N323+N319+N315+N310+N286+N282+N278+N270+N266+N262+N258+N254+N250+N246+N242+N238+N214+N200+N186+N182+N178+N174+N170+N150+N146+N142+N104+N99+N95+N91+N87+N73+N69+N44+N25+N21+N16+N421+N571+N568+N565+N562+N543+N76+N580+N577+N574+N37+N31</f>
        <v>309959</v>
      </c>
      <c r="O607" s="911"/>
      <c r="P607" s="878"/>
    </row>
    <row r="608" spans="1:16" s="912" customFormat="1" ht="18" customHeight="1" thickBot="1">
      <c r="A608" s="451">
        <v>574</v>
      </c>
      <c r="B608" s="908"/>
      <c r="C608" s="909"/>
      <c r="D608" s="1942" t="s">
        <v>893</v>
      </c>
      <c r="E608" s="1943"/>
      <c r="F608" s="1943"/>
      <c r="G608" s="1944"/>
      <c r="H608" s="910"/>
      <c r="I608" s="1603">
        <f>SUM(J608:N608)</f>
        <v>302669</v>
      </c>
      <c r="J608" s="1604">
        <f>J560+J556+J552+J548+J541+J498+J401+J393+J388+J384+J379+J375+J369+J365+J357+J337+J324+J320+J316+J311+J287+J283+J279+J271+J267+J263+J259+J255+J251+J247+J243+J239+J215+J201+J187+J183+J179+J175+J171+J151+J147+J143+J105+J100+J96+J92+J88+J74+J70+J45+J26+J22+J17+J422+J563+J544+J566+J569+J572+J77+J38+J32+J575+J578+J581</f>
        <v>1246</v>
      </c>
      <c r="K608" s="1604">
        <f>K560+K556+K552+K548+K541+K498+K401+K393+K388+K384+K379+K375+K369+K365+K357+K337+K324+K320+K316+K311+K287+K283+K279+K271+K267+K263+K259+K255+K251+K247+K243+K239+K215+K201+K187+K183+K179+K175+K171+K151+K147+K143+K105+K100+K96+K92+K88+K74+K70+K45+K26+K22+K17+K422+K563+K544+K566+K569+K572+K77+K38+K32+K575+K578+K581</f>
        <v>80</v>
      </c>
      <c r="L608" s="1604">
        <f>L560+L556+L552+L548+L541+L498+L401+L393+L388+L384+L379+L375+L369+L365+L357+L337+L324+L320+L316+L311+L287+L283+L279+L271+L267+L263+L259+L255+L251+L247+L243+L239+L215+L201+L187+L183+L179+L175+L171+L151+L147+L143+L105+L100+L96+L92+L88+L74+L70+L45+L26+L22+L17+L422+L563+L544+L566+L569+L572+L77+L38+L32+L575+L578+L581</f>
        <v>118419</v>
      </c>
      <c r="M608" s="1604">
        <f>M560+M556+M552+M548+M541+M498+M401+M393+M388+M384+M379+M375+M369+M365+M357+M337+M324+M320+M316+M311+M287+M283+M279+M271+M267+M263+M259+M255+M251+M247+M243+M239+M215+M201+M187+M183+M179+M175+M171+M151+M147+M143+M105+M100+M96+M92+M88+M74+M70+M45+M26+M22+M17+M422+M563+M544+M566+M569+M572+M77+M38+M32+M575+M578+M581</f>
        <v>5372</v>
      </c>
      <c r="N608" s="1605">
        <f>N560+N556+N552+N548+N541+N498+N401+N393+N388+N384+N379+N375+N369+N365+N357+N337+N324+N320+N316+N311+N287+N283+N279+N271+N267+N263+N259+N255+N251+N247+N243+N239+N215+N201+N187+N183+N179+N175+N171+N151+N147+N143+N105+N100+N96+N92+N88+N74+N70+N45+N26+N22+N17+N422+N563+N544+N566+N569+N572+N77+N38+N32+N575+N578+N581</f>
        <v>177552</v>
      </c>
      <c r="O608" s="911"/>
      <c r="P608" s="878"/>
    </row>
    <row r="609" spans="1:14" ht="18" customHeight="1">
      <c r="A609" s="452"/>
      <c r="B609" s="1956" t="s">
        <v>26</v>
      </c>
      <c r="C609" s="1956"/>
      <c r="D609" s="1956"/>
      <c r="E609" s="117"/>
      <c r="F609" s="117"/>
      <c r="G609" s="117"/>
      <c r="H609" s="443"/>
      <c r="I609" s="118"/>
      <c r="J609" s="117"/>
      <c r="K609" s="117"/>
      <c r="L609" s="117"/>
      <c r="M609" s="117"/>
      <c r="N609" s="117"/>
    </row>
    <row r="610" spans="1:14" ht="18" customHeight="1">
      <c r="A610" s="452"/>
      <c r="B610" s="464" t="s">
        <v>27</v>
      </c>
      <c r="C610" s="464"/>
      <c r="D610" s="464"/>
      <c r="E610" s="117"/>
      <c r="F610" s="117"/>
      <c r="G610" s="117"/>
      <c r="H610" s="443"/>
      <c r="I610" s="118"/>
      <c r="J610" s="117"/>
      <c r="K610" s="117"/>
      <c r="L610" s="117"/>
      <c r="M610" s="117"/>
      <c r="N610" s="117"/>
    </row>
    <row r="611" spans="1:14" ht="18" customHeight="1">
      <c r="A611" s="452"/>
      <c r="B611" s="1956" t="s">
        <v>28</v>
      </c>
      <c r="C611" s="1956"/>
      <c r="D611" s="1956"/>
      <c r="E611" s="117"/>
      <c r="F611" s="117"/>
      <c r="G611" s="117"/>
      <c r="H611" s="443"/>
      <c r="I611" s="118"/>
      <c r="J611" s="117"/>
      <c r="K611" s="117"/>
      <c r="L611" s="117"/>
      <c r="M611" s="117"/>
      <c r="N611" s="117"/>
    </row>
    <row r="612" spans="4:14" ht="18" customHeight="1">
      <c r="D612" s="11"/>
      <c r="E612" s="293"/>
      <c r="F612" s="293"/>
      <c r="G612" s="293"/>
      <c r="H612" s="12"/>
      <c r="I612" s="293">
        <f aca="true" t="shared" si="7" ref="I612:N612">+I597-I601-I605</f>
        <v>0</v>
      </c>
      <c r="J612" s="293">
        <f t="shared" si="7"/>
        <v>0</v>
      </c>
      <c r="K612" s="293">
        <f t="shared" si="7"/>
        <v>0</v>
      </c>
      <c r="L612" s="293">
        <f t="shared" si="7"/>
        <v>0</v>
      </c>
      <c r="M612" s="293">
        <f t="shared" si="7"/>
        <v>0</v>
      </c>
      <c r="N612" s="293">
        <f t="shared" si="7"/>
        <v>0</v>
      </c>
    </row>
    <row r="613" spans="4:8" ht="18" customHeight="1">
      <c r="D613" s="11"/>
      <c r="E613" s="293"/>
      <c r="F613" s="293"/>
      <c r="G613" s="293"/>
      <c r="H613" s="12"/>
    </row>
    <row r="614" spans="4:8" ht="18" customHeight="1">
      <c r="D614" s="11"/>
      <c r="E614" s="293"/>
      <c r="F614" s="293"/>
      <c r="G614" s="293"/>
      <c r="H614" s="12"/>
    </row>
    <row r="615" spans="1:15" s="13" customFormat="1" ht="18" customHeight="1">
      <c r="A615" s="451"/>
      <c r="B615" s="3"/>
      <c r="C615" s="7"/>
      <c r="D615" s="11"/>
      <c r="E615" s="293"/>
      <c r="F615" s="293"/>
      <c r="G615" s="293"/>
      <c r="H615" s="12"/>
      <c r="J615" s="293"/>
      <c r="K615" s="293"/>
      <c r="L615" s="293"/>
      <c r="M615" s="293"/>
      <c r="N615" s="293"/>
      <c r="O615" s="4"/>
    </row>
    <row r="616" spans="1:15" s="13" customFormat="1" ht="18" customHeight="1">
      <c r="A616" s="451"/>
      <c r="B616" s="3"/>
      <c r="C616" s="7"/>
      <c r="D616" s="11"/>
      <c r="E616" s="293"/>
      <c r="F616" s="293"/>
      <c r="G616" s="293"/>
      <c r="H616" s="12"/>
      <c r="J616" s="293"/>
      <c r="K616" s="293"/>
      <c r="L616" s="293"/>
      <c r="M616" s="293"/>
      <c r="N616" s="293"/>
      <c r="O616" s="4"/>
    </row>
    <row r="617" spans="1:15" s="13" customFormat="1" ht="18" customHeight="1">
      <c r="A617" s="451"/>
      <c r="B617" s="3"/>
      <c r="C617" s="7"/>
      <c r="D617" s="11"/>
      <c r="E617" s="293"/>
      <c r="F617" s="293"/>
      <c r="G617" s="293"/>
      <c r="H617" s="12"/>
      <c r="J617" s="293"/>
      <c r="K617" s="293"/>
      <c r="L617" s="293"/>
      <c r="M617" s="293"/>
      <c r="N617" s="293"/>
      <c r="O617" s="4"/>
    </row>
    <row r="618" spans="1:15" s="13" customFormat="1" ht="18" customHeight="1">
      <c r="A618" s="451"/>
      <c r="B618" s="3"/>
      <c r="C618" s="7"/>
      <c r="D618" s="11"/>
      <c r="E618" s="293"/>
      <c r="F618" s="293"/>
      <c r="G618" s="293"/>
      <c r="H618" s="12"/>
      <c r="J618" s="293"/>
      <c r="K618" s="293"/>
      <c r="L618" s="293"/>
      <c r="M618" s="293"/>
      <c r="N618" s="293"/>
      <c r="O618" s="4"/>
    </row>
    <row r="619" spans="1:15" s="13" customFormat="1" ht="18" customHeight="1">
      <c r="A619" s="451"/>
      <c r="B619" s="3"/>
      <c r="C619" s="7"/>
      <c r="D619" s="11"/>
      <c r="E619" s="293"/>
      <c r="F619" s="293"/>
      <c r="G619" s="293"/>
      <c r="H619" s="12"/>
      <c r="J619" s="293"/>
      <c r="K619" s="293"/>
      <c r="L619" s="293"/>
      <c r="M619" s="293"/>
      <c r="N619" s="293"/>
      <c r="O619" s="4"/>
    </row>
    <row r="620" spans="1:15" s="13" customFormat="1" ht="18" customHeight="1">
      <c r="A620" s="451"/>
      <c r="B620" s="3"/>
      <c r="C620" s="7"/>
      <c r="D620" s="14"/>
      <c r="E620" s="293"/>
      <c r="F620" s="293"/>
      <c r="G620" s="293"/>
      <c r="H620" s="12"/>
      <c r="J620" s="293"/>
      <c r="K620" s="293"/>
      <c r="L620" s="293"/>
      <c r="M620" s="293"/>
      <c r="N620" s="293"/>
      <c r="O620" s="4"/>
    </row>
    <row r="621" spans="1:15" s="13" customFormat="1" ht="18" customHeight="1">
      <c r="A621" s="451"/>
      <c r="B621" s="3"/>
      <c r="C621" s="7"/>
      <c r="D621" s="14"/>
      <c r="E621" s="293"/>
      <c r="F621" s="293"/>
      <c r="G621" s="293"/>
      <c r="H621" s="12"/>
      <c r="J621" s="293"/>
      <c r="K621" s="293"/>
      <c r="L621" s="293"/>
      <c r="M621" s="293"/>
      <c r="N621" s="293"/>
      <c r="O621" s="4"/>
    </row>
    <row r="622" spans="1:15" s="13" customFormat="1" ht="18" customHeight="1">
      <c r="A622" s="451"/>
      <c r="B622" s="3"/>
      <c r="C622" s="7"/>
      <c r="D622" s="11"/>
      <c r="E622" s="293"/>
      <c r="F622" s="293"/>
      <c r="G622" s="293"/>
      <c r="H622" s="12"/>
      <c r="J622" s="293"/>
      <c r="K622" s="293"/>
      <c r="L622" s="293"/>
      <c r="M622" s="293"/>
      <c r="N622" s="293"/>
      <c r="O622" s="4"/>
    </row>
    <row r="623" spans="1:15" s="13" customFormat="1" ht="18" customHeight="1">
      <c r="A623" s="451"/>
      <c r="B623" s="3"/>
      <c r="C623" s="7"/>
      <c r="D623" s="11"/>
      <c r="E623" s="293"/>
      <c r="F623" s="293"/>
      <c r="G623" s="293"/>
      <c r="H623" s="12"/>
      <c r="J623" s="293"/>
      <c r="K623" s="293"/>
      <c r="L623" s="293"/>
      <c r="M623" s="293"/>
      <c r="N623" s="293"/>
      <c r="O623" s="4"/>
    </row>
    <row r="624" spans="1:15" s="13" customFormat="1" ht="18" customHeight="1">
      <c r="A624" s="451"/>
      <c r="B624" s="3"/>
      <c r="C624" s="7"/>
      <c r="D624" s="16"/>
      <c r="E624" s="4"/>
      <c r="F624" s="4"/>
      <c r="G624" s="4"/>
      <c r="H624" s="3"/>
      <c r="J624" s="293"/>
      <c r="K624" s="293"/>
      <c r="L624" s="293"/>
      <c r="M624" s="293"/>
      <c r="N624" s="293"/>
      <c r="O624" s="4"/>
    </row>
    <row r="625" spans="1:15" s="13" customFormat="1" ht="18" customHeight="1">
      <c r="A625" s="451"/>
      <c r="B625" s="3"/>
      <c r="C625" s="7"/>
      <c r="D625" s="16"/>
      <c r="E625" s="4"/>
      <c r="F625" s="4"/>
      <c r="G625" s="4"/>
      <c r="H625" s="3"/>
      <c r="J625" s="293"/>
      <c r="K625" s="293"/>
      <c r="L625" s="293"/>
      <c r="M625" s="293"/>
      <c r="N625" s="293"/>
      <c r="O625" s="4"/>
    </row>
    <row r="626" spans="1:15" s="13" customFormat="1" ht="18" customHeight="1">
      <c r="A626" s="451"/>
      <c r="B626" s="3"/>
      <c r="C626" s="7"/>
      <c r="D626" s="16"/>
      <c r="E626" s="4"/>
      <c r="F626" s="4"/>
      <c r="G626" s="4"/>
      <c r="H626" s="3"/>
      <c r="J626" s="293"/>
      <c r="K626" s="293"/>
      <c r="L626" s="293"/>
      <c r="M626" s="293"/>
      <c r="N626" s="293"/>
      <c r="O626" s="4"/>
    </row>
    <row r="627" spans="1:15" s="13" customFormat="1" ht="18" customHeight="1">
      <c r="A627" s="451"/>
      <c r="B627" s="3"/>
      <c r="C627" s="7"/>
      <c r="D627" s="16"/>
      <c r="E627" s="4"/>
      <c r="F627" s="4"/>
      <c r="G627" s="4"/>
      <c r="H627" s="3"/>
      <c r="J627" s="293"/>
      <c r="K627" s="293"/>
      <c r="L627" s="293"/>
      <c r="M627" s="293"/>
      <c r="N627" s="293"/>
      <c r="O627" s="4"/>
    </row>
    <row r="628" spans="1:15" s="13" customFormat="1" ht="18" customHeight="1">
      <c r="A628" s="451"/>
      <c r="B628" s="3"/>
      <c r="C628" s="7"/>
      <c r="D628" s="16"/>
      <c r="E628" s="4"/>
      <c r="F628" s="4"/>
      <c r="G628" s="4"/>
      <c r="H628" s="3"/>
      <c r="J628" s="293"/>
      <c r="K628" s="293"/>
      <c r="L628" s="293"/>
      <c r="M628" s="293"/>
      <c r="N628" s="293"/>
      <c r="O628" s="4"/>
    </row>
    <row r="629" spans="1:15" s="13" customFormat="1" ht="18" customHeight="1">
      <c r="A629" s="451"/>
      <c r="B629" s="3"/>
      <c r="C629" s="7"/>
      <c r="D629" s="16"/>
      <c r="E629" s="4"/>
      <c r="F629" s="4"/>
      <c r="G629" s="4"/>
      <c r="H629" s="3"/>
      <c r="J629" s="293"/>
      <c r="K629" s="293"/>
      <c r="L629" s="293"/>
      <c r="M629" s="293"/>
      <c r="N629" s="293"/>
      <c r="O629" s="4"/>
    </row>
    <row r="630" spans="1:15" s="13" customFormat="1" ht="18" customHeight="1">
      <c r="A630" s="451"/>
      <c r="B630" s="3"/>
      <c r="C630" s="7"/>
      <c r="D630" s="16"/>
      <c r="E630" s="4"/>
      <c r="F630" s="4"/>
      <c r="G630" s="4"/>
      <c r="H630" s="3"/>
      <c r="J630" s="293"/>
      <c r="K630" s="293"/>
      <c r="L630" s="293"/>
      <c r="M630" s="293"/>
      <c r="N630" s="293"/>
      <c r="O630" s="4"/>
    </row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spans="4:8" ht="18" customHeight="1">
      <c r="D643" s="11"/>
      <c r="E643" s="293"/>
      <c r="F643" s="293"/>
      <c r="G643" s="293"/>
      <c r="H643" s="12"/>
    </row>
    <row r="644" spans="4:8" ht="18" customHeight="1">
      <c r="D644" s="11"/>
      <c r="E644" s="293"/>
      <c r="F644" s="293"/>
      <c r="G644" s="293"/>
      <c r="H644" s="12"/>
    </row>
    <row r="645" spans="4:8" ht="18" customHeight="1">
      <c r="D645" s="11"/>
      <c r="E645" s="293"/>
      <c r="F645" s="293"/>
      <c r="G645" s="293"/>
      <c r="H645" s="12"/>
    </row>
    <row r="646" spans="4:14" ht="18" customHeight="1">
      <c r="D646" s="17"/>
      <c r="E646" s="12"/>
      <c r="F646" s="12"/>
      <c r="G646" s="12"/>
      <c r="H646" s="12"/>
      <c r="I646" s="15"/>
      <c r="J646" s="12"/>
      <c r="K646" s="12"/>
      <c r="L646" s="12"/>
      <c r="M646" s="12"/>
      <c r="N646" s="12"/>
    </row>
    <row r="647" spans="4:14" ht="18" customHeight="1">
      <c r="D647" s="17"/>
      <c r="E647" s="12"/>
      <c r="F647" s="12"/>
      <c r="G647" s="12"/>
      <c r="H647" s="12"/>
      <c r="I647" s="15"/>
      <c r="J647" s="12"/>
      <c r="K647" s="12"/>
      <c r="L647" s="12"/>
      <c r="M647" s="12"/>
      <c r="N647" s="12"/>
    </row>
    <row r="648" spans="4:14" ht="18" customHeight="1">
      <c r="D648" s="17"/>
      <c r="E648" s="12"/>
      <c r="F648" s="12"/>
      <c r="G648" s="12"/>
      <c r="H648" s="12"/>
      <c r="I648" s="15"/>
      <c r="J648" s="12"/>
      <c r="K648" s="12"/>
      <c r="L648" s="12"/>
      <c r="M648" s="12"/>
      <c r="N648" s="12"/>
    </row>
    <row r="649" spans="4:14" ht="18" customHeight="1">
      <c r="D649" s="17"/>
      <c r="E649" s="12"/>
      <c r="F649" s="12"/>
      <c r="G649" s="12"/>
      <c r="H649" s="12"/>
      <c r="I649" s="15"/>
      <c r="J649" s="12"/>
      <c r="K649" s="12"/>
      <c r="L649" s="12"/>
      <c r="M649" s="12"/>
      <c r="N649" s="12"/>
    </row>
    <row r="650" spans="4:8" ht="18" customHeight="1">
      <c r="D650" s="11"/>
      <c r="E650" s="293"/>
      <c r="F650" s="293"/>
      <c r="G650" s="293"/>
      <c r="H650" s="12"/>
    </row>
    <row r="651" spans="4:8" ht="18" customHeight="1">
      <c r="D651" s="11"/>
      <c r="E651" s="293"/>
      <c r="F651" s="293"/>
      <c r="G651" s="293"/>
      <c r="H651" s="12"/>
    </row>
    <row r="652" spans="4:8" ht="18" customHeight="1">
      <c r="D652" s="11"/>
      <c r="E652" s="293"/>
      <c r="F652" s="293"/>
      <c r="G652" s="293"/>
      <c r="H652" s="12"/>
    </row>
    <row r="653" spans="4:8" ht="18" customHeight="1">
      <c r="D653" s="11"/>
      <c r="E653" s="293"/>
      <c r="F653" s="293"/>
      <c r="G653" s="293"/>
      <c r="H653" s="12"/>
    </row>
    <row r="654" spans="4:8" ht="18" customHeight="1">
      <c r="D654" s="11"/>
      <c r="E654" s="293"/>
      <c r="F654" s="293"/>
      <c r="G654" s="293"/>
      <c r="H654" s="12"/>
    </row>
    <row r="655" spans="4:8" ht="18" customHeight="1">
      <c r="D655" s="14"/>
      <c r="E655" s="293"/>
      <c r="F655" s="293"/>
      <c r="G655" s="293"/>
      <c r="H655" s="12"/>
    </row>
    <row r="656" spans="4:8" ht="18" customHeight="1">
      <c r="D656" s="14"/>
      <c r="E656" s="293"/>
      <c r="F656" s="293"/>
      <c r="G656" s="293"/>
      <c r="H656" s="12"/>
    </row>
    <row r="657" spans="1:14" s="5" customFormat="1" ht="18" customHeight="1">
      <c r="A657" s="451"/>
      <c r="B657" s="3"/>
      <c r="C657" s="7"/>
      <c r="D657" s="18"/>
      <c r="E657" s="4"/>
      <c r="F657" s="4"/>
      <c r="G657" s="4"/>
      <c r="H657" s="3"/>
      <c r="I657" s="13"/>
      <c r="J657" s="293"/>
      <c r="K657" s="293"/>
      <c r="L657" s="293"/>
      <c r="M657" s="293"/>
      <c r="N657" s="293"/>
    </row>
    <row r="658" spans="1:14" s="5" customFormat="1" ht="18" customHeight="1">
      <c r="A658" s="451"/>
      <c r="B658" s="3"/>
      <c r="C658" s="7"/>
      <c r="D658" s="18"/>
      <c r="E658" s="4"/>
      <c r="F658" s="4"/>
      <c r="G658" s="4"/>
      <c r="H658" s="3"/>
      <c r="I658" s="13"/>
      <c r="J658" s="293"/>
      <c r="K658" s="293"/>
      <c r="L658" s="293"/>
      <c r="M658" s="293"/>
      <c r="N658" s="293"/>
    </row>
    <row r="659" spans="1:14" s="5" customFormat="1" ht="18" customHeight="1">
      <c r="A659" s="451"/>
      <c r="B659" s="3"/>
      <c r="C659" s="7"/>
      <c r="D659" s="14"/>
      <c r="E659" s="293"/>
      <c r="F659" s="293"/>
      <c r="G659" s="293"/>
      <c r="H659" s="12"/>
      <c r="I659" s="13"/>
      <c r="J659" s="293"/>
      <c r="K659" s="293"/>
      <c r="L659" s="293"/>
      <c r="M659" s="293"/>
      <c r="N659" s="293"/>
    </row>
    <row r="660" spans="1:14" s="5" customFormat="1" ht="18" customHeight="1">
      <c r="A660" s="451"/>
      <c r="B660" s="3"/>
      <c r="C660" s="7"/>
      <c r="D660" s="14"/>
      <c r="E660" s="293"/>
      <c r="F660" s="293"/>
      <c r="G660" s="293"/>
      <c r="H660" s="12"/>
      <c r="I660" s="13"/>
      <c r="J660" s="293"/>
      <c r="K660" s="293"/>
      <c r="L660" s="293"/>
      <c r="M660" s="293"/>
      <c r="N660" s="293"/>
    </row>
    <row r="661" spans="1:14" s="5" customFormat="1" ht="18" customHeight="1">
      <c r="A661" s="451"/>
      <c r="B661" s="3"/>
      <c r="C661" s="7"/>
      <c r="D661" s="14"/>
      <c r="E661" s="293"/>
      <c r="F661" s="293"/>
      <c r="G661" s="293"/>
      <c r="H661" s="12"/>
      <c r="I661" s="13"/>
      <c r="J661" s="293"/>
      <c r="K661" s="293"/>
      <c r="L661" s="293"/>
      <c r="M661" s="293"/>
      <c r="N661" s="293"/>
    </row>
    <row r="662" spans="1:14" s="5" customFormat="1" ht="18" customHeight="1">
      <c r="A662" s="451"/>
      <c r="B662" s="3"/>
      <c r="C662" s="7"/>
      <c r="D662" s="14"/>
      <c r="E662" s="293"/>
      <c r="F662" s="293"/>
      <c r="G662" s="293"/>
      <c r="H662" s="12"/>
      <c r="I662" s="13"/>
      <c r="J662" s="293"/>
      <c r="K662" s="293"/>
      <c r="L662" s="293"/>
      <c r="M662" s="293"/>
      <c r="N662" s="293"/>
    </row>
    <row r="663" spans="1:14" s="5" customFormat="1" ht="18" customHeight="1">
      <c r="A663" s="451"/>
      <c r="B663" s="3"/>
      <c r="C663" s="7"/>
      <c r="D663" s="14"/>
      <c r="E663" s="293"/>
      <c r="F663" s="293"/>
      <c r="G663" s="293"/>
      <c r="H663" s="12"/>
      <c r="I663" s="13"/>
      <c r="J663" s="293"/>
      <c r="K663" s="293"/>
      <c r="L663" s="293"/>
      <c r="M663" s="293"/>
      <c r="N663" s="293"/>
    </row>
    <row r="664" spans="4:8" ht="18" customHeight="1">
      <c r="D664" s="11"/>
      <c r="E664" s="293"/>
      <c r="F664" s="293"/>
      <c r="G664" s="293"/>
      <c r="H664" s="12"/>
    </row>
    <row r="665" spans="4:8" ht="18" customHeight="1">
      <c r="D665" s="11"/>
      <c r="E665" s="293"/>
      <c r="F665" s="293"/>
      <c r="G665" s="293"/>
      <c r="H665" s="12"/>
    </row>
    <row r="666" spans="4:8" ht="18" customHeight="1">
      <c r="D666" s="11"/>
      <c r="E666" s="293"/>
      <c r="F666" s="293"/>
      <c r="G666" s="293"/>
      <c r="H666" s="12"/>
    </row>
    <row r="667" spans="4:8" ht="18" customHeight="1">
      <c r="D667" s="11"/>
      <c r="E667" s="293"/>
      <c r="F667" s="293"/>
      <c r="G667" s="293"/>
      <c r="H667" s="12"/>
    </row>
    <row r="668" spans="4:8" ht="18" customHeight="1">
      <c r="D668" s="11"/>
      <c r="E668" s="293"/>
      <c r="F668" s="293"/>
      <c r="G668" s="293"/>
      <c r="H668" s="12"/>
    </row>
    <row r="669" spans="4:8" ht="18" customHeight="1">
      <c r="D669" s="11"/>
      <c r="E669" s="293"/>
      <c r="F669" s="293"/>
      <c r="G669" s="293"/>
      <c r="H669" s="12"/>
    </row>
    <row r="670" spans="4:8" ht="18" customHeight="1">
      <c r="D670" s="11"/>
      <c r="E670" s="293"/>
      <c r="F670" s="293"/>
      <c r="G670" s="293"/>
      <c r="H670" s="12"/>
    </row>
    <row r="671" spans="4:8" ht="18" customHeight="1">
      <c r="D671" s="11"/>
      <c r="E671" s="293"/>
      <c r="F671" s="293"/>
      <c r="G671" s="293"/>
      <c r="H671" s="12"/>
    </row>
    <row r="672" spans="4:8" ht="18" customHeight="1">
      <c r="D672" s="11"/>
      <c r="E672" s="293"/>
      <c r="F672" s="293"/>
      <c r="G672" s="293"/>
      <c r="H672" s="12"/>
    </row>
    <row r="673" spans="4:8" ht="18" customHeight="1">
      <c r="D673" s="11"/>
      <c r="E673" s="293"/>
      <c r="F673" s="293"/>
      <c r="G673" s="293"/>
      <c r="H673" s="12"/>
    </row>
    <row r="674" spans="4:8" ht="18" customHeight="1">
      <c r="D674" s="11"/>
      <c r="E674" s="293"/>
      <c r="F674" s="293"/>
      <c r="G674" s="293"/>
      <c r="H674" s="12"/>
    </row>
    <row r="675" spans="4:8" ht="18" customHeight="1">
      <c r="D675" s="11"/>
      <c r="E675" s="293"/>
      <c r="F675" s="293"/>
      <c r="G675" s="293"/>
      <c r="H675" s="12"/>
    </row>
    <row r="676" spans="4:8" ht="18" customHeight="1">
      <c r="D676" s="11"/>
      <c r="E676" s="293"/>
      <c r="F676" s="293"/>
      <c r="G676" s="293"/>
      <c r="H676" s="12"/>
    </row>
    <row r="677" spans="1:14" s="5" customFormat="1" ht="18" customHeight="1">
      <c r="A677" s="451"/>
      <c r="B677" s="3"/>
      <c r="C677" s="7"/>
      <c r="D677" s="14"/>
      <c r="E677" s="293"/>
      <c r="F677" s="293"/>
      <c r="G677" s="293"/>
      <c r="H677" s="12"/>
      <c r="I677" s="13"/>
      <c r="J677" s="293"/>
      <c r="K677" s="293"/>
      <c r="L677" s="293"/>
      <c r="M677" s="293"/>
      <c r="N677" s="293"/>
    </row>
    <row r="678" spans="4:8" ht="18" customHeight="1">
      <c r="D678" s="11"/>
      <c r="E678" s="293"/>
      <c r="F678" s="293"/>
      <c r="G678" s="293"/>
      <c r="H678" s="12"/>
    </row>
    <row r="679" spans="1:15" s="13" customFormat="1" ht="18" customHeight="1">
      <c r="A679" s="451"/>
      <c r="B679" s="3"/>
      <c r="C679" s="7"/>
      <c r="D679" s="11"/>
      <c r="E679" s="293"/>
      <c r="F679" s="293"/>
      <c r="G679" s="293"/>
      <c r="H679" s="12"/>
      <c r="J679" s="293"/>
      <c r="K679" s="293"/>
      <c r="L679" s="293"/>
      <c r="M679" s="293"/>
      <c r="N679" s="293"/>
      <c r="O679" s="4"/>
    </row>
    <row r="680" spans="1:15" s="13" customFormat="1" ht="18" customHeight="1">
      <c r="A680" s="451"/>
      <c r="B680" s="3"/>
      <c r="C680" s="7"/>
      <c r="D680" s="11"/>
      <c r="E680" s="293"/>
      <c r="F680" s="293"/>
      <c r="G680" s="293"/>
      <c r="H680" s="12"/>
      <c r="J680" s="293"/>
      <c r="K680" s="293"/>
      <c r="L680" s="293"/>
      <c r="M680" s="293"/>
      <c r="N680" s="293"/>
      <c r="O680" s="4"/>
    </row>
    <row r="681" spans="1:15" s="13" customFormat="1" ht="17.25">
      <c r="A681" s="451"/>
      <c r="B681" s="3"/>
      <c r="C681" s="7"/>
      <c r="D681" s="11"/>
      <c r="E681" s="293"/>
      <c r="F681" s="293"/>
      <c r="G681" s="293"/>
      <c r="H681" s="12"/>
      <c r="J681" s="293"/>
      <c r="K681" s="293"/>
      <c r="L681" s="293"/>
      <c r="M681" s="293"/>
      <c r="N681" s="293"/>
      <c r="O681" s="4"/>
    </row>
    <row r="682" spans="1:15" s="13" customFormat="1" ht="17.25">
      <c r="A682" s="451"/>
      <c r="B682" s="3"/>
      <c r="C682" s="7"/>
      <c r="D682" s="11"/>
      <c r="E682" s="293"/>
      <c r="F682" s="293"/>
      <c r="G682" s="293"/>
      <c r="H682" s="12"/>
      <c r="J682" s="293"/>
      <c r="K682" s="293"/>
      <c r="L682" s="293"/>
      <c r="M682" s="293"/>
      <c r="N682" s="293"/>
      <c r="O682" s="4"/>
    </row>
    <row r="683" spans="1:15" s="13" customFormat="1" ht="17.25">
      <c r="A683" s="451"/>
      <c r="B683" s="3"/>
      <c r="C683" s="7"/>
      <c r="D683" s="11"/>
      <c r="E683" s="293"/>
      <c r="F683" s="293"/>
      <c r="G683" s="293"/>
      <c r="H683" s="12"/>
      <c r="J683" s="293"/>
      <c r="K683" s="293"/>
      <c r="L683" s="293"/>
      <c r="M683" s="293"/>
      <c r="N683" s="293"/>
      <c r="O683" s="4"/>
    </row>
    <row r="684" spans="1:15" s="13" customFormat="1" ht="17.25">
      <c r="A684" s="451"/>
      <c r="B684" s="3"/>
      <c r="C684" s="7"/>
      <c r="D684" s="11"/>
      <c r="E684" s="293"/>
      <c r="F684" s="293"/>
      <c r="G684" s="293"/>
      <c r="H684" s="12"/>
      <c r="J684" s="293"/>
      <c r="K684" s="293"/>
      <c r="L684" s="293"/>
      <c r="M684" s="293"/>
      <c r="N684" s="293"/>
      <c r="O684" s="4"/>
    </row>
    <row r="685" spans="1:15" s="13" customFormat="1" ht="17.25">
      <c r="A685" s="451"/>
      <c r="B685" s="3"/>
      <c r="C685" s="7"/>
      <c r="D685" s="11"/>
      <c r="E685" s="293"/>
      <c r="F685" s="293"/>
      <c r="G685" s="293"/>
      <c r="H685" s="12"/>
      <c r="J685" s="293"/>
      <c r="K685" s="293"/>
      <c r="L685" s="293"/>
      <c r="M685" s="293"/>
      <c r="N685" s="293"/>
      <c r="O685" s="4"/>
    </row>
    <row r="686" spans="1:15" s="13" customFormat="1" ht="17.25">
      <c r="A686" s="451"/>
      <c r="B686" s="3"/>
      <c r="C686" s="7"/>
      <c r="D686" s="11"/>
      <c r="E686" s="293"/>
      <c r="F686" s="293"/>
      <c r="G686" s="293"/>
      <c r="H686" s="12"/>
      <c r="J686" s="293"/>
      <c r="K686" s="293"/>
      <c r="L686" s="293"/>
      <c r="M686" s="293"/>
      <c r="N686" s="293"/>
      <c r="O686" s="4"/>
    </row>
    <row r="687" spans="1:15" s="13" customFormat="1" ht="17.25">
      <c r="A687" s="451"/>
      <c r="B687" s="3"/>
      <c r="C687" s="7"/>
      <c r="D687" s="11"/>
      <c r="E687" s="293"/>
      <c r="F687" s="293"/>
      <c r="G687" s="293"/>
      <c r="H687" s="12"/>
      <c r="J687" s="293"/>
      <c r="K687" s="293"/>
      <c r="L687" s="293"/>
      <c r="M687" s="293"/>
      <c r="N687" s="293"/>
      <c r="O687" s="4"/>
    </row>
    <row r="688" spans="1:15" s="13" customFormat="1" ht="17.25">
      <c r="A688" s="451"/>
      <c r="B688" s="3"/>
      <c r="C688" s="7"/>
      <c r="D688" s="11"/>
      <c r="E688" s="293"/>
      <c r="F688" s="293"/>
      <c r="G688" s="293"/>
      <c r="H688" s="12"/>
      <c r="J688" s="293"/>
      <c r="K688" s="293"/>
      <c r="L688" s="293"/>
      <c r="M688" s="293"/>
      <c r="N688" s="293"/>
      <c r="O688" s="4"/>
    </row>
    <row r="689" spans="1:15" s="13" customFormat="1" ht="17.25">
      <c r="A689" s="451"/>
      <c r="B689" s="3"/>
      <c r="C689" s="7"/>
      <c r="D689" s="11"/>
      <c r="E689" s="293"/>
      <c r="F689" s="293"/>
      <c r="G689" s="293"/>
      <c r="H689" s="12"/>
      <c r="J689" s="293"/>
      <c r="K689" s="293"/>
      <c r="L689" s="293"/>
      <c r="M689" s="293"/>
      <c r="N689" s="293"/>
      <c r="O689" s="4"/>
    </row>
    <row r="690" spans="1:15" s="13" customFormat="1" ht="17.25">
      <c r="A690" s="451"/>
      <c r="B690" s="3"/>
      <c r="C690" s="7"/>
      <c r="D690" s="11"/>
      <c r="E690" s="293"/>
      <c r="F690" s="293"/>
      <c r="G690" s="293"/>
      <c r="H690" s="12"/>
      <c r="J690" s="293"/>
      <c r="K690" s="293"/>
      <c r="L690" s="293"/>
      <c r="M690" s="293"/>
      <c r="N690" s="293"/>
      <c r="O690" s="4"/>
    </row>
    <row r="691" spans="1:15" s="13" customFormat="1" ht="17.25">
      <c r="A691" s="451"/>
      <c r="B691" s="3"/>
      <c r="C691" s="7"/>
      <c r="D691" s="11"/>
      <c r="E691" s="293"/>
      <c r="F691" s="293"/>
      <c r="G691" s="293"/>
      <c r="H691" s="12"/>
      <c r="J691" s="293"/>
      <c r="K691" s="293"/>
      <c r="L691" s="293"/>
      <c r="M691" s="293"/>
      <c r="N691" s="293"/>
      <c r="O691" s="4"/>
    </row>
    <row r="692" spans="1:15" s="13" customFormat="1" ht="17.25">
      <c r="A692" s="451"/>
      <c r="B692" s="3"/>
      <c r="C692" s="7"/>
      <c r="D692" s="11"/>
      <c r="E692" s="293"/>
      <c r="F692" s="293"/>
      <c r="G692" s="293"/>
      <c r="H692" s="12"/>
      <c r="J692" s="293"/>
      <c r="K692" s="293"/>
      <c r="L692" s="293"/>
      <c r="M692" s="293"/>
      <c r="N692" s="293"/>
      <c r="O692" s="4"/>
    </row>
    <row r="693" spans="1:15" s="13" customFormat="1" ht="17.25">
      <c r="A693" s="451"/>
      <c r="B693" s="3"/>
      <c r="C693" s="7"/>
      <c r="D693" s="11"/>
      <c r="E693" s="293"/>
      <c r="F693" s="293"/>
      <c r="G693" s="293"/>
      <c r="H693" s="12"/>
      <c r="J693" s="293"/>
      <c r="K693" s="293"/>
      <c r="L693" s="293"/>
      <c r="M693" s="293"/>
      <c r="N693" s="293"/>
      <c r="O693" s="4"/>
    </row>
    <row r="694" spans="1:15" s="13" customFormat="1" ht="17.25">
      <c r="A694" s="451"/>
      <c r="B694" s="3"/>
      <c r="C694" s="7"/>
      <c r="D694" s="11"/>
      <c r="E694" s="293"/>
      <c r="F694" s="293"/>
      <c r="G694" s="293"/>
      <c r="H694" s="12"/>
      <c r="J694" s="293"/>
      <c r="K694" s="293"/>
      <c r="L694" s="293"/>
      <c r="M694" s="293"/>
      <c r="N694" s="293"/>
      <c r="O694" s="4"/>
    </row>
    <row r="695" spans="1:15" s="13" customFormat="1" ht="17.25">
      <c r="A695" s="451"/>
      <c r="B695" s="3"/>
      <c r="C695" s="7"/>
      <c r="D695" s="11"/>
      <c r="E695" s="293"/>
      <c r="F695" s="293"/>
      <c r="G695" s="293"/>
      <c r="H695" s="12"/>
      <c r="J695" s="293"/>
      <c r="K695" s="293"/>
      <c r="L695" s="293"/>
      <c r="M695" s="293"/>
      <c r="N695" s="293"/>
      <c r="O695" s="4"/>
    </row>
    <row r="696" spans="1:15" s="13" customFormat="1" ht="17.25">
      <c r="A696" s="451"/>
      <c r="B696" s="3"/>
      <c r="C696" s="7"/>
      <c r="D696" s="11"/>
      <c r="E696" s="293"/>
      <c r="F696" s="293"/>
      <c r="G696" s="293"/>
      <c r="H696" s="12"/>
      <c r="J696" s="293"/>
      <c r="K696" s="293"/>
      <c r="L696" s="293"/>
      <c r="M696" s="293"/>
      <c r="N696" s="293"/>
      <c r="O696" s="4"/>
    </row>
    <row r="697" spans="1:15" s="13" customFormat="1" ht="17.25">
      <c r="A697" s="451"/>
      <c r="B697" s="3"/>
      <c r="C697" s="7"/>
      <c r="D697" s="11"/>
      <c r="E697" s="293"/>
      <c r="F697" s="293"/>
      <c r="G697" s="293"/>
      <c r="H697" s="12"/>
      <c r="J697" s="293"/>
      <c r="K697" s="293"/>
      <c r="L697" s="293"/>
      <c r="M697" s="293"/>
      <c r="N697" s="293"/>
      <c r="O697" s="4"/>
    </row>
    <row r="698" spans="1:15" s="13" customFormat="1" ht="17.25">
      <c r="A698" s="451"/>
      <c r="B698" s="3"/>
      <c r="C698" s="7"/>
      <c r="D698" s="11"/>
      <c r="E698" s="293"/>
      <c r="F698" s="293"/>
      <c r="G698" s="293"/>
      <c r="H698" s="12"/>
      <c r="J698" s="293"/>
      <c r="K698" s="293"/>
      <c r="L698" s="293"/>
      <c r="M698" s="293"/>
      <c r="N698" s="293"/>
      <c r="O698" s="4"/>
    </row>
    <row r="699" spans="1:15" s="13" customFormat="1" ht="17.25">
      <c r="A699" s="451"/>
      <c r="B699" s="3"/>
      <c r="C699" s="7"/>
      <c r="D699" s="11"/>
      <c r="E699" s="293"/>
      <c r="F699" s="293"/>
      <c r="G699" s="293"/>
      <c r="H699" s="12"/>
      <c r="J699" s="293"/>
      <c r="K699" s="293"/>
      <c r="L699" s="293"/>
      <c r="M699" s="293"/>
      <c r="N699" s="293"/>
      <c r="O699" s="4"/>
    </row>
    <row r="700" spans="1:15" s="13" customFormat="1" ht="17.25">
      <c r="A700" s="451"/>
      <c r="B700" s="3"/>
      <c r="C700" s="7"/>
      <c r="D700" s="11"/>
      <c r="E700" s="293"/>
      <c r="F700" s="293"/>
      <c r="G700" s="293"/>
      <c r="H700" s="12"/>
      <c r="J700" s="293"/>
      <c r="K700" s="293"/>
      <c r="L700" s="293"/>
      <c r="M700" s="293"/>
      <c r="N700" s="293"/>
      <c r="O700" s="4"/>
    </row>
    <row r="701" spans="1:15" s="13" customFormat="1" ht="17.25">
      <c r="A701" s="451"/>
      <c r="B701" s="3"/>
      <c r="C701" s="7"/>
      <c r="D701" s="11"/>
      <c r="E701" s="293"/>
      <c r="F701" s="293"/>
      <c r="G701" s="293"/>
      <c r="H701" s="12"/>
      <c r="J701" s="293"/>
      <c r="K701" s="293"/>
      <c r="L701" s="293"/>
      <c r="M701" s="293"/>
      <c r="N701" s="293"/>
      <c r="O701" s="4"/>
    </row>
    <row r="702" spans="1:15" s="13" customFormat="1" ht="17.25">
      <c r="A702" s="451"/>
      <c r="B702" s="3"/>
      <c r="C702" s="7"/>
      <c r="D702" s="11"/>
      <c r="E702" s="293"/>
      <c r="F702" s="293"/>
      <c r="G702" s="293"/>
      <c r="H702" s="12"/>
      <c r="J702" s="293"/>
      <c r="K702" s="293"/>
      <c r="L702" s="293"/>
      <c r="M702" s="293"/>
      <c r="N702" s="293"/>
      <c r="O702" s="4"/>
    </row>
    <row r="703" spans="1:15" s="13" customFormat="1" ht="17.25">
      <c r="A703" s="451"/>
      <c r="B703" s="3"/>
      <c r="C703" s="7"/>
      <c r="D703" s="11"/>
      <c r="E703" s="293"/>
      <c r="F703" s="293"/>
      <c r="G703" s="293"/>
      <c r="H703" s="12"/>
      <c r="J703" s="293"/>
      <c r="K703" s="293"/>
      <c r="L703" s="293"/>
      <c r="M703" s="293"/>
      <c r="N703" s="293"/>
      <c r="O703" s="4"/>
    </row>
    <row r="704" spans="1:15" s="13" customFormat="1" ht="17.25">
      <c r="A704" s="451"/>
      <c r="B704" s="3"/>
      <c r="C704" s="7"/>
      <c r="D704" s="11"/>
      <c r="E704" s="293"/>
      <c r="F704" s="293"/>
      <c r="G704" s="293"/>
      <c r="H704" s="12"/>
      <c r="J704" s="293"/>
      <c r="K704" s="293"/>
      <c r="L704" s="293"/>
      <c r="M704" s="293"/>
      <c r="N704" s="293"/>
      <c r="O704" s="4"/>
    </row>
    <row r="705" spans="1:15" s="13" customFormat="1" ht="17.25">
      <c r="A705" s="451"/>
      <c r="B705" s="3"/>
      <c r="C705" s="7"/>
      <c r="D705" s="11"/>
      <c r="E705" s="293"/>
      <c r="F705" s="293"/>
      <c r="G705" s="293"/>
      <c r="H705" s="12"/>
      <c r="J705" s="293"/>
      <c r="K705" s="293"/>
      <c r="L705" s="293"/>
      <c r="M705" s="293"/>
      <c r="N705" s="293"/>
      <c r="O705" s="4"/>
    </row>
    <row r="706" spans="1:15" s="13" customFormat="1" ht="17.25">
      <c r="A706" s="451"/>
      <c r="B706" s="3"/>
      <c r="C706" s="7"/>
      <c r="D706" s="11"/>
      <c r="E706" s="293"/>
      <c r="F706" s="293"/>
      <c r="G706" s="293"/>
      <c r="H706" s="12"/>
      <c r="J706" s="293"/>
      <c r="K706" s="293"/>
      <c r="L706" s="293"/>
      <c r="M706" s="293"/>
      <c r="N706" s="293"/>
      <c r="O706" s="4"/>
    </row>
    <row r="707" spans="1:15" s="13" customFormat="1" ht="17.25">
      <c r="A707" s="451"/>
      <c r="B707" s="3"/>
      <c r="C707" s="7"/>
      <c r="D707" s="11"/>
      <c r="E707" s="293"/>
      <c r="F707" s="293"/>
      <c r="G707" s="293"/>
      <c r="H707" s="12"/>
      <c r="J707" s="293"/>
      <c r="K707" s="293"/>
      <c r="L707" s="293"/>
      <c r="M707" s="293"/>
      <c r="N707" s="293"/>
      <c r="O707" s="4"/>
    </row>
    <row r="708" spans="1:15" s="13" customFormat="1" ht="17.25">
      <c r="A708" s="451"/>
      <c r="B708" s="3"/>
      <c r="C708" s="7"/>
      <c r="D708" s="11"/>
      <c r="E708" s="293"/>
      <c r="F708" s="293"/>
      <c r="G708" s="293"/>
      <c r="H708" s="12"/>
      <c r="J708" s="293"/>
      <c r="K708" s="293"/>
      <c r="L708" s="293"/>
      <c r="M708" s="293"/>
      <c r="N708" s="293"/>
      <c r="O708" s="4"/>
    </row>
    <row r="709" spans="1:15" s="13" customFormat="1" ht="17.25">
      <c r="A709" s="451"/>
      <c r="B709" s="3"/>
      <c r="C709" s="7"/>
      <c r="D709" s="11"/>
      <c r="E709" s="293"/>
      <c r="F709" s="293"/>
      <c r="G709" s="293"/>
      <c r="H709" s="12"/>
      <c r="J709" s="293"/>
      <c r="K709" s="293"/>
      <c r="L709" s="293"/>
      <c r="M709" s="293"/>
      <c r="N709" s="293"/>
      <c r="O709" s="4"/>
    </row>
    <row r="710" spans="1:15" s="13" customFormat="1" ht="17.25">
      <c r="A710" s="451"/>
      <c r="B710" s="3"/>
      <c r="C710" s="7"/>
      <c r="D710" s="11"/>
      <c r="E710" s="293"/>
      <c r="F710" s="293"/>
      <c r="G710" s="293"/>
      <c r="H710" s="12"/>
      <c r="J710" s="293"/>
      <c r="K710" s="293"/>
      <c r="L710" s="293"/>
      <c r="M710" s="293"/>
      <c r="N710" s="293"/>
      <c r="O710" s="4"/>
    </row>
    <row r="711" spans="1:15" s="13" customFormat="1" ht="17.25">
      <c r="A711" s="451"/>
      <c r="B711" s="3"/>
      <c r="C711" s="7"/>
      <c r="D711" s="11"/>
      <c r="E711" s="293"/>
      <c r="F711" s="293"/>
      <c r="G711" s="293"/>
      <c r="H711" s="12"/>
      <c r="J711" s="293"/>
      <c r="K711" s="293"/>
      <c r="L711" s="293"/>
      <c r="M711" s="293"/>
      <c r="N711" s="293"/>
      <c r="O711" s="4"/>
    </row>
    <row r="712" spans="1:15" s="13" customFormat="1" ht="17.25">
      <c r="A712" s="451"/>
      <c r="B712" s="3"/>
      <c r="C712" s="7"/>
      <c r="D712" s="11"/>
      <c r="E712" s="293"/>
      <c r="F712" s="293"/>
      <c r="G712" s="293"/>
      <c r="H712" s="12"/>
      <c r="J712" s="293"/>
      <c r="K712" s="293"/>
      <c r="L712" s="293"/>
      <c r="M712" s="293"/>
      <c r="N712" s="293"/>
      <c r="O712" s="4"/>
    </row>
    <row r="713" spans="1:15" s="13" customFormat="1" ht="17.25">
      <c r="A713" s="451"/>
      <c r="B713" s="3"/>
      <c r="C713" s="7"/>
      <c r="D713" s="11"/>
      <c r="E713" s="293"/>
      <c r="F713" s="293"/>
      <c r="G713" s="293"/>
      <c r="H713" s="12"/>
      <c r="J713" s="293"/>
      <c r="K713" s="293"/>
      <c r="L713" s="293"/>
      <c r="M713" s="293"/>
      <c r="N713" s="293"/>
      <c r="O713" s="4"/>
    </row>
    <row r="714" spans="1:15" s="13" customFormat="1" ht="17.25">
      <c r="A714" s="451"/>
      <c r="B714" s="3"/>
      <c r="C714" s="7"/>
      <c r="D714" s="11"/>
      <c r="E714" s="293"/>
      <c r="F714" s="293"/>
      <c r="G714" s="293"/>
      <c r="H714" s="12"/>
      <c r="J714" s="293"/>
      <c r="K714" s="293"/>
      <c r="L714" s="293"/>
      <c r="M714" s="293"/>
      <c r="N714" s="293"/>
      <c r="O714" s="4"/>
    </row>
    <row r="715" spans="1:15" s="13" customFormat="1" ht="17.25">
      <c r="A715" s="451"/>
      <c r="B715" s="3"/>
      <c r="C715" s="7"/>
      <c r="D715" s="11"/>
      <c r="E715" s="293"/>
      <c r="F715" s="293"/>
      <c r="G715" s="293"/>
      <c r="H715" s="12"/>
      <c r="J715" s="293"/>
      <c r="K715" s="293"/>
      <c r="L715" s="293"/>
      <c r="M715" s="293"/>
      <c r="N715" s="293"/>
      <c r="O715" s="4"/>
    </row>
    <row r="716" spans="1:15" s="13" customFormat="1" ht="17.25">
      <c r="A716" s="451"/>
      <c r="B716" s="3"/>
      <c r="C716" s="7"/>
      <c r="D716" s="11"/>
      <c r="E716" s="293"/>
      <c r="F716" s="293"/>
      <c r="G716" s="293"/>
      <c r="H716" s="12"/>
      <c r="J716" s="293"/>
      <c r="K716" s="293"/>
      <c r="L716" s="293"/>
      <c r="M716" s="293"/>
      <c r="N716" s="293"/>
      <c r="O716" s="4"/>
    </row>
    <row r="717" spans="1:15" s="13" customFormat="1" ht="17.25">
      <c r="A717" s="451"/>
      <c r="B717" s="3"/>
      <c r="C717" s="7"/>
      <c r="D717" s="11"/>
      <c r="E717" s="293"/>
      <c r="F717" s="293"/>
      <c r="G717" s="293"/>
      <c r="H717" s="12"/>
      <c r="J717" s="293"/>
      <c r="K717" s="293"/>
      <c r="L717" s="293"/>
      <c r="M717" s="293"/>
      <c r="N717" s="293"/>
      <c r="O717" s="4"/>
    </row>
    <row r="718" spans="1:15" s="13" customFormat="1" ht="17.25">
      <c r="A718" s="451"/>
      <c r="B718" s="3"/>
      <c r="C718" s="7"/>
      <c r="D718" s="11"/>
      <c r="E718" s="293"/>
      <c r="F718" s="293"/>
      <c r="G718" s="293"/>
      <c r="H718" s="12"/>
      <c r="J718" s="293"/>
      <c r="K718" s="293"/>
      <c r="L718" s="293"/>
      <c r="M718" s="293"/>
      <c r="N718" s="293"/>
      <c r="O718" s="4"/>
    </row>
    <row r="719" spans="1:15" s="13" customFormat="1" ht="17.25">
      <c r="A719" s="451"/>
      <c r="B719" s="3"/>
      <c r="C719" s="7"/>
      <c r="D719" s="11"/>
      <c r="E719" s="293"/>
      <c r="F719" s="293"/>
      <c r="G719" s="293"/>
      <c r="H719" s="12"/>
      <c r="J719" s="293"/>
      <c r="K719" s="293"/>
      <c r="L719" s="293"/>
      <c r="M719" s="293"/>
      <c r="N719" s="293"/>
      <c r="O719" s="4"/>
    </row>
    <row r="720" spans="1:15" s="13" customFormat="1" ht="17.25">
      <c r="A720" s="451"/>
      <c r="B720" s="3"/>
      <c r="C720" s="7"/>
      <c r="D720" s="11"/>
      <c r="E720" s="293"/>
      <c r="F720" s="293"/>
      <c r="G720" s="293"/>
      <c r="H720" s="12"/>
      <c r="J720" s="293"/>
      <c r="K720" s="293"/>
      <c r="L720" s="293"/>
      <c r="M720" s="293"/>
      <c r="N720" s="293"/>
      <c r="O720" s="4"/>
    </row>
    <row r="721" spans="1:15" s="13" customFormat="1" ht="17.25">
      <c r="A721" s="451"/>
      <c r="B721" s="3"/>
      <c r="C721" s="7"/>
      <c r="D721" s="11"/>
      <c r="E721" s="293"/>
      <c r="F721" s="293"/>
      <c r="G721" s="293"/>
      <c r="H721" s="12"/>
      <c r="J721" s="293"/>
      <c r="K721" s="293"/>
      <c r="L721" s="293"/>
      <c r="M721" s="293"/>
      <c r="N721" s="293"/>
      <c r="O721" s="4"/>
    </row>
    <row r="722" spans="1:15" s="13" customFormat="1" ht="17.25">
      <c r="A722" s="451"/>
      <c r="B722" s="3"/>
      <c r="C722" s="7"/>
      <c r="D722" s="16"/>
      <c r="E722" s="4"/>
      <c r="F722" s="4"/>
      <c r="G722" s="4"/>
      <c r="H722" s="3"/>
      <c r="J722" s="293"/>
      <c r="K722" s="293"/>
      <c r="L722" s="293"/>
      <c r="M722" s="293"/>
      <c r="N722" s="293"/>
      <c r="O722" s="4"/>
    </row>
    <row r="723" spans="1:15" s="13" customFormat="1" ht="17.25">
      <c r="A723" s="451"/>
      <c r="B723" s="3"/>
      <c r="C723" s="7"/>
      <c r="D723" s="16"/>
      <c r="E723" s="4"/>
      <c r="F723" s="4"/>
      <c r="G723" s="4"/>
      <c r="H723" s="3"/>
      <c r="J723" s="293"/>
      <c r="K723" s="293"/>
      <c r="L723" s="293"/>
      <c r="M723" s="293"/>
      <c r="N723" s="293"/>
      <c r="O723" s="4"/>
    </row>
    <row r="724" spans="1:15" s="13" customFormat="1" ht="17.25">
      <c r="A724" s="451"/>
      <c r="B724" s="3"/>
      <c r="C724" s="7"/>
      <c r="D724" s="16"/>
      <c r="E724" s="4"/>
      <c r="F724" s="4"/>
      <c r="G724" s="4"/>
      <c r="H724" s="3"/>
      <c r="J724" s="293"/>
      <c r="K724" s="293"/>
      <c r="L724" s="293"/>
      <c r="M724" s="293"/>
      <c r="N724" s="293"/>
      <c r="O724" s="4"/>
    </row>
    <row r="725" spans="1:15" s="13" customFormat="1" ht="17.25">
      <c r="A725" s="451"/>
      <c r="B725" s="3"/>
      <c r="C725" s="7"/>
      <c r="D725" s="16"/>
      <c r="E725" s="4"/>
      <c r="F725" s="4"/>
      <c r="G725" s="4"/>
      <c r="H725" s="3"/>
      <c r="J725" s="293"/>
      <c r="K725" s="293"/>
      <c r="L725" s="293"/>
      <c r="M725" s="293"/>
      <c r="N725" s="293"/>
      <c r="O725" s="4"/>
    </row>
    <row r="726" spans="1:15" s="13" customFormat="1" ht="17.25">
      <c r="A726" s="451"/>
      <c r="B726" s="3"/>
      <c r="C726" s="7"/>
      <c r="D726" s="16"/>
      <c r="E726" s="4"/>
      <c r="F726" s="4"/>
      <c r="G726" s="4"/>
      <c r="H726" s="3"/>
      <c r="J726" s="293"/>
      <c r="K726" s="293"/>
      <c r="L726" s="293"/>
      <c r="M726" s="293"/>
      <c r="N726" s="293"/>
      <c r="O726" s="4"/>
    </row>
    <row r="727" spans="1:15" s="13" customFormat="1" ht="17.25">
      <c r="A727" s="451"/>
      <c r="B727" s="3"/>
      <c r="C727" s="7"/>
      <c r="D727" s="16"/>
      <c r="E727" s="4"/>
      <c r="F727" s="4"/>
      <c r="G727" s="4"/>
      <c r="H727" s="3"/>
      <c r="J727" s="293"/>
      <c r="K727" s="293"/>
      <c r="L727" s="293"/>
      <c r="M727" s="293"/>
      <c r="N727" s="293"/>
      <c r="O727" s="4"/>
    </row>
    <row r="728" spans="1:15" s="13" customFormat="1" ht="17.25">
      <c r="A728" s="451"/>
      <c r="B728" s="3"/>
      <c r="C728" s="7"/>
      <c r="D728" s="16"/>
      <c r="E728" s="4"/>
      <c r="F728" s="4"/>
      <c r="G728" s="4"/>
      <c r="H728" s="3"/>
      <c r="J728" s="293"/>
      <c r="K728" s="293"/>
      <c r="L728" s="293"/>
      <c r="M728" s="293"/>
      <c r="N728" s="293"/>
      <c r="O728" s="4"/>
    </row>
    <row r="729" spans="1:15" s="13" customFormat="1" ht="17.25">
      <c r="A729" s="451"/>
      <c r="B729" s="3"/>
      <c r="C729" s="7"/>
      <c r="D729" s="16"/>
      <c r="E729" s="4"/>
      <c r="F729" s="4"/>
      <c r="G729" s="4"/>
      <c r="H729" s="3"/>
      <c r="J729" s="293"/>
      <c r="K729" s="293"/>
      <c r="L729" s="293"/>
      <c r="M729" s="293"/>
      <c r="N729" s="293"/>
      <c r="O729" s="4"/>
    </row>
    <row r="730" spans="1:15" s="13" customFormat="1" ht="17.25">
      <c r="A730" s="451"/>
      <c r="B730" s="3"/>
      <c r="C730" s="7"/>
      <c r="D730" s="16"/>
      <c r="E730" s="4"/>
      <c r="F730" s="4"/>
      <c r="G730" s="4"/>
      <c r="H730" s="3"/>
      <c r="J730" s="293"/>
      <c r="K730" s="293"/>
      <c r="L730" s="293"/>
      <c r="M730" s="293"/>
      <c r="N730" s="293"/>
      <c r="O730" s="4"/>
    </row>
    <row r="731" spans="1:15" s="13" customFormat="1" ht="17.25">
      <c r="A731" s="451"/>
      <c r="B731" s="3"/>
      <c r="C731" s="7"/>
      <c r="D731" s="16"/>
      <c r="E731" s="4"/>
      <c r="F731" s="4"/>
      <c r="G731" s="4"/>
      <c r="H731" s="3"/>
      <c r="J731" s="293"/>
      <c r="K731" s="293"/>
      <c r="L731" s="293"/>
      <c r="M731" s="293"/>
      <c r="N731" s="293"/>
      <c r="O731" s="4"/>
    </row>
  </sheetData>
  <sheetProtection/>
  <mergeCells count="29">
    <mergeCell ref="B611:D611"/>
    <mergeCell ref="I7:I8"/>
    <mergeCell ref="J7:N7"/>
    <mergeCell ref="E7:E8"/>
    <mergeCell ref="B7:B8"/>
    <mergeCell ref="C7:C8"/>
    <mergeCell ref="G7:G8"/>
    <mergeCell ref="D7:D8"/>
    <mergeCell ref="F7:F8"/>
    <mergeCell ref="D597:G597"/>
    <mergeCell ref="H7:H8"/>
    <mergeCell ref="D601:G601"/>
    <mergeCell ref="D602:G602"/>
    <mergeCell ref="D605:G605"/>
    <mergeCell ref="D606:G606"/>
    <mergeCell ref="B609:D609"/>
    <mergeCell ref="B1:M1"/>
    <mergeCell ref="D600:G600"/>
    <mergeCell ref="D604:G604"/>
    <mergeCell ref="D608:G608"/>
    <mergeCell ref="D598:G598"/>
    <mergeCell ref="B2:D2"/>
    <mergeCell ref="G2:I2"/>
    <mergeCell ref="B3:N3"/>
    <mergeCell ref="B4:N4"/>
    <mergeCell ref="M5:N5"/>
    <mergeCell ref="D603:G603"/>
    <mergeCell ref="D599:G599"/>
    <mergeCell ref="D607:G60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4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SheetLayoutView="100" zoomScalePageLayoutView="0" workbookViewId="0" topLeftCell="A1">
      <selection activeCell="E21" sqref="E21"/>
    </sheetView>
  </sheetViews>
  <sheetFormatPr defaultColWidth="9.125" defaultRowHeight="12.75"/>
  <cols>
    <col min="1" max="1" width="3.75390625" style="476" customWidth="1"/>
    <col min="2" max="2" width="79.875" style="205" bestFit="1" customWidth="1"/>
    <col min="3" max="3" width="12.75390625" style="205" customWidth="1"/>
    <col min="4" max="4" width="9.125" style="205" customWidth="1"/>
    <col min="5" max="5" width="90.375" style="205" customWidth="1"/>
    <col min="6" max="16384" width="9.125" style="205" customWidth="1"/>
  </cols>
  <sheetData>
    <row r="1" spans="2:13" ht="17.25">
      <c r="B1" s="1060" t="s">
        <v>959</v>
      </c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</row>
    <row r="2" spans="1:3" s="365" customFormat="1" ht="16.5">
      <c r="A2" s="734"/>
      <c r="B2" s="735"/>
      <c r="C2" s="736"/>
    </row>
    <row r="3" spans="1:3" ht="19.5" customHeight="1">
      <c r="A3" s="734"/>
      <c r="B3" s="1951" t="s">
        <v>111</v>
      </c>
      <c r="C3" s="1951"/>
    </row>
    <row r="4" spans="1:3" ht="19.5" customHeight="1">
      <c r="A4" s="734"/>
      <c r="B4" s="1951" t="s">
        <v>288</v>
      </c>
      <c r="C4" s="1951"/>
    </row>
    <row r="5" spans="1:3" ht="33.75" customHeight="1">
      <c r="A5" s="734"/>
      <c r="B5" s="1980" t="s">
        <v>663</v>
      </c>
      <c r="C5" s="1980"/>
    </row>
    <row r="6" spans="1:3" s="737" customFormat="1" ht="19.5" customHeight="1">
      <c r="A6" s="733"/>
      <c r="B6" s="1981" t="s">
        <v>0</v>
      </c>
      <c r="C6" s="1981"/>
    </row>
    <row r="7" spans="1:3" s="103" customFormat="1" ht="15" thickBot="1">
      <c r="A7" s="475"/>
      <c r="B7" s="706" t="s">
        <v>1</v>
      </c>
      <c r="C7" s="705" t="s">
        <v>3</v>
      </c>
    </row>
    <row r="8" spans="1:3" ht="19.5" customHeight="1">
      <c r="A8" s="152"/>
      <c r="B8" s="1982" t="s">
        <v>292</v>
      </c>
      <c r="C8" s="1984" t="s">
        <v>289</v>
      </c>
    </row>
    <row r="9" spans="1:3" ht="19.5" customHeight="1" thickBot="1">
      <c r="A9" s="152"/>
      <c r="B9" s="1983"/>
      <c r="C9" s="1985"/>
    </row>
    <row r="10" spans="1:5" s="206" customFormat="1" ht="18" customHeight="1" thickTop="1">
      <c r="A10" s="151">
        <v>1</v>
      </c>
      <c r="B10" s="144" t="s">
        <v>492</v>
      </c>
      <c r="C10" s="145">
        <v>1250</v>
      </c>
      <c r="D10" s="207"/>
      <c r="E10" s="208"/>
    </row>
    <row r="11" spans="1:5" s="206" customFormat="1" ht="18" customHeight="1">
      <c r="A11" s="151">
        <v>2</v>
      </c>
      <c r="B11" s="144" t="s">
        <v>493</v>
      </c>
      <c r="C11" s="145">
        <v>1250</v>
      </c>
      <c r="D11" s="207"/>
      <c r="E11" s="208"/>
    </row>
    <row r="12" spans="1:5" s="206" customFormat="1" ht="18" customHeight="1">
      <c r="A12" s="151">
        <v>3</v>
      </c>
      <c r="B12" s="144" t="s">
        <v>494</v>
      </c>
      <c r="C12" s="145">
        <v>800</v>
      </c>
      <c r="D12" s="207"/>
      <c r="E12" s="208"/>
    </row>
    <row r="13" spans="1:5" s="206" customFormat="1" ht="18" customHeight="1">
      <c r="A13" s="151">
        <v>4</v>
      </c>
      <c r="B13" s="144" t="s">
        <v>393</v>
      </c>
      <c r="C13" s="145">
        <v>500</v>
      </c>
      <c r="D13" s="207"/>
      <c r="E13" s="208"/>
    </row>
    <row r="14" spans="1:5" s="206" customFormat="1" ht="18" customHeight="1">
      <c r="A14" s="151">
        <v>5</v>
      </c>
      <c r="B14" s="144" t="s">
        <v>301</v>
      </c>
      <c r="C14" s="145">
        <v>11000</v>
      </c>
      <c r="D14" s="207"/>
      <c r="E14" s="208"/>
    </row>
    <row r="15" spans="1:5" s="206" customFormat="1" ht="18" customHeight="1">
      <c r="A15" s="151">
        <v>6</v>
      </c>
      <c r="B15" s="144" t="s">
        <v>904</v>
      </c>
      <c r="C15" s="145">
        <v>5000</v>
      </c>
      <c r="D15" s="207"/>
      <c r="E15" s="208"/>
    </row>
    <row r="16" spans="1:5" s="206" customFormat="1" ht="18" customHeight="1">
      <c r="A16" s="151">
        <v>7</v>
      </c>
      <c r="B16" s="144" t="s">
        <v>662</v>
      </c>
      <c r="C16" s="145">
        <v>6000</v>
      </c>
      <c r="D16" s="207"/>
      <c r="E16" s="208"/>
    </row>
    <row r="17" spans="1:5" s="206" customFormat="1" ht="18" customHeight="1">
      <c r="A17" s="151">
        <v>8</v>
      </c>
      <c r="B17" s="144" t="s">
        <v>365</v>
      </c>
      <c r="C17" s="145">
        <v>30000</v>
      </c>
      <c r="D17" s="436"/>
      <c r="E17" s="208"/>
    </row>
    <row r="18" spans="1:5" s="206" customFormat="1" ht="18" customHeight="1">
      <c r="A18" s="151">
        <v>9</v>
      </c>
      <c r="B18" s="1349" t="s">
        <v>851</v>
      </c>
      <c r="C18" s="145"/>
      <c r="D18" s="436"/>
      <c r="E18" s="208"/>
    </row>
    <row r="19" spans="1:5" s="206" customFormat="1" ht="18" customHeight="1">
      <c r="A19" s="151">
        <v>10</v>
      </c>
      <c r="B19" s="144" t="s">
        <v>852</v>
      </c>
      <c r="C19" s="145">
        <v>500</v>
      </c>
      <c r="D19" s="436"/>
      <c r="E19" s="208"/>
    </row>
    <row r="20" spans="1:5" s="206" customFormat="1" ht="18" customHeight="1">
      <c r="A20" s="151">
        <v>11</v>
      </c>
      <c r="B20" s="144" t="s">
        <v>853</v>
      </c>
      <c r="C20" s="145">
        <v>1500</v>
      </c>
      <c r="D20" s="436"/>
      <c r="E20" s="208"/>
    </row>
    <row r="21" spans="1:5" s="206" customFormat="1" ht="24.75" customHeight="1">
      <c r="A21" s="151">
        <v>12</v>
      </c>
      <c r="B21" s="1349" t="s">
        <v>62</v>
      </c>
      <c r="C21" s="145"/>
      <c r="D21" s="436"/>
      <c r="E21" s="208"/>
    </row>
    <row r="22" spans="1:5" s="206" customFormat="1" ht="18" customHeight="1">
      <c r="A22" s="151">
        <v>13</v>
      </c>
      <c r="B22" s="1296" t="s">
        <v>707</v>
      </c>
      <c r="C22" s="1297">
        <v>8250</v>
      </c>
      <c r="D22" s="436"/>
      <c r="E22" s="208"/>
    </row>
    <row r="23" spans="1:5" s="206" customFormat="1" ht="18" customHeight="1">
      <c r="A23" s="151">
        <v>14</v>
      </c>
      <c r="B23" s="144" t="s">
        <v>708</v>
      </c>
      <c r="C23" s="145">
        <v>7500</v>
      </c>
      <c r="D23" s="436"/>
      <c r="E23" s="208"/>
    </row>
    <row r="24" spans="1:5" s="206" customFormat="1" ht="18" customHeight="1">
      <c r="A24" s="151">
        <v>15</v>
      </c>
      <c r="B24" s="144" t="s">
        <v>727</v>
      </c>
      <c r="C24" s="145">
        <v>6000</v>
      </c>
      <c r="D24" s="436"/>
      <c r="E24" s="208"/>
    </row>
    <row r="25" spans="1:5" s="206" customFormat="1" ht="18" customHeight="1">
      <c r="A25" s="151">
        <v>16</v>
      </c>
      <c r="B25" s="144" t="s">
        <v>709</v>
      </c>
      <c r="C25" s="145">
        <v>20000</v>
      </c>
      <c r="D25" s="436"/>
      <c r="E25" s="208"/>
    </row>
    <row r="26" spans="1:5" s="206" customFormat="1" ht="18" customHeight="1">
      <c r="A26" s="151">
        <v>17</v>
      </c>
      <c r="B26" s="144" t="s">
        <v>728</v>
      </c>
      <c r="C26" s="145">
        <v>3000</v>
      </c>
      <c r="D26" s="436"/>
      <c r="E26" s="208"/>
    </row>
    <row r="27" spans="1:5" s="206" customFormat="1" ht="18" customHeight="1">
      <c r="A27" s="151">
        <v>18</v>
      </c>
      <c r="B27" s="144" t="s">
        <v>729</v>
      </c>
      <c r="C27" s="145">
        <v>1500</v>
      </c>
      <c r="D27" s="436"/>
      <c r="E27" s="208"/>
    </row>
    <row r="28" spans="1:5" s="206" customFormat="1" ht="18" customHeight="1">
      <c r="A28" s="151">
        <v>19</v>
      </c>
      <c r="B28" s="144" t="s">
        <v>730</v>
      </c>
      <c r="C28" s="145">
        <v>3000</v>
      </c>
      <c r="D28" s="436"/>
      <c r="E28" s="208"/>
    </row>
    <row r="29" spans="1:5" s="206" customFormat="1" ht="18" customHeight="1">
      <c r="A29" s="151">
        <v>20</v>
      </c>
      <c r="B29" s="144" t="s">
        <v>731</v>
      </c>
      <c r="C29" s="145">
        <v>2500</v>
      </c>
      <c r="D29" s="436"/>
      <c r="E29" s="208"/>
    </row>
    <row r="30" spans="1:5" s="206" customFormat="1" ht="18" customHeight="1">
      <c r="A30" s="151">
        <v>21</v>
      </c>
      <c r="B30" s="144" t="s">
        <v>732</v>
      </c>
      <c r="C30" s="145">
        <v>500</v>
      </c>
      <c r="D30" s="436"/>
      <c r="E30" s="208"/>
    </row>
    <row r="31" spans="1:5" s="206" customFormat="1" ht="18" customHeight="1">
      <c r="A31" s="151">
        <v>22</v>
      </c>
      <c r="B31" s="144" t="s">
        <v>733</v>
      </c>
      <c r="C31" s="145">
        <v>200</v>
      </c>
      <c r="D31" s="436"/>
      <c r="E31" s="208"/>
    </row>
    <row r="32" spans="1:5" s="206" customFormat="1" ht="18" customHeight="1">
      <c r="A32" s="151">
        <v>23</v>
      </c>
      <c r="B32" s="144" t="s">
        <v>734</v>
      </c>
      <c r="C32" s="145">
        <v>100</v>
      </c>
      <c r="D32" s="436"/>
      <c r="E32" s="208"/>
    </row>
    <row r="33" spans="1:5" s="206" customFormat="1" ht="18" customHeight="1">
      <c r="A33" s="151">
        <v>24</v>
      </c>
      <c r="B33" s="144" t="s">
        <v>735</v>
      </c>
      <c r="C33" s="145">
        <v>100</v>
      </c>
      <c r="D33" s="436"/>
      <c r="E33" s="208"/>
    </row>
    <row r="34" spans="1:5" s="206" customFormat="1" ht="18" customHeight="1">
      <c r="A34" s="151">
        <v>25</v>
      </c>
      <c r="B34" s="144" t="s">
        <v>736</v>
      </c>
      <c r="C34" s="145">
        <v>100</v>
      </c>
      <c r="D34" s="436"/>
      <c r="E34" s="208"/>
    </row>
    <row r="35" spans="1:5" s="206" customFormat="1" ht="18" customHeight="1">
      <c r="A35" s="151">
        <v>26</v>
      </c>
      <c r="B35" s="144" t="s">
        <v>737</v>
      </c>
      <c r="C35" s="145">
        <v>100</v>
      </c>
      <c r="D35" s="436"/>
      <c r="E35" s="208"/>
    </row>
    <row r="36" spans="1:5" s="206" customFormat="1" ht="18" customHeight="1">
      <c r="A36" s="151">
        <v>27</v>
      </c>
      <c r="B36" s="144" t="s">
        <v>738</v>
      </c>
      <c r="C36" s="145">
        <v>100</v>
      </c>
      <c r="D36" s="436"/>
      <c r="E36" s="208"/>
    </row>
    <row r="37" spans="1:5" s="206" customFormat="1" ht="18" customHeight="1">
      <c r="A37" s="151">
        <v>28</v>
      </c>
      <c r="B37" s="144" t="s">
        <v>739</v>
      </c>
      <c r="C37" s="145">
        <v>100</v>
      </c>
      <c r="D37" s="436"/>
      <c r="E37" s="208"/>
    </row>
    <row r="38" spans="1:5" s="206" customFormat="1" ht="18" customHeight="1">
      <c r="A38" s="151">
        <v>29</v>
      </c>
      <c r="B38" s="144" t="s">
        <v>740</v>
      </c>
      <c r="C38" s="145">
        <v>100</v>
      </c>
      <c r="D38" s="436"/>
      <c r="E38" s="208"/>
    </row>
    <row r="39" spans="1:5" s="206" customFormat="1" ht="18" customHeight="1">
      <c r="A39" s="151">
        <v>30</v>
      </c>
      <c r="B39" s="144" t="s">
        <v>741</v>
      </c>
      <c r="C39" s="145">
        <v>100</v>
      </c>
      <c r="D39" s="436"/>
      <c r="E39" s="208"/>
    </row>
    <row r="40" spans="1:5" s="206" customFormat="1" ht="24.75" customHeight="1">
      <c r="A40" s="151">
        <v>31</v>
      </c>
      <c r="B40" s="1348" t="s">
        <v>742</v>
      </c>
      <c r="C40" s="1297"/>
      <c r="D40" s="436"/>
      <c r="E40" s="208"/>
    </row>
    <row r="41" spans="1:5" s="206" customFormat="1" ht="18" customHeight="1">
      <c r="A41" s="151">
        <v>32</v>
      </c>
      <c r="B41" s="144" t="s">
        <v>730</v>
      </c>
      <c r="C41" s="145">
        <v>200</v>
      </c>
      <c r="D41" s="436"/>
      <c r="E41" s="208"/>
    </row>
    <row r="42" spans="1:5" s="206" customFormat="1" ht="18" customHeight="1">
      <c r="A42" s="151">
        <v>33</v>
      </c>
      <c r="B42" s="144" t="s">
        <v>740</v>
      </c>
      <c r="C42" s="145">
        <v>200</v>
      </c>
      <c r="D42" s="436"/>
      <c r="E42" s="208"/>
    </row>
    <row r="43" spans="1:5" s="206" customFormat="1" ht="18" customHeight="1">
      <c r="A43" s="151">
        <v>34</v>
      </c>
      <c r="B43" s="144" t="s">
        <v>733</v>
      </c>
      <c r="C43" s="145">
        <v>250</v>
      </c>
      <c r="D43" s="436"/>
      <c r="E43" s="208"/>
    </row>
    <row r="44" spans="1:5" s="206" customFormat="1" ht="18" customHeight="1">
      <c r="A44" s="151">
        <v>35</v>
      </c>
      <c r="B44" s="144" t="s">
        <v>741</v>
      </c>
      <c r="C44" s="145">
        <v>300</v>
      </c>
      <c r="D44" s="436"/>
      <c r="E44" s="208"/>
    </row>
    <row r="45" spans="1:5" s="206" customFormat="1" ht="18" customHeight="1">
      <c r="A45" s="151">
        <v>36</v>
      </c>
      <c r="B45" s="144" t="s">
        <v>743</v>
      </c>
      <c r="C45" s="145">
        <v>500</v>
      </c>
      <c r="D45" s="436"/>
      <c r="E45" s="208"/>
    </row>
    <row r="46" spans="1:5" s="206" customFormat="1" ht="27.75" customHeight="1">
      <c r="A46" s="151">
        <v>37</v>
      </c>
      <c r="B46" s="1348" t="s">
        <v>905</v>
      </c>
      <c r="C46" s="1632"/>
      <c r="D46" s="436"/>
      <c r="E46" s="208"/>
    </row>
    <row r="47" spans="1:5" s="206" customFormat="1" ht="18" customHeight="1">
      <c r="A47" s="151">
        <v>38</v>
      </c>
      <c r="B47" s="144" t="s">
        <v>906</v>
      </c>
      <c r="C47" s="1634">
        <v>1000</v>
      </c>
      <c r="D47" s="436"/>
      <c r="E47" s="208"/>
    </row>
    <row r="48" spans="1:5" s="206" customFormat="1" ht="18" customHeight="1">
      <c r="A48" s="151">
        <v>39</v>
      </c>
      <c r="B48" s="144" t="s">
        <v>907</v>
      </c>
      <c r="C48" s="1634">
        <v>1000</v>
      </c>
      <c r="D48" s="436"/>
      <c r="E48" s="208"/>
    </row>
    <row r="49" spans="1:5" s="206" customFormat="1" ht="18" customHeight="1">
      <c r="A49" s="151">
        <v>40</v>
      </c>
      <c r="B49" s="144" t="s">
        <v>908</v>
      </c>
      <c r="C49" s="1634">
        <v>750</v>
      </c>
      <c r="D49" s="436"/>
      <c r="E49" s="208"/>
    </row>
    <row r="50" spans="1:5" s="206" customFormat="1" ht="18" customHeight="1">
      <c r="A50" s="151">
        <v>41</v>
      </c>
      <c r="B50" s="144" t="s">
        <v>909</v>
      </c>
      <c r="C50" s="1634">
        <v>250</v>
      </c>
      <c r="D50" s="436"/>
      <c r="E50" s="208"/>
    </row>
    <row r="51" spans="1:5" s="206" customFormat="1" ht="18" customHeight="1">
      <c r="A51" s="151">
        <v>42</v>
      </c>
      <c r="B51" s="144" t="s">
        <v>910</v>
      </c>
      <c r="C51" s="1634">
        <v>2250</v>
      </c>
      <c r="D51" s="436"/>
      <c r="E51" s="208"/>
    </row>
    <row r="52" spans="1:5" s="206" customFormat="1" ht="18" customHeight="1">
      <c r="A52" s="151">
        <v>43</v>
      </c>
      <c r="B52" s="144" t="s">
        <v>911</v>
      </c>
      <c r="C52" s="1634">
        <v>1500</v>
      </c>
      <c r="D52" s="436"/>
      <c r="E52" s="208"/>
    </row>
    <row r="53" spans="1:5" s="206" customFormat="1" ht="18" customHeight="1">
      <c r="A53" s="151">
        <v>44</v>
      </c>
      <c r="B53" s="144" t="s">
        <v>912</v>
      </c>
      <c r="C53" s="1634">
        <v>30000</v>
      </c>
      <c r="D53" s="436"/>
      <c r="E53" s="208"/>
    </row>
    <row r="54" spans="1:5" s="206" customFormat="1" ht="18" customHeight="1">
      <c r="A54" s="151">
        <v>45</v>
      </c>
      <c r="B54" s="144" t="s">
        <v>913</v>
      </c>
      <c r="C54" s="1634">
        <v>600</v>
      </c>
      <c r="D54" s="436"/>
      <c r="E54" s="208"/>
    </row>
    <row r="55" spans="1:5" s="206" customFormat="1" ht="18" customHeight="1" thickBot="1">
      <c r="A55" s="151">
        <v>46</v>
      </c>
      <c r="B55" s="144" t="s">
        <v>914</v>
      </c>
      <c r="C55" s="1634">
        <v>3800</v>
      </c>
      <c r="D55" s="436"/>
      <c r="E55" s="208"/>
    </row>
    <row r="56" spans="1:4" ht="30" customHeight="1" thickBot="1">
      <c r="A56" s="151">
        <v>47</v>
      </c>
      <c r="B56" s="146" t="s">
        <v>13</v>
      </c>
      <c r="C56" s="147">
        <f>SUM(C10:C55)</f>
        <v>153650</v>
      </c>
      <c r="D56" s="1633"/>
    </row>
  </sheetData>
  <sheetProtection/>
  <mergeCells count="6">
    <mergeCell ref="B3:C3"/>
    <mergeCell ref="B4:C4"/>
    <mergeCell ref="B5:C5"/>
    <mergeCell ref="B6:C6"/>
    <mergeCell ref="B8:B9"/>
    <mergeCell ref="C8:C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80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Judit</dc:creator>
  <cp:keywords/>
  <dc:description/>
  <cp:lastModifiedBy>Szabó Balázs</cp:lastModifiedBy>
  <cp:lastPrinted>2021-09-14T09:00:49Z</cp:lastPrinted>
  <dcterms:created xsi:type="dcterms:W3CDTF">2015-02-11T07:38:58Z</dcterms:created>
  <dcterms:modified xsi:type="dcterms:W3CDTF">2021-10-04T13:35:12Z</dcterms:modified>
  <cp:category/>
  <cp:version/>
  <cp:contentType/>
  <cp:contentStatus/>
</cp:coreProperties>
</file>